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drawings/drawing33.xml" ContentType="application/vnd.openxmlformats-officedocument.drawing+xml"/>
  <Override PartName="/xl/comments33.xml" ContentType="application/vnd.openxmlformats-officedocument.spreadsheetml.comments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drawings/drawing34.xml" ContentType="application/vnd.openxmlformats-officedocument.drawing+xml"/>
  <Override PartName="/xl/comments34.xml" ContentType="application/vnd.openxmlformats-officedocument.spreadsheetml.comments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drawings/drawing35.xml" ContentType="application/vnd.openxmlformats-officedocument.drawing+xml"/>
  <Override PartName="/xl/comments35.xml" ContentType="application/vnd.openxmlformats-officedocument.spreadsheetml.comments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filterPrivacy="1" defaultThemeVersion="124226"/>
  <xr:revisionPtr revIDLastSave="0" documentId="13_ncr:1_{36E5632C-B6BB-4CD4-A6DD-00C3558E358F}" xr6:coauthVersionLast="47" xr6:coauthVersionMax="47" xr10:uidLastSave="{00000000-0000-0000-0000-000000000000}"/>
  <bookViews>
    <workbookView xWindow="-120" yWindow="-120" windowWidth="29040" windowHeight="15720" tabRatio="915" firstSheet="10" activeTab="29" xr2:uid="{00000000-000D-0000-FFFF-FFFF00000000}"/>
  </bookViews>
  <sheets>
    <sheet name="1" sheetId="4" r:id="rId1"/>
    <sheet name="2" sheetId="6" r:id="rId2"/>
    <sheet name="3" sheetId="8" r:id="rId3"/>
    <sheet name="4" sheetId="9" r:id="rId4"/>
    <sheet name="5" sheetId="10" r:id="rId5"/>
    <sheet name="6" sheetId="11" r:id="rId6"/>
    <sheet name="7" sheetId="12" r:id="rId7"/>
    <sheet name="8" sheetId="13" r:id="rId8"/>
    <sheet name="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34" r:id="rId29"/>
    <sheet name="30" sheetId="35" r:id="rId30"/>
    <sheet name="SP30" sheetId="37" r:id="rId31"/>
    <sheet name="SP29" sheetId="38" r:id="rId32"/>
    <sheet name="SP28" sheetId="39" r:id="rId33"/>
    <sheet name="SP27" sheetId="40" r:id="rId34"/>
    <sheet name="Sample" sheetId="5" r:id="rId35"/>
    <sheet name="Sheet1" sheetId="1" r:id="rId36"/>
    <sheet name="Sheet2" sheetId="2" r:id="rId37"/>
    <sheet name="Sheet3" sheetId="3" r:id="rId38"/>
    <sheet name="Sheet4" sheetId="36" r:id="rId39"/>
  </sheets>
  <externalReferences>
    <externalReference r:id="rId40"/>
    <externalReference r:id="rId41"/>
    <externalReference r:id="rId42"/>
    <externalReference r:id="rId43"/>
  </externalReferences>
  <definedNames>
    <definedName name="IPP" localSheetId="0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">#REF!</definedName>
    <definedName name="IPP" localSheetId="29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34">#REF!</definedName>
    <definedName name="IPP" localSheetId="33">#REF!</definedName>
    <definedName name="IPP" localSheetId="32">#REF!</definedName>
    <definedName name="IPP" localSheetId="31">#REF!</definedName>
    <definedName name="IPP" localSheetId="30">#REF!</definedName>
    <definedName name="IPP">#REF!</definedName>
    <definedName name="ippp" localSheetId="0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">#REF!</definedName>
    <definedName name="ippp" localSheetId="29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34">#REF!</definedName>
    <definedName name="ippp" localSheetId="33">#REF!</definedName>
    <definedName name="ippp" localSheetId="32">#REF!</definedName>
    <definedName name="ippp" localSheetId="31">#REF!</definedName>
    <definedName name="ippp" localSheetId="30">#REF!</definedName>
    <definedName name="ippp">#REF!</definedName>
    <definedName name="sdasdf" localSheetId="0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">#REF!</definedName>
    <definedName name="sdasdf" localSheetId="29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34">#REF!</definedName>
    <definedName name="sdasdf" localSheetId="33">#REF!</definedName>
    <definedName name="sdasdf" localSheetId="32">#REF!</definedName>
    <definedName name="sdasdf" localSheetId="31">#REF!</definedName>
    <definedName name="sdasdf" localSheetId="30">#REF!</definedName>
    <definedName name="sdasd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74" i="40" l="1"/>
  <c r="AF274" i="40"/>
  <c r="AE274" i="40"/>
  <c r="AD274" i="40"/>
  <c r="AC274" i="40"/>
  <c r="AB274" i="40"/>
  <c r="AA274" i="40"/>
  <c r="Z274" i="40"/>
  <c r="Y274" i="40"/>
  <c r="X274" i="40"/>
  <c r="W274" i="40"/>
  <c r="V274" i="40"/>
  <c r="U274" i="40"/>
  <c r="T274" i="40"/>
  <c r="S274" i="40"/>
  <c r="R274" i="40"/>
  <c r="Q274" i="40"/>
  <c r="P274" i="40"/>
  <c r="O274" i="40"/>
  <c r="N274" i="40"/>
  <c r="M274" i="40"/>
  <c r="L274" i="40"/>
  <c r="K274" i="40"/>
  <c r="J274" i="40"/>
  <c r="I274" i="40"/>
  <c r="H274" i="40"/>
  <c r="G274" i="40"/>
  <c r="F274" i="40"/>
  <c r="E274" i="40"/>
  <c r="D274" i="40"/>
  <c r="C274" i="40"/>
  <c r="B274" i="40"/>
  <c r="A274" i="40"/>
  <c r="AG273" i="40"/>
  <c r="AF273" i="40"/>
  <c r="AE273" i="40"/>
  <c r="AD273" i="40"/>
  <c r="AC273" i="40"/>
  <c r="AB273" i="40"/>
  <c r="AA273" i="40"/>
  <c r="Z273" i="40"/>
  <c r="Y273" i="40"/>
  <c r="X273" i="40"/>
  <c r="W273" i="40"/>
  <c r="V273" i="40"/>
  <c r="U273" i="40"/>
  <c r="T273" i="40"/>
  <c r="S273" i="40"/>
  <c r="R273" i="40"/>
  <c r="Q273" i="40"/>
  <c r="P273" i="40"/>
  <c r="O273" i="40"/>
  <c r="N273" i="40"/>
  <c r="M273" i="40"/>
  <c r="L273" i="40"/>
  <c r="K273" i="40"/>
  <c r="J273" i="40"/>
  <c r="I273" i="40"/>
  <c r="H273" i="40"/>
  <c r="G273" i="40"/>
  <c r="F273" i="40"/>
  <c r="E273" i="40"/>
  <c r="D273" i="40"/>
  <c r="C273" i="40"/>
  <c r="B273" i="40"/>
  <c r="A273" i="40"/>
  <c r="AG272" i="40"/>
  <c r="AF272" i="40"/>
  <c r="AE272" i="40"/>
  <c r="AD272" i="40"/>
  <c r="AC272" i="40"/>
  <c r="AB272" i="40"/>
  <c r="AA272" i="40"/>
  <c r="Z272" i="40"/>
  <c r="Y272" i="40"/>
  <c r="X272" i="40"/>
  <c r="W272" i="40"/>
  <c r="V272" i="40"/>
  <c r="U272" i="40"/>
  <c r="T272" i="40"/>
  <c r="S272" i="40"/>
  <c r="R272" i="40"/>
  <c r="Q272" i="40"/>
  <c r="P272" i="40"/>
  <c r="O272" i="40"/>
  <c r="N272" i="40"/>
  <c r="M272" i="40"/>
  <c r="L272" i="40"/>
  <c r="K272" i="40"/>
  <c r="J272" i="40"/>
  <c r="I272" i="40"/>
  <c r="H272" i="40"/>
  <c r="G272" i="40"/>
  <c r="F272" i="40"/>
  <c r="E272" i="40"/>
  <c r="D272" i="40"/>
  <c r="C272" i="40"/>
  <c r="B272" i="40"/>
  <c r="A272" i="40"/>
  <c r="AG271" i="40"/>
  <c r="AF271" i="40"/>
  <c r="AE271" i="40"/>
  <c r="AD271" i="40"/>
  <c r="AC271" i="40"/>
  <c r="AB271" i="40"/>
  <c r="AA271" i="40"/>
  <c r="Z271" i="40"/>
  <c r="Y271" i="40"/>
  <c r="X271" i="40"/>
  <c r="W271" i="40"/>
  <c r="V271" i="40"/>
  <c r="U271" i="40"/>
  <c r="T271" i="40"/>
  <c r="S271" i="40"/>
  <c r="R271" i="40"/>
  <c r="Q271" i="40"/>
  <c r="P271" i="40"/>
  <c r="O271" i="40"/>
  <c r="N271" i="40"/>
  <c r="M271" i="40"/>
  <c r="L271" i="40"/>
  <c r="K271" i="40"/>
  <c r="J271" i="40"/>
  <c r="I271" i="40"/>
  <c r="H271" i="40"/>
  <c r="G271" i="40"/>
  <c r="F271" i="40"/>
  <c r="E271" i="40"/>
  <c r="D271" i="40"/>
  <c r="C271" i="40"/>
  <c r="B271" i="40"/>
  <c r="A271" i="40"/>
  <c r="AG270" i="40"/>
  <c r="AF270" i="40"/>
  <c r="AE270" i="40"/>
  <c r="AD270" i="40"/>
  <c r="AC270" i="40"/>
  <c r="AB270" i="40"/>
  <c r="AA270" i="40"/>
  <c r="Z270" i="40"/>
  <c r="Y270" i="40"/>
  <c r="X270" i="40"/>
  <c r="W270" i="40"/>
  <c r="V270" i="40"/>
  <c r="U270" i="40"/>
  <c r="T270" i="40"/>
  <c r="S270" i="40"/>
  <c r="R270" i="40"/>
  <c r="Q270" i="40"/>
  <c r="P270" i="40"/>
  <c r="O270" i="40"/>
  <c r="N270" i="40"/>
  <c r="M270" i="40"/>
  <c r="L270" i="40"/>
  <c r="K270" i="40"/>
  <c r="I270" i="40"/>
  <c r="G270" i="40"/>
  <c r="F270" i="40"/>
  <c r="D270" i="40"/>
  <c r="AY249" i="40"/>
  <c r="AX249" i="40"/>
  <c r="AW249" i="40"/>
  <c r="AV249" i="40"/>
  <c r="AU249" i="40"/>
  <c r="AT249" i="40"/>
  <c r="AS249" i="40"/>
  <c r="AR249" i="40"/>
  <c r="AQ249" i="40"/>
  <c r="AP249" i="40"/>
  <c r="AO249" i="40"/>
  <c r="AN249" i="40"/>
  <c r="AM249" i="40"/>
  <c r="AL249" i="40"/>
  <c r="AK249" i="40"/>
  <c r="AJ249" i="40"/>
  <c r="AI249" i="40"/>
  <c r="AH249" i="40"/>
  <c r="AG249" i="40"/>
  <c r="AF249" i="40"/>
  <c r="AE249" i="40"/>
  <c r="AD249" i="40"/>
  <c r="T245" i="40"/>
  <c r="AN242" i="40"/>
  <c r="AH235" i="40"/>
  <c r="AH67" i="40" s="1"/>
  <c r="G235" i="40"/>
  <c r="D235" i="40"/>
  <c r="K234" i="40"/>
  <c r="J270" i="40" s="1"/>
  <c r="J234" i="40"/>
  <c r="I234" i="40"/>
  <c r="H270" i="40" s="1"/>
  <c r="H234" i="40"/>
  <c r="G234" i="40"/>
  <c r="F234" i="40"/>
  <c r="E270" i="40" s="1"/>
  <c r="E234" i="40"/>
  <c r="D234" i="40"/>
  <c r="C270" i="40" s="1"/>
  <c r="C234" i="40"/>
  <c r="B270" i="40" s="1"/>
  <c r="B234" i="40"/>
  <c r="K233" i="40"/>
  <c r="J233" i="40"/>
  <c r="I233" i="40"/>
  <c r="H233" i="40"/>
  <c r="G233" i="40"/>
  <c r="F233" i="40"/>
  <c r="E233" i="40"/>
  <c r="D233" i="40"/>
  <c r="C233" i="40"/>
  <c r="B233" i="40"/>
  <c r="K232" i="40"/>
  <c r="J232" i="40"/>
  <c r="I232" i="40"/>
  <c r="H232" i="40"/>
  <c r="G232" i="40"/>
  <c r="F232" i="40"/>
  <c r="E232" i="40"/>
  <c r="D232" i="40"/>
  <c r="C232" i="40"/>
  <c r="B232" i="40"/>
  <c r="K231" i="40"/>
  <c r="J231" i="40"/>
  <c r="I231" i="40"/>
  <c r="H231" i="40"/>
  <c r="G231" i="40"/>
  <c r="F231" i="40"/>
  <c r="E231" i="40"/>
  <c r="E235" i="40" s="1"/>
  <c r="D231" i="40"/>
  <c r="C231" i="40"/>
  <c r="B231" i="40"/>
  <c r="K230" i="40"/>
  <c r="J230" i="40"/>
  <c r="I230" i="40"/>
  <c r="H230" i="40"/>
  <c r="G230" i="40"/>
  <c r="F230" i="40"/>
  <c r="F235" i="40" s="1"/>
  <c r="E230" i="40"/>
  <c r="D230" i="40"/>
  <c r="C230" i="40"/>
  <c r="B230" i="40"/>
  <c r="K229" i="40"/>
  <c r="K235" i="40" s="1"/>
  <c r="J229" i="40"/>
  <c r="J235" i="40" s="1"/>
  <c r="I229" i="40"/>
  <c r="I235" i="40" s="1"/>
  <c r="H229" i="40"/>
  <c r="H235" i="40" s="1"/>
  <c r="G229" i="40"/>
  <c r="F229" i="40"/>
  <c r="E229" i="40"/>
  <c r="D229" i="40"/>
  <c r="C229" i="40"/>
  <c r="C235" i="40" s="1"/>
  <c r="B229" i="40"/>
  <c r="B110" i="40" s="1"/>
  <c r="AH227" i="40"/>
  <c r="K227" i="40"/>
  <c r="J227" i="40"/>
  <c r="I227" i="40"/>
  <c r="H227" i="40"/>
  <c r="G227" i="40"/>
  <c r="F227" i="40"/>
  <c r="E227" i="40"/>
  <c r="D227" i="40"/>
  <c r="C227" i="40"/>
  <c r="B227" i="40"/>
  <c r="AJ120" i="40"/>
  <c r="AI120" i="40"/>
  <c r="AJ119" i="40"/>
  <c r="AI119" i="40"/>
  <c r="AJ118" i="40"/>
  <c r="AI118" i="40"/>
  <c r="AJ117" i="40"/>
  <c r="AI117" i="40"/>
  <c r="AJ116" i="40"/>
  <c r="AI116" i="40"/>
  <c r="AJ115" i="40"/>
  <c r="AI115" i="40"/>
  <c r="AJ114" i="40"/>
  <c r="AI114" i="40"/>
  <c r="AJ113" i="40"/>
  <c r="AI113" i="40"/>
  <c r="AJ112" i="40"/>
  <c r="AI112" i="40"/>
  <c r="AJ111" i="40"/>
  <c r="AI111" i="40"/>
  <c r="AJ109" i="40"/>
  <c r="AI109" i="40"/>
  <c r="AJ108" i="40"/>
  <c r="AI108" i="40"/>
  <c r="AJ107" i="40"/>
  <c r="AI107" i="40"/>
  <c r="AJ106" i="40"/>
  <c r="AI106" i="40"/>
  <c r="AJ105" i="40"/>
  <c r="AI105" i="40"/>
  <c r="AJ104" i="40"/>
  <c r="AI104" i="40"/>
  <c r="AJ103" i="40"/>
  <c r="AI103" i="40"/>
  <c r="AJ102" i="40"/>
  <c r="AI102" i="40"/>
  <c r="AJ101" i="40"/>
  <c r="AI101" i="40"/>
  <c r="K100" i="40"/>
  <c r="I100" i="40"/>
  <c r="D100" i="40"/>
  <c r="C100" i="40"/>
  <c r="K99" i="40"/>
  <c r="J99" i="40"/>
  <c r="I99" i="40"/>
  <c r="H99" i="40"/>
  <c r="AJ99" i="40" s="1"/>
  <c r="G99" i="40"/>
  <c r="F99" i="40"/>
  <c r="E99" i="40"/>
  <c r="D99" i="40"/>
  <c r="C99" i="40"/>
  <c r="B99" i="40"/>
  <c r="AJ98" i="40"/>
  <c r="AI98" i="40"/>
  <c r="AJ97" i="40"/>
  <c r="AI97" i="40"/>
  <c r="AJ96" i="40"/>
  <c r="AI96" i="40"/>
  <c r="AJ95" i="40"/>
  <c r="AI95" i="40"/>
  <c r="AJ94" i="40"/>
  <c r="AI94" i="40"/>
  <c r="AJ93" i="40"/>
  <c r="AI93" i="40"/>
  <c r="AJ90" i="40"/>
  <c r="AI90" i="40"/>
  <c r="AJ88" i="40"/>
  <c r="AI88" i="40"/>
  <c r="AH88" i="40"/>
  <c r="AJ87" i="40"/>
  <c r="AI87" i="40"/>
  <c r="AJ86" i="40"/>
  <c r="AI86" i="40"/>
  <c r="AJ85" i="40"/>
  <c r="AI85" i="40"/>
  <c r="AH84" i="40"/>
  <c r="K84" i="40"/>
  <c r="J84" i="40"/>
  <c r="J100" i="40" s="1"/>
  <c r="I84" i="40"/>
  <c r="H84" i="40"/>
  <c r="G84" i="40"/>
  <c r="G100" i="40" s="1"/>
  <c r="F84" i="40"/>
  <c r="F100" i="40" s="1"/>
  <c r="E84" i="40"/>
  <c r="AJ84" i="40" s="1"/>
  <c r="D84" i="40"/>
  <c r="C84" i="40"/>
  <c r="B84" i="40"/>
  <c r="B100" i="40" s="1"/>
  <c r="AJ83" i="40"/>
  <c r="AI83" i="40"/>
  <c r="AJ82" i="40"/>
  <c r="AI82" i="40"/>
  <c r="AJ81" i="40"/>
  <c r="AI81" i="40"/>
  <c r="AJ80" i="40"/>
  <c r="AI80" i="40"/>
  <c r="AJ79" i="40"/>
  <c r="AI79" i="40"/>
  <c r="AJ78" i="40"/>
  <c r="AI78" i="40"/>
  <c r="AJ77" i="40"/>
  <c r="AI77" i="40"/>
  <c r="AJ76" i="40"/>
  <c r="AI76" i="40"/>
  <c r="AJ75" i="40"/>
  <c r="AI75" i="40"/>
  <c r="AJ74" i="40"/>
  <c r="AI74" i="40"/>
  <c r="AJ73" i="40"/>
  <c r="AI73" i="40"/>
  <c r="AH72" i="40"/>
  <c r="C72" i="40"/>
  <c r="B72" i="40"/>
  <c r="C71" i="40"/>
  <c r="AJ71" i="40" s="1"/>
  <c r="AJ70" i="40"/>
  <c r="C70" i="40"/>
  <c r="AI70" i="40" s="1"/>
  <c r="C69" i="40"/>
  <c r="S68" i="40"/>
  <c r="C68" i="40"/>
  <c r="AJ68" i="40" s="1"/>
  <c r="B68" i="40"/>
  <c r="AJ67" i="40"/>
  <c r="AI67" i="40"/>
  <c r="AI66" i="40"/>
  <c r="AG66" i="40"/>
  <c r="AF66" i="40"/>
  <c r="AE66" i="40"/>
  <c r="AD66" i="40"/>
  <c r="AC66" i="40"/>
  <c r="AB66" i="40"/>
  <c r="AA66" i="40"/>
  <c r="Z66" i="40"/>
  <c r="Y66" i="40"/>
  <c r="X66" i="40"/>
  <c r="W66" i="40"/>
  <c r="V66" i="40"/>
  <c r="U66" i="40"/>
  <c r="T66" i="40"/>
  <c r="S66" i="40"/>
  <c r="R66" i="40"/>
  <c r="Q66" i="40"/>
  <c r="P66" i="40"/>
  <c r="O66" i="40"/>
  <c r="N66" i="40"/>
  <c r="M66" i="40"/>
  <c r="L66" i="40"/>
  <c r="K66" i="40"/>
  <c r="J66" i="40"/>
  <c r="I66" i="40"/>
  <c r="H66" i="40"/>
  <c r="G66" i="40"/>
  <c r="F66" i="40"/>
  <c r="E66" i="40"/>
  <c r="D66" i="40"/>
  <c r="C66" i="40"/>
  <c r="AJ66" i="40" s="1"/>
  <c r="AG65" i="40"/>
  <c r="AI65" i="40" s="1"/>
  <c r="AG64" i="40"/>
  <c r="AF64" i="40"/>
  <c r="AE64" i="40"/>
  <c r="AD64" i="40"/>
  <c r="AC64" i="40"/>
  <c r="AB64" i="40"/>
  <c r="AA64" i="40"/>
  <c r="Z64" i="40"/>
  <c r="Y64" i="40"/>
  <c r="X64" i="40"/>
  <c r="W64" i="40"/>
  <c r="V64" i="40"/>
  <c r="U64" i="40"/>
  <c r="T64" i="40"/>
  <c r="S64" i="40"/>
  <c r="R64" i="40"/>
  <c r="Q64" i="40"/>
  <c r="P64" i="40"/>
  <c r="O64" i="40"/>
  <c r="N64" i="40"/>
  <c r="M64" i="40"/>
  <c r="L64" i="40"/>
  <c r="K64" i="40"/>
  <c r="J64" i="40"/>
  <c r="I64" i="40"/>
  <c r="H64" i="40"/>
  <c r="G64" i="40"/>
  <c r="F64" i="40"/>
  <c r="E64" i="40"/>
  <c r="D64" i="40"/>
  <c r="C64" i="40"/>
  <c r="AI64" i="40" s="1"/>
  <c r="AI63" i="40"/>
  <c r="AG63" i="40"/>
  <c r="AF63" i="40"/>
  <c r="AE63" i="40"/>
  <c r="AD63" i="40"/>
  <c r="AC63" i="40"/>
  <c r="AB63" i="40"/>
  <c r="AA63" i="40"/>
  <c r="Z63" i="40"/>
  <c r="Y63" i="40"/>
  <c r="X63" i="40"/>
  <c r="W63" i="40"/>
  <c r="V63" i="40"/>
  <c r="U63" i="40"/>
  <c r="T63" i="40"/>
  <c r="S63" i="40"/>
  <c r="R63" i="40"/>
  <c r="Q63" i="40"/>
  <c r="P63" i="40"/>
  <c r="O63" i="40"/>
  <c r="N63" i="40"/>
  <c r="M63" i="40"/>
  <c r="L63" i="40"/>
  <c r="K63" i="40"/>
  <c r="J63" i="40"/>
  <c r="I63" i="40"/>
  <c r="H63" i="40"/>
  <c r="G63" i="40"/>
  <c r="F63" i="40"/>
  <c r="E63" i="40"/>
  <c r="D63" i="40"/>
  <c r="C63" i="40"/>
  <c r="AJ63" i="40" s="1"/>
  <c r="AJ62" i="40"/>
  <c r="AI62" i="40"/>
  <c r="AG61" i="40"/>
  <c r="AF61" i="40"/>
  <c r="AE61" i="40"/>
  <c r="AD61" i="40"/>
  <c r="AC61" i="40"/>
  <c r="AB61" i="40"/>
  <c r="AA61" i="40"/>
  <c r="Z61" i="40"/>
  <c r="Y61" i="40"/>
  <c r="X61" i="40"/>
  <c r="W61" i="40"/>
  <c r="V61" i="40"/>
  <c r="U61" i="40"/>
  <c r="T61" i="40"/>
  <c r="S61" i="40"/>
  <c r="R61" i="40"/>
  <c r="Q61" i="40"/>
  <c r="P61" i="40"/>
  <c r="O61" i="40"/>
  <c r="N61" i="40"/>
  <c r="M61" i="40"/>
  <c r="L61" i="40"/>
  <c r="K61" i="40"/>
  <c r="J61" i="40"/>
  <c r="I61" i="40"/>
  <c r="H61" i="40"/>
  <c r="G61" i="40"/>
  <c r="F61" i="40"/>
  <c r="E61" i="40"/>
  <c r="D61" i="40"/>
  <c r="C61" i="40"/>
  <c r="AJ61" i="40" s="1"/>
  <c r="AG60" i="40"/>
  <c r="AF60" i="40"/>
  <c r="AE60" i="40"/>
  <c r="AD60" i="40"/>
  <c r="AC60" i="40"/>
  <c r="AB60" i="40"/>
  <c r="AA60" i="40"/>
  <c r="Z60" i="40"/>
  <c r="Y60" i="40"/>
  <c r="X60" i="40"/>
  <c r="W60" i="40"/>
  <c r="V60" i="40"/>
  <c r="U60" i="40"/>
  <c r="T60" i="40"/>
  <c r="S60" i="40"/>
  <c r="R60" i="40"/>
  <c r="Q60" i="40"/>
  <c r="P60" i="40"/>
  <c r="O60" i="40"/>
  <c r="N60" i="40"/>
  <c r="M60" i="40"/>
  <c r="L60" i="40"/>
  <c r="K60" i="40"/>
  <c r="J60" i="40"/>
  <c r="I60" i="40"/>
  <c r="H60" i="40"/>
  <c r="G60" i="40"/>
  <c r="F60" i="40"/>
  <c r="E60" i="40"/>
  <c r="D60" i="40"/>
  <c r="C60" i="40"/>
  <c r="AI60" i="40" s="1"/>
  <c r="AJ59" i="40"/>
  <c r="AI59" i="40"/>
  <c r="AJ58" i="40"/>
  <c r="AG58" i="40"/>
  <c r="AF58" i="40"/>
  <c r="AE58" i="40"/>
  <c r="AD58" i="40"/>
  <c r="AC58" i="40"/>
  <c r="AB58" i="40"/>
  <c r="AA58" i="40"/>
  <c r="Z58" i="40"/>
  <c r="Y58" i="40"/>
  <c r="X58" i="40"/>
  <c r="W58" i="40"/>
  <c r="V58" i="40"/>
  <c r="U58" i="40"/>
  <c r="T58" i="40"/>
  <c r="S58" i="40"/>
  <c r="R58" i="40"/>
  <c r="Q58" i="40"/>
  <c r="P58" i="40"/>
  <c r="O58" i="40"/>
  <c r="N58" i="40"/>
  <c r="M58" i="40"/>
  <c r="L58" i="40"/>
  <c r="K58" i="40"/>
  <c r="J58" i="40"/>
  <c r="I58" i="40"/>
  <c r="H58" i="40"/>
  <c r="G58" i="40"/>
  <c r="F58" i="40"/>
  <c r="E58" i="40"/>
  <c r="D58" i="40"/>
  <c r="C58" i="40"/>
  <c r="AI58" i="40" s="1"/>
  <c r="AK57" i="40"/>
  <c r="AG57" i="40"/>
  <c r="AG68" i="40" s="1"/>
  <c r="AF57" i="40"/>
  <c r="AF68" i="40" s="1"/>
  <c r="AE57" i="40"/>
  <c r="AE68" i="40" s="1"/>
  <c r="AD57" i="40"/>
  <c r="AD68" i="40" s="1"/>
  <c r="AC57" i="40"/>
  <c r="AC68" i="40" s="1"/>
  <c r="AB57" i="40"/>
  <c r="AB68" i="40" s="1"/>
  <c r="AA57" i="40"/>
  <c r="AA68" i="40" s="1"/>
  <c r="Z57" i="40"/>
  <c r="Z68" i="40" s="1"/>
  <c r="Y57" i="40"/>
  <c r="Y68" i="40" s="1"/>
  <c r="X57" i="40"/>
  <c r="X68" i="40" s="1"/>
  <c r="W57" i="40"/>
  <c r="W68" i="40" s="1"/>
  <c r="V57" i="40"/>
  <c r="V68" i="40" s="1"/>
  <c r="U57" i="40"/>
  <c r="U68" i="40" s="1"/>
  <c r="T57" i="40"/>
  <c r="T68" i="40" s="1"/>
  <c r="S57" i="40"/>
  <c r="R57" i="40"/>
  <c r="R68" i="40" s="1"/>
  <c r="Q57" i="40"/>
  <c r="Q68" i="40" s="1"/>
  <c r="P57" i="40"/>
  <c r="P68" i="40" s="1"/>
  <c r="O57" i="40"/>
  <c r="O68" i="40" s="1"/>
  <c r="N57" i="40"/>
  <c r="N68" i="40" s="1"/>
  <c r="M57" i="40"/>
  <c r="M68" i="40" s="1"/>
  <c r="L57" i="40"/>
  <c r="L68" i="40" s="1"/>
  <c r="K57" i="40"/>
  <c r="K68" i="40" s="1"/>
  <c r="J57" i="40"/>
  <c r="J68" i="40" s="1"/>
  <c r="I57" i="40"/>
  <c r="I68" i="40" s="1"/>
  <c r="H57" i="40"/>
  <c r="H68" i="40" s="1"/>
  <c r="G57" i="40"/>
  <c r="G68" i="40" s="1"/>
  <c r="F57" i="40"/>
  <c r="F68" i="40" s="1"/>
  <c r="E57" i="40"/>
  <c r="E68" i="40" s="1"/>
  <c r="D57" i="40"/>
  <c r="D68" i="40" s="1"/>
  <c r="C57" i="40"/>
  <c r="AJ57" i="40" s="1"/>
  <c r="C56" i="40"/>
  <c r="AK55" i="40"/>
  <c r="AM242" i="40" s="1"/>
  <c r="AJ55" i="40"/>
  <c r="C55" i="40"/>
  <c r="AI55" i="40" s="1"/>
  <c r="AH54" i="40"/>
  <c r="AE54" i="40"/>
  <c r="AD54" i="40"/>
  <c r="V54" i="40"/>
  <c r="O54" i="40"/>
  <c r="N54" i="40"/>
  <c r="F54" i="40"/>
  <c r="B54" i="40"/>
  <c r="AG53" i="40"/>
  <c r="AF53" i="40"/>
  <c r="AE53" i="40"/>
  <c r="AD53" i="40"/>
  <c r="AC53" i="40"/>
  <c r="AB53" i="40"/>
  <c r="AA53" i="40"/>
  <c r="Z53" i="40"/>
  <c r="Y53" i="40"/>
  <c r="X53" i="40"/>
  <c r="W53" i="40"/>
  <c r="V53" i="40"/>
  <c r="U53" i="40"/>
  <c r="T53" i="40"/>
  <c r="S53" i="40"/>
  <c r="R53" i="40"/>
  <c r="Q53" i="40"/>
  <c r="P53" i="40"/>
  <c r="O53" i="40"/>
  <c r="N53" i="40"/>
  <c r="M53" i="40"/>
  <c r="L53" i="40"/>
  <c r="K53" i="40"/>
  <c r="J53" i="40"/>
  <c r="I53" i="40"/>
  <c r="H53" i="40"/>
  <c r="G53" i="40"/>
  <c r="F53" i="40"/>
  <c r="E53" i="40"/>
  <c r="D53" i="40"/>
  <c r="C53" i="40"/>
  <c r="AJ53" i="40" s="1"/>
  <c r="AG52" i="40"/>
  <c r="AG54" i="40" s="1"/>
  <c r="AF52" i="40"/>
  <c r="AF54" i="40" s="1"/>
  <c r="AE52" i="40"/>
  <c r="AD52" i="40"/>
  <c r="AC52" i="40"/>
  <c r="AC54" i="40" s="1"/>
  <c r="AB52" i="40"/>
  <c r="AB54" i="40" s="1"/>
  <c r="AA52" i="40"/>
  <c r="AA54" i="40" s="1"/>
  <c r="Z52" i="40"/>
  <c r="Z54" i="40" s="1"/>
  <c r="Y52" i="40"/>
  <c r="Y54" i="40" s="1"/>
  <c r="X52" i="40"/>
  <c r="X54" i="40" s="1"/>
  <c r="W52" i="40"/>
  <c r="W54" i="40" s="1"/>
  <c r="V52" i="40"/>
  <c r="U52" i="40"/>
  <c r="U54" i="40" s="1"/>
  <c r="T52" i="40"/>
  <c r="T54" i="40" s="1"/>
  <c r="S52" i="40"/>
  <c r="S54" i="40" s="1"/>
  <c r="R52" i="40"/>
  <c r="R54" i="40" s="1"/>
  <c r="Q52" i="40"/>
  <c r="Q54" i="40" s="1"/>
  <c r="P52" i="40"/>
  <c r="P54" i="40" s="1"/>
  <c r="O52" i="40"/>
  <c r="N52" i="40"/>
  <c r="M52" i="40"/>
  <c r="M54" i="40" s="1"/>
  <c r="L52" i="40"/>
  <c r="L54" i="40" s="1"/>
  <c r="K52" i="40"/>
  <c r="K54" i="40" s="1"/>
  <c r="J52" i="40"/>
  <c r="J54" i="40" s="1"/>
  <c r="I52" i="40"/>
  <c r="I54" i="40" s="1"/>
  <c r="H52" i="40"/>
  <c r="H54" i="40" s="1"/>
  <c r="G52" i="40"/>
  <c r="G54" i="40" s="1"/>
  <c r="F52" i="40"/>
  <c r="E52" i="40"/>
  <c r="E54" i="40" s="1"/>
  <c r="D52" i="40"/>
  <c r="D54" i="40" s="1"/>
  <c r="C52" i="40"/>
  <c r="C54" i="40" s="1"/>
  <c r="AJ51" i="40"/>
  <c r="AI51" i="40"/>
  <c r="G50" i="40"/>
  <c r="B50" i="40"/>
  <c r="AJ49" i="40"/>
  <c r="AI49" i="40"/>
  <c r="B49" i="40"/>
  <c r="AJ48" i="40"/>
  <c r="AI48" i="40"/>
  <c r="AG47" i="40"/>
  <c r="AF47" i="40"/>
  <c r="AE47" i="40"/>
  <c r="AD47" i="40"/>
  <c r="AC47" i="40"/>
  <c r="AB47" i="40"/>
  <c r="AA47" i="40"/>
  <c r="Z47" i="40"/>
  <c r="Y47" i="40"/>
  <c r="X47" i="40"/>
  <c r="W47" i="40"/>
  <c r="V47" i="40"/>
  <c r="U47" i="40"/>
  <c r="T47" i="40"/>
  <c r="S47" i="40"/>
  <c r="R47" i="40"/>
  <c r="Q47" i="40"/>
  <c r="P47" i="40"/>
  <c r="O47" i="40"/>
  <c r="N47" i="40"/>
  <c r="M47" i="40"/>
  <c r="L47" i="40"/>
  <c r="K47" i="40"/>
  <c r="J47" i="40"/>
  <c r="I47" i="40"/>
  <c r="H47" i="40"/>
  <c r="G47" i="40"/>
  <c r="F47" i="40"/>
  <c r="E47" i="40"/>
  <c r="D47" i="40"/>
  <c r="C47" i="40"/>
  <c r="AJ47" i="40" s="1"/>
  <c r="AG46" i="40"/>
  <c r="AF46" i="40"/>
  <c r="AE46" i="40"/>
  <c r="AD46" i="40"/>
  <c r="AC46" i="40"/>
  <c r="AB46" i="40"/>
  <c r="AA46" i="40"/>
  <c r="Z46" i="40"/>
  <c r="Y46" i="40"/>
  <c r="X46" i="40"/>
  <c r="W46" i="40"/>
  <c r="V46" i="40"/>
  <c r="U46" i="40"/>
  <c r="T46" i="40"/>
  <c r="S46" i="40"/>
  <c r="R46" i="40"/>
  <c r="Q46" i="40"/>
  <c r="P46" i="40"/>
  <c r="O46" i="40"/>
  <c r="N46" i="40"/>
  <c r="M46" i="40"/>
  <c r="L46" i="40"/>
  <c r="K46" i="40"/>
  <c r="J46" i="40"/>
  <c r="I46" i="40"/>
  <c r="H46" i="40"/>
  <c r="G46" i="40"/>
  <c r="F46" i="40"/>
  <c r="E46" i="40"/>
  <c r="D46" i="40"/>
  <c r="C46" i="40"/>
  <c r="AJ46" i="40" s="1"/>
  <c r="AG45" i="40"/>
  <c r="AF45" i="40"/>
  <c r="AE45" i="40"/>
  <c r="AD45" i="40"/>
  <c r="AC45" i="40"/>
  <c r="AB45" i="40"/>
  <c r="AA45" i="40"/>
  <c r="Z45" i="40"/>
  <c r="Y45" i="40"/>
  <c r="X45" i="40"/>
  <c r="W45" i="40"/>
  <c r="V45" i="40"/>
  <c r="U45" i="40"/>
  <c r="T45" i="40"/>
  <c r="S45" i="40"/>
  <c r="R45" i="40"/>
  <c r="Q45" i="40"/>
  <c r="P45" i="40"/>
  <c r="O45" i="40"/>
  <c r="N45" i="40"/>
  <c r="M45" i="40"/>
  <c r="L45" i="40"/>
  <c r="K45" i="40"/>
  <c r="J45" i="40"/>
  <c r="I45" i="40"/>
  <c r="H45" i="40"/>
  <c r="G45" i="40"/>
  <c r="F45" i="40"/>
  <c r="E45" i="40"/>
  <c r="D45" i="40"/>
  <c r="C45" i="40"/>
  <c r="AJ45" i="40" s="1"/>
  <c r="AG44" i="40"/>
  <c r="AF44" i="40"/>
  <c r="AE44" i="40"/>
  <c r="AD44" i="40"/>
  <c r="AC44" i="40"/>
  <c r="AB44" i="40"/>
  <c r="AA44" i="40"/>
  <c r="Z44" i="40"/>
  <c r="Y44" i="40"/>
  <c r="X44" i="40"/>
  <c r="W44" i="40"/>
  <c r="V44" i="40"/>
  <c r="U44" i="40"/>
  <c r="T44" i="40"/>
  <c r="S44" i="40"/>
  <c r="R44" i="40"/>
  <c r="Q44" i="40"/>
  <c r="P44" i="40"/>
  <c r="O44" i="40"/>
  <c r="N44" i="40"/>
  <c r="M44" i="40"/>
  <c r="L44" i="40"/>
  <c r="K44" i="40"/>
  <c r="J44" i="40"/>
  <c r="I44" i="40"/>
  <c r="H44" i="40"/>
  <c r="G44" i="40"/>
  <c r="F44" i="40"/>
  <c r="E44" i="40"/>
  <c r="D44" i="40"/>
  <c r="C44" i="40"/>
  <c r="AJ44" i="40" s="1"/>
  <c r="AG43" i="40"/>
  <c r="AF43" i="40"/>
  <c r="AE43" i="40"/>
  <c r="AD43" i="40"/>
  <c r="AC43" i="40"/>
  <c r="AB43" i="40"/>
  <c r="AA43" i="40"/>
  <c r="Z43" i="40"/>
  <c r="Y43" i="40"/>
  <c r="X43" i="40"/>
  <c r="W43" i="40"/>
  <c r="V43" i="40"/>
  <c r="U43" i="40"/>
  <c r="T43" i="40"/>
  <c r="S43" i="40"/>
  <c r="R43" i="40"/>
  <c r="Q43" i="40"/>
  <c r="P43" i="40"/>
  <c r="O43" i="40"/>
  <c r="N43" i="40"/>
  <c r="M43" i="40"/>
  <c r="L43" i="40"/>
  <c r="K43" i="40"/>
  <c r="J43" i="40"/>
  <c r="I43" i="40"/>
  <c r="H43" i="40"/>
  <c r="G43" i="40"/>
  <c r="F43" i="40"/>
  <c r="E43" i="40"/>
  <c r="D43" i="40"/>
  <c r="C43" i="40"/>
  <c r="AJ43" i="40" s="1"/>
  <c r="AG42" i="40"/>
  <c r="AF42" i="40"/>
  <c r="AE42" i="40"/>
  <c r="AD42" i="40"/>
  <c r="AC42" i="40"/>
  <c r="AB42" i="40"/>
  <c r="AA42" i="40"/>
  <c r="Z42" i="40"/>
  <c r="Y42" i="40"/>
  <c r="X42" i="40"/>
  <c r="W42" i="40"/>
  <c r="V42" i="40"/>
  <c r="U42" i="40"/>
  <c r="T42" i="40"/>
  <c r="S42" i="40"/>
  <c r="R42" i="40"/>
  <c r="Q42" i="40"/>
  <c r="P42" i="40"/>
  <c r="O42" i="40"/>
  <c r="N42" i="40"/>
  <c r="M42" i="40"/>
  <c r="L42" i="40"/>
  <c r="K42" i="40"/>
  <c r="J42" i="40"/>
  <c r="I42" i="40"/>
  <c r="H42" i="40"/>
  <c r="G42" i="40"/>
  <c r="F42" i="40"/>
  <c r="E42" i="40"/>
  <c r="D42" i="40"/>
  <c r="C42" i="40"/>
  <c r="AI42" i="40" s="1"/>
  <c r="AG41" i="40"/>
  <c r="AF41" i="40"/>
  <c r="AE41" i="40"/>
  <c r="AD41" i="40"/>
  <c r="AC41" i="40"/>
  <c r="AB41" i="40"/>
  <c r="AA41" i="40"/>
  <c r="Z41" i="40"/>
  <c r="Y41" i="40"/>
  <c r="X41" i="40"/>
  <c r="W41" i="40"/>
  <c r="V41" i="40"/>
  <c r="U41" i="40"/>
  <c r="T41" i="40"/>
  <c r="S41" i="40"/>
  <c r="R41" i="40"/>
  <c r="Q41" i="40"/>
  <c r="P41" i="40"/>
  <c r="O41" i="40"/>
  <c r="N41" i="40"/>
  <c r="M41" i="40"/>
  <c r="L41" i="40"/>
  <c r="K41" i="40"/>
  <c r="J41" i="40"/>
  <c r="I41" i="40"/>
  <c r="H41" i="40"/>
  <c r="G41" i="40"/>
  <c r="F41" i="40"/>
  <c r="E41" i="40"/>
  <c r="D41" i="40"/>
  <c r="C41" i="40"/>
  <c r="AJ41" i="40" s="1"/>
  <c r="AG40" i="40"/>
  <c r="AF40" i="40"/>
  <c r="AE40" i="40"/>
  <c r="AD40" i="40"/>
  <c r="AC40" i="40"/>
  <c r="AB40" i="40"/>
  <c r="AA40" i="40"/>
  <c r="Z40" i="40"/>
  <c r="Y40" i="40"/>
  <c r="X40" i="40"/>
  <c r="W40" i="40"/>
  <c r="V40" i="40"/>
  <c r="U40" i="40"/>
  <c r="T40" i="40"/>
  <c r="S40" i="40"/>
  <c r="R40" i="40"/>
  <c r="Q40" i="40"/>
  <c r="P40" i="40"/>
  <c r="O40" i="40"/>
  <c r="N40" i="40"/>
  <c r="M40" i="40"/>
  <c r="L40" i="40"/>
  <c r="K40" i="40"/>
  <c r="J40" i="40"/>
  <c r="I40" i="40"/>
  <c r="H40" i="40"/>
  <c r="G40" i="40"/>
  <c r="F40" i="40"/>
  <c r="E40" i="40"/>
  <c r="D40" i="40"/>
  <c r="C40" i="40"/>
  <c r="AI40" i="40" s="1"/>
  <c r="AG39" i="40"/>
  <c r="AF39" i="40"/>
  <c r="AE39" i="40"/>
  <c r="AD39" i="40"/>
  <c r="AC39" i="40"/>
  <c r="AB39" i="40"/>
  <c r="AA39" i="40"/>
  <c r="Z39" i="40"/>
  <c r="Y39" i="40"/>
  <c r="X39" i="40"/>
  <c r="W39" i="40"/>
  <c r="V39" i="40"/>
  <c r="U39" i="40"/>
  <c r="T39" i="40"/>
  <c r="S39" i="40"/>
  <c r="R39" i="40"/>
  <c r="Q39" i="40"/>
  <c r="P39" i="40"/>
  <c r="O39" i="40"/>
  <c r="N39" i="40"/>
  <c r="M39" i="40"/>
  <c r="L39" i="40"/>
  <c r="K39" i="40"/>
  <c r="J39" i="40"/>
  <c r="I39" i="40"/>
  <c r="H39" i="40"/>
  <c r="G39" i="40"/>
  <c r="F39" i="40"/>
  <c r="E39" i="40"/>
  <c r="D39" i="40"/>
  <c r="C39" i="40"/>
  <c r="AJ39" i="40" s="1"/>
  <c r="AG38" i="40"/>
  <c r="AF38" i="40"/>
  <c r="AE38" i="40"/>
  <c r="AD38" i="40"/>
  <c r="AC38" i="40"/>
  <c r="AB38" i="40"/>
  <c r="AA38" i="40"/>
  <c r="Z38" i="40"/>
  <c r="Y38" i="40"/>
  <c r="X38" i="40"/>
  <c r="W38" i="40"/>
  <c r="V38" i="40"/>
  <c r="U38" i="40"/>
  <c r="T38" i="40"/>
  <c r="S38" i="40"/>
  <c r="R38" i="40"/>
  <c r="Q38" i="40"/>
  <c r="P38" i="40"/>
  <c r="O38" i="40"/>
  <c r="N38" i="40"/>
  <c r="M38" i="40"/>
  <c r="L38" i="40"/>
  <c r="K38" i="40"/>
  <c r="J38" i="40"/>
  <c r="I38" i="40"/>
  <c r="H38" i="40"/>
  <c r="G38" i="40"/>
  <c r="F38" i="40"/>
  <c r="E38" i="40"/>
  <c r="D38" i="40"/>
  <c r="C38" i="40"/>
  <c r="AJ38" i="40" s="1"/>
  <c r="AG37" i="40"/>
  <c r="AF37" i="40"/>
  <c r="AE37" i="40"/>
  <c r="AD37" i="40"/>
  <c r="AC37" i="40"/>
  <c r="AB37" i="40"/>
  <c r="AA37" i="40"/>
  <c r="Z37" i="40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AI37" i="40" s="1"/>
  <c r="AG36" i="40"/>
  <c r="AF36" i="40"/>
  <c r="AE36" i="40"/>
  <c r="AD36" i="40"/>
  <c r="AC36" i="40"/>
  <c r="AB36" i="40"/>
  <c r="AA36" i="40"/>
  <c r="Z36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AJ36" i="40" s="1"/>
  <c r="AG35" i="40"/>
  <c r="AF35" i="40"/>
  <c r="AE35" i="40"/>
  <c r="AD35" i="40"/>
  <c r="AC35" i="40"/>
  <c r="AB35" i="40"/>
  <c r="AA35" i="40"/>
  <c r="Z35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AI35" i="40" s="1"/>
  <c r="AG34" i="40"/>
  <c r="AF34" i="40"/>
  <c r="AE34" i="40"/>
  <c r="AD34" i="40"/>
  <c r="AC34" i="40"/>
  <c r="AB34" i="40"/>
  <c r="AA34" i="40"/>
  <c r="Z34" i="40"/>
  <c r="Y34" i="40"/>
  <c r="X34" i="40"/>
  <c r="W34" i="40"/>
  <c r="V34" i="40"/>
  <c r="U34" i="40"/>
  <c r="T34" i="40"/>
  <c r="S34" i="40"/>
  <c r="R34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AI33" i="40"/>
  <c r="AG33" i="40"/>
  <c r="AF33" i="40"/>
  <c r="AE33" i="40"/>
  <c r="AD33" i="40"/>
  <c r="AC33" i="40"/>
  <c r="AB33" i="40"/>
  <c r="AA33" i="40"/>
  <c r="Z33" i="40"/>
  <c r="Y33" i="40"/>
  <c r="X33" i="40"/>
  <c r="W33" i="40"/>
  <c r="V33" i="40"/>
  <c r="U33" i="40"/>
  <c r="T33" i="40"/>
  <c r="S33" i="40"/>
  <c r="R33" i="40"/>
  <c r="Q33" i="40"/>
  <c r="P33" i="40"/>
  <c r="O33" i="40"/>
  <c r="N33" i="40"/>
  <c r="M33" i="40"/>
  <c r="L33" i="40"/>
  <c r="K33" i="40"/>
  <c r="J33" i="40"/>
  <c r="I33" i="40"/>
  <c r="H33" i="40"/>
  <c r="G33" i="40"/>
  <c r="F33" i="40"/>
  <c r="E33" i="40"/>
  <c r="D33" i="40"/>
  <c r="C33" i="40"/>
  <c r="AJ33" i="40" s="1"/>
  <c r="AG32" i="40"/>
  <c r="AF32" i="40"/>
  <c r="AE32" i="40"/>
  <c r="AD32" i="40"/>
  <c r="AC32" i="40"/>
  <c r="AB32" i="40"/>
  <c r="AA32" i="40"/>
  <c r="Z32" i="40"/>
  <c r="Y32" i="40"/>
  <c r="X32" i="40"/>
  <c r="W32" i="40"/>
  <c r="V32" i="40"/>
  <c r="U32" i="40"/>
  <c r="T32" i="40"/>
  <c r="S32" i="40"/>
  <c r="R32" i="40"/>
  <c r="Q32" i="40"/>
  <c r="P32" i="40"/>
  <c r="O32" i="40"/>
  <c r="N32" i="40"/>
  <c r="M32" i="40"/>
  <c r="L32" i="40"/>
  <c r="K32" i="40"/>
  <c r="J32" i="40"/>
  <c r="I32" i="40"/>
  <c r="H32" i="40"/>
  <c r="G32" i="40"/>
  <c r="F32" i="40"/>
  <c r="E32" i="40"/>
  <c r="D32" i="40"/>
  <c r="C32" i="40"/>
  <c r="AI31" i="40"/>
  <c r="AG31" i="40"/>
  <c r="AF31" i="40"/>
  <c r="AE31" i="40"/>
  <c r="AD31" i="40"/>
  <c r="AC31" i="40"/>
  <c r="AB31" i="40"/>
  <c r="AA31" i="40"/>
  <c r="Z31" i="40"/>
  <c r="Y31" i="40"/>
  <c r="X31" i="40"/>
  <c r="W31" i="40"/>
  <c r="V31" i="40"/>
  <c r="U31" i="40"/>
  <c r="T31" i="40"/>
  <c r="S31" i="40"/>
  <c r="R31" i="40"/>
  <c r="Q31" i="40"/>
  <c r="P31" i="40"/>
  <c r="O31" i="40"/>
  <c r="N31" i="40"/>
  <c r="M31" i="40"/>
  <c r="L31" i="40"/>
  <c r="K31" i="40"/>
  <c r="J31" i="40"/>
  <c r="I31" i="40"/>
  <c r="H31" i="40"/>
  <c r="G31" i="40"/>
  <c r="F31" i="40"/>
  <c r="E31" i="40"/>
  <c r="D31" i="40"/>
  <c r="C31" i="40"/>
  <c r="AJ31" i="40" s="1"/>
  <c r="AI30" i="40"/>
  <c r="AG30" i="40"/>
  <c r="AF30" i="40"/>
  <c r="AE30" i="40"/>
  <c r="AD30" i="40"/>
  <c r="AC30" i="40"/>
  <c r="AB30" i="40"/>
  <c r="AA30" i="40"/>
  <c r="Z30" i="40"/>
  <c r="Y30" i="40"/>
  <c r="X30" i="40"/>
  <c r="W30" i="40"/>
  <c r="V30" i="40"/>
  <c r="U30" i="40"/>
  <c r="T30" i="40"/>
  <c r="S30" i="40"/>
  <c r="R30" i="40"/>
  <c r="Q30" i="40"/>
  <c r="P30" i="40"/>
  <c r="O30" i="40"/>
  <c r="N30" i="40"/>
  <c r="M30" i="40"/>
  <c r="L30" i="40"/>
  <c r="K30" i="40"/>
  <c r="J30" i="40"/>
  <c r="I30" i="40"/>
  <c r="H30" i="40"/>
  <c r="G30" i="40"/>
  <c r="F30" i="40"/>
  <c r="E30" i="40"/>
  <c r="D30" i="40"/>
  <c r="C30" i="40"/>
  <c r="AJ30" i="40" s="1"/>
  <c r="AG29" i="40"/>
  <c r="AF29" i="40"/>
  <c r="AE29" i="40"/>
  <c r="AD29" i="40"/>
  <c r="AC29" i="40"/>
  <c r="AB29" i="40"/>
  <c r="AA29" i="40"/>
  <c r="Z29" i="40"/>
  <c r="Y29" i="40"/>
  <c r="X29" i="40"/>
  <c r="W29" i="40"/>
  <c r="V29" i="40"/>
  <c r="U29" i="40"/>
  <c r="T29" i="40"/>
  <c r="S29" i="40"/>
  <c r="R29" i="40"/>
  <c r="Q29" i="40"/>
  <c r="P29" i="40"/>
  <c r="O29" i="40"/>
  <c r="N29" i="40"/>
  <c r="M29" i="40"/>
  <c r="L29" i="40"/>
  <c r="K29" i="40"/>
  <c r="J29" i="40"/>
  <c r="I29" i="40"/>
  <c r="H29" i="40"/>
  <c r="G29" i="40"/>
  <c r="F29" i="40"/>
  <c r="E29" i="40"/>
  <c r="D29" i="40"/>
  <c r="C29" i="40"/>
  <c r="AG28" i="40"/>
  <c r="AF28" i="40"/>
  <c r="AE28" i="40"/>
  <c r="AD28" i="40"/>
  <c r="AC28" i="40"/>
  <c r="AB28" i="40"/>
  <c r="AA28" i="40"/>
  <c r="Z28" i="40"/>
  <c r="Y28" i="40"/>
  <c r="X28" i="40"/>
  <c r="W28" i="40"/>
  <c r="V28" i="40"/>
  <c r="U28" i="40"/>
  <c r="T28" i="40"/>
  <c r="S28" i="40"/>
  <c r="R28" i="40"/>
  <c r="Q28" i="40"/>
  <c r="P28" i="40"/>
  <c r="O28" i="40"/>
  <c r="N28" i="40"/>
  <c r="M28" i="40"/>
  <c r="L28" i="40"/>
  <c r="K28" i="40"/>
  <c r="J28" i="40"/>
  <c r="I28" i="40"/>
  <c r="H28" i="40"/>
  <c r="G28" i="40"/>
  <c r="F28" i="40"/>
  <c r="E28" i="40"/>
  <c r="D28" i="40"/>
  <c r="C28" i="40"/>
  <c r="AJ28" i="40" s="1"/>
  <c r="AG27" i="40"/>
  <c r="AF27" i="40"/>
  <c r="AE27" i="40"/>
  <c r="AD27" i="40"/>
  <c r="AC27" i="40"/>
  <c r="AB27" i="40"/>
  <c r="AA27" i="40"/>
  <c r="Z27" i="40"/>
  <c r="Y27" i="40"/>
  <c r="X27" i="40"/>
  <c r="W27" i="40"/>
  <c r="V27" i="40"/>
  <c r="U27" i="40"/>
  <c r="T27" i="40"/>
  <c r="S27" i="40"/>
  <c r="R27" i="40"/>
  <c r="Q27" i="40"/>
  <c r="P27" i="40"/>
  <c r="O27" i="40"/>
  <c r="N27" i="40"/>
  <c r="M27" i="40"/>
  <c r="L27" i="40"/>
  <c r="K27" i="40"/>
  <c r="J27" i="40"/>
  <c r="I27" i="40"/>
  <c r="H27" i="40"/>
  <c r="G27" i="40"/>
  <c r="F27" i="40"/>
  <c r="E27" i="40"/>
  <c r="D27" i="40"/>
  <c r="C27" i="40"/>
  <c r="AJ27" i="40" s="1"/>
  <c r="AG26" i="40"/>
  <c r="AF26" i="40"/>
  <c r="AE26" i="40"/>
  <c r="AD26" i="40"/>
  <c r="AC26" i="40"/>
  <c r="AB26" i="40"/>
  <c r="AA26" i="40"/>
  <c r="Z26" i="40"/>
  <c r="Y26" i="40"/>
  <c r="X26" i="40"/>
  <c r="W26" i="40"/>
  <c r="V26" i="40"/>
  <c r="U26" i="40"/>
  <c r="T26" i="40"/>
  <c r="S26" i="40"/>
  <c r="R26" i="40"/>
  <c r="Q26" i="40"/>
  <c r="P26" i="40"/>
  <c r="O26" i="40"/>
  <c r="N26" i="40"/>
  <c r="M26" i="40"/>
  <c r="L26" i="40"/>
  <c r="K26" i="40"/>
  <c r="J26" i="40"/>
  <c r="I26" i="40"/>
  <c r="H26" i="40"/>
  <c r="G26" i="40"/>
  <c r="F26" i="40"/>
  <c r="E26" i="40"/>
  <c r="D26" i="40"/>
  <c r="C26" i="40"/>
  <c r="AI26" i="40" s="1"/>
  <c r="AG25" i="40"/>
  <c r="AF25" i="40"/>
  <c r="AE25" i="40"/>
  <c r="AD25" i="40"/>
  <c r="AC25" i="40"/>
  <c r="AB25" i="40"/>
  <c r="AA25" i="40"/>
  <c r="Z25" i="40"/>
  <c r="Y25" i="40"/>
  <c r="X25" i="40"/>
  <c r="W25" i="40"/>
  <c r="V25" i="40"/>
  <c r="U25" i="40"/>
  <c r="T25" i="40"/>
  <c r="S25" i="40"/>
  <c r="R25" i="40"/>
  <c r="Q25" i="40"/>
  <c r="P25" i="40"/>
  <c r="O25" i="40"/>
  <c r="N25" i="40"/>
  <c r="M25" i="40"/>
  <c r="L25" i="40"/>
  <c r="K25" i="40"/>
  <c r="J25" i="40"/>
  <c r="I25" i="40"/>
  <c r="H25" i="40"/>
  <c r="G25" i="40"/>
  <c r="F25" i="40"/>
  <c r="E25" i="40"/>
  <c r="D25" i="40"/>
  <c r="C25" i="40"/>
  <c r="AJ25" i="40" s="1"/>
  <c r="AG24" i="40"/>
  <c r="AF24" i="40"/>
  <c r="AE24" i="40"/>
  <c r="AD24" i="40"/>
  <c r="AC24" i="40"/>
  <c r="AB24" i="40"/>
  <c r="AA24" i="40"/>
  <c r="Z24" i="40"/>
  <c r="Y24" i="40"/>
  <c r="X24" i="40"/>
  <c r="W24" i="40"/>
  <c r="V24" i="40"/>
  <c r="U24" i="40"/>
  <c r="T24" i="40"/>
  <c r="S24" i="40"/>
  <c r="R24" i="40"/>
  <c r="Q24" i="40"/>
  <c r="P24" i="40"/>
  <c r="O24" i="40"/>
  <c r="N24" i="40"/>
  <c r="M24" i="40"/>
  <c r="L24" i="40"/>
  <c r="K24" i="40"/>
  <c r="J24" i="40"/>
  <c r="I24" i="40"/>
  <c r="H24" i="40"/>
  <c r="G24" i="40"/>
  <c r="F24" i="40"/>
  <c r="E24" i="40"/>
  <c r="D24" i="40"/>
  <c r="C24" i="40"/>
  <c r="AI24" i="40" s="1"/>
  <c r="AI23" i="40"/>
  <c r="AG23" i="40"/>
  <c r="AF23" i="40"/>
  <c r="AE23" i="40"/>
  <c r="AD23" i="40"/>
  <c r="AC23" i="40"/>
  <c r="AB23" i="40"/>
  <c r="AA23" i="40"/>
  <c r="Z23" i="40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AJ23" i="40" s="1"/>
  <c r="AI22" i="40"/>
  <c r="AG22" i="40"/>
  <c r="AF22" i="40"/>
  <c r="AE22" i="40"/>
  <c r="AD22" i="40"/>
  <c r="AC22" i="40"/>
  <c r="AB22" i="40"/>
  <c r="AA22" i="40"/>
  <c r="Z22" i="40"/>
  <c r="Y22" i="40"/>
  <c r="X22" i="40"/>
  <c r="W22" i="40"/>
  <c r="V22" i="40"/>
  <c r="U22" i="40"/>
  <c r="T22" i="40"/>
  <c r="S22" i="40"/>
  <c r="R22" i="40"/>
  <c r="Q22" i="40"/>
  <c r="P22" i="40"/>
  <c r="O22" i="40"/>
  <c r="N22" i="40"/>
  <c r="M22" i="40"/>
  <c r="L22" i="40"/>
  <c r="K22" i="40"/>
  <c r="J22" i="40"/>
  <c r="I22" i="40"/>
  <c r="H22" i="40"/>
  <c r="G22" i="40"/>
  <c r="F22" i="40"/>
  <c r="E22" i="40"/>
  <c r="D22" i="40"/>
  <c r="C22" i="40"/>
  <c r="AJ22" i="40" s="1"/>
  <c r="AI21" i="40"/>
  <c r="AG21" i="40"/>
  <c r="AF21" i="40"/>
  <c r="AE21" i="40"/>
  <c r="AD21" i="40"/>
  <c r="AC21" i="40"/>
  <c r="AB21" i="40"/>
  <c r="AA21" i="40"/>
  <c r="Z21" i="40"/>
  <c r="Y21" i="40"/>
  <c r="X21" i="40"/>
  <c r="W21" i="40"/>
  <c r="V21" i="40"/>
  <c r="U21" i="40"/>
  <c r="T21" i="40"/>
  <c r="S21" i="40"/>
  <c r="R21" i="40"/>
  <c r="Q21" i="40"/>
  <c r="P21" i="40"/>
  <c r="O21" i="40"/>
  <c r="N21" i="40"/>
  <c r="M21" i="40"/>
  <c r="L21" i="40"/>
  <c r="K21" i="40"/>
  <c r="J21" i="40"/>
  <c r="I21" i="40"/>
  <c r="H21" i="40"/>
  <c r="G21" i="40"/>
  <c r="F21" i="40"/>
  <c r="E21" i="40"/>
  <c r="D21" i="40"/>
  <c r="C21" i="40"/>
  <c r="AJ21" i="40" s="1"/>
  <c r="AI20" i="40"/>
  <c r="AG20" i="40"/>
  <c r="AF20" i="40"/>
  <c r="AE20" i="40"/>
  <c r="AD20" i="40"/>
  <c r="AC20" i="40"/>
  <c r="AB20" i="40"/>
  <c r="AA20" i="40"/>
  <c r="Z20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K110" i="40" s="1"/>
  <c r="J20" i="40"/>
  <c r="J110" i="40" s="1"/>
  <c r="I20" i="40"/>
  <c r="I110" i="40" s="1"/>
  <c r="H20" i="40"/>
  <c r="H110" i="40" s="1"/>
  <c r="G20" i="40"/>
  <c r="G110" i="40" s="1"/>
  <c r="F20" i="40"/>
  <c r="F110" i="40" s="1"/>
  <c r="E20" i="40"/>
  <c r="E110" i="40" s="1"/>
  <c r="D20" i="40"/>
  <c r="D110" i="40" s="1"/>
  <c r="C20" i="40"/>
  <c r="C110" i="40" s="1"/>
  <c r="AG19" i="40"/>
  <c r="AF19" i="40"/>
  <c r="AE19" i="40"/>
  <c r="AD19" i="40"/>
  <c r="AC19" i="40"/>
  <c r="AB19" i="40"/>
  <c r="AA19" i="40"/>
  <c r="Z19" i="40"/>
  <c r="Y19" i="40"/>
  <c r="X19" i="40"/>
  <c r="W19" i="40"/>
  <c r="V19" i="40"/>
  <c r="U19" i="40"/>
  <c r="T19" i="40"/>
  <c r="S19" i="40"/>
  <c r="R19" i="40"/>
  <c r="Q19" i="40"/>
  <c r="P19" i="40"/>
  <c r="O19" i="40"/>
  <c r="N19" i="40"/>
  <c r="M19" i="40"/>
  <c r="L19" i="40"/>
  <c r="K19" i="40"/>
  <c r="J19" i="40"/>
  <c r="I19" i="40"/>
  <c r="H19" i="40"/>
  <c r="G19" i="40"/>
  <c r="F19" i="40"/>
  <c r="E19" i="40"/>
  <c r="D19" i="40"/>
  <c r="C19" i="40"/>
  <c r="AI19" i="40" s="1"/>
  <c r="AG18" i="40"/>
  <c r="AF18" i="40"/>
  <c r="AE18" i="40"/>
  <c r="AD18" i="40"/>
  <c r="AC18" i="40"/>
  <c r="AB18" i="40"/>
  <c r="AA18" i="40"/>
  <c r="Z18" i="40"/>
  <c r="Y18" i="40"/>
  <c r="X18" i="40"/>
  <c r="W18" i="40"/>
  <c r="V18" i="40"/>
  <c r="U18" i="40"/>
  <c r="T18" i="40"/>
  <c r="S18" i="40"/>
  <c r="R18" i="40"/>
  <c r="Q18" i="40"/>
  <c r="P18" i="40"/>
  <c r="O18" i="40"/>
  <c r="N18" i="40"/>
  <c r="M18" i="40"/>
  <c r="L18" i="40"/>
  <c r="K18" i="40"/>
  <c r="J18" i="40"/>
  <c r="I18" i="40"/>
  <c r="H18" i="40"/>
  <c r="G18" i="40"/>
  <c r="F18" i="40"/>
  <c r="E18" i="40"/>
  <c r="D18" i="40"/>
  <c r="C18" i="40"/>
  <c r="AJ18" i="40" s="1"/>
  <c r="AG17" i="40"/>
  <c r="AF17" i="40"/>
  <c r="AE17" i="40"/>
  <c r="AD17" i="40"/>
  <c r="AC17" i="40"/>
  <c r="AB17" i="40"/>
  <c r="AA17" i="40"/>
  <c r="Z17" i="40"/>
  <c r="Y17" i="40"/>
  <c r="X17" i="40"/>
  <c r="W17" i="40"/>
  <c r="V17" i="40"/>
  <c r="U17" i="40"/>
  <c r="T17" i="40"/>
  <c r="S17" i="40"/>
  <c r="R17" i="40"/>
  <c r="Q17" i="40"/>
  <c r="P17" i="40"/>
  <c r="O17" i="40"/>
  <c r="N17" i="40"/>
  <c r="M17" i="40"/>
  <c r="L17" i="40"/>
  <c r="K17" i="40"/>
  <c r="J17" i="40"/>
  <c r="I17" i="40"/>
  <c r="H17" i="40"/>
  <c r="G17" i="40"/>
  <c r="F17" i="40"/>
  <c r="E17" i="40"/>
  <c r="D17" i="40"/>
  <c r="C17" i="40"/>
  <c r="AJ17" i="40" s="1"/>
  <c r="AG16" i="40"/>
  <c r="AF16" i="40"/>
  <c r="AE16" i="40"/>
  <c r="AD16" i="40"/>
  <c r="AC16" i="40"/>
  <c r="AB16" i="40"/>
  <c r="AA16" i="40"/>
  <c r="Z16" i="40"/>
  <c r="Y16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L16" i="40"/>
  <c r="K16" i="40"/>
  <c r="J16" i="40"/>
  <c r="I16" i="40"/>
  <c r="H16" i="40"/>
  <c r="G16" i="40"/>
  <c r="F16" i="40"/>
  <c r="E16" i="40"/>
  <c r="D16" i="40"/>
  <c r="C16" i="40"/>
  <c r="AI16" i="40" s="1"/>
  <c r="AG15" i="40"/>
  <c r="AF15" i="40"/>
  <c r="AE15" i="40"/>
  <c r="AD15" i="40"/>
  <c r="AC15" i="40"/>
  <c r="AB15" i="40"/>
  <c r="AA15" i="40"/>
  <c r="Z15" i="40"/>
  <c r="Y15" i="40"/>
  <c r="X15" i="40"/>
  <c r="W15" i="40"/>
  <c r="V15" i="40"/>
  <c r="U15" i="40"/>
  <c r="T15" i="40"/>
  <c r="S15" i="40"/>
  <c r="R15" i="40"/>
  <c r="Q15" i="40"/>
  <c r="P15" i="40"/>
  <c r="O15" i="40"/>
  <c r="N15" i="40"/>
  <c r="M15" i="40"/>
  <c r="L15" i="40"/>
  <c r="K15" i="40"/>
  <c r="J15" i="40"/>
  <c r="I15" i="40"/>
  <c r="H15" i="40"/>
  <c r="G15" i="40"/>
  <c r="F15" i="40"/>
  <c r="E15" i="40"/>
  <c r="D15" i="40"/>
  <c r="C15" i="40"/>
  <c r="AJ15" i="40" s="1"/>
  <c r="AG14" i="40"/>
  <c r="AF14" i="40"/>
  <c r="AE14" i="40"/>
  <c r="AD14" i="40"/>
  <c r="AC14" i="40"/>
  <c r="AB14" i="40"/>
  <c r="AA14" i="40"/>
  <c r="Z14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AJ14" i="40" s="1"/>
  <c r="AG13" i="40"/>
  <c r="AF13" i="40"/>
  <c r="AE13" i="40"/>
  <c r="AD13" i="40"/>
  <c r="AC13" i="40"/>
  <c r="AB13" i="40"/>
  <c r="AA13" i="40"/>
  <c r="Z13" i="40"/>
  <c r="Y13" i="40"/>
  <c r="X13" i="40"/>
  <c r="W13" i="40"/>
  <c r="V13" i="40"/>
  <c r="U13" i="40"/>
  <c r="T13" i="40"/>
  <c r="S13" i="40"/>
  <c r="R13" i="40"/>
  <c r="Q13" i="40"/>
  <c r="P13" i="40"/>
  <c r="O13" i="40"/>
  <c r="N13" i="40"/>
  <c r="M13" i="40"/>
  <c r="L13" i="40"/>
  <c r="K13" i="40"/>
  <c r="J13" i="40"/>
  <c r="I13" i="40"/>
  <c r="H13" i="40"/>
  <c r="G13" i="40"/>
  <c r="F13" i="40"/>
  <c r="E13" i="40"/>
  <c r="D13" i="40"/>
  <c r="C13" i="40"/>
  <c r="AI13" i="40" s="1"/>
  <c r="AG12" i="40"/>
  <c r="AF12" i="40"/>
  <c r="AE12" i="40"/>
  <c r="AD12" i="40"/>
  <c r="AC12" i="40"/>
  <c r="AB12" i="40"/>
  <c r="AA12" i="40"/>
  <c r="Z12" i="40"/>
  <c r="Y12" i="40"/>
  <c r="X12" i="40"/>
  <c r="W12" i="40"/>
  <c r="V12" i="40"/>
  <c r="U12" i="40"/>
  <c r="T12" i="40"/>
  <c r="S12" i="40"/>
  <c r="R12" i="40"/>
  <c r="Q12" i="40"/>
  <c r="P12" i="40"/>
  <c r="O12" i="40"/>
  <c r="N12" i="40"/>
  <c r="M12" i="40"/>
  <c r="L12" i="40"/>
  <c r="K12" i="40"/>
  <c r="J12" i="40"/>
  <c r="I12" i="40"/>
  <c r="H12" i="40"/>
  <c r="G12" i="40"/>
  <c r="F12" i="40"/>
  <c r="E12" i="40"/>
  <c r="D12" i="40"/>
  <c r="C12" i="40"/>
  <c r="AJ12" i="40" s="1"/>
  <c r="AG11" i="40"/>
  <c r="AG50" i="40" s="1"/>
  <c r="AF11" i="40"/>
  <c r="AF50" i="40" s="1"/>
  <c r="AF242" i="40" s="1"/>
  <c r="AE11" i="40"/>
  <c r="AE50" i="40" s="1"/>
  <c r="AE242" i="40" s="1"/>
  <c r="AD11" i="40"/>
  <c r="AD50" i="40" s="1"/>
  <c r="AD242" i="40" s="1"/>
  <c r="AC11" i="40"/>
  <c r="AC50" i="40" s="1"/>
  <c r="AC242" i="40" s="1"/>
  <c r="AB11" i="40"/>
  <c r="AB50" i="40" s="1"/>
  <c r="AA11" i="40"/>
  <c r="AA50" i="40" s="1"/>
  <c r="Z11" i="40"/>
  <c r="Z50" i="40" s="1"/>
  <c r="Z242" i="40" s="1"/>
  <c r="Y11" i="40"/>
  <c r="Y50" i="40" s="1"/>
  <c r="X11" i="40"/>
  <c r="X50" i="40" s="1"/>
  <c r="X242" i="40" s="1"/>
  <c r="W11" i="40"/>
  <c r="W50" i="40" s="1"/>
  <c r="W242" i="40" s="1"/>
  <c r="V11" i="40"/>
  <c r="V50" i="40" s="1"/>
  <c r="V242" i="40" s="1"/>
  <c r="U11" i="40"/>
  <c r="U50" i="40" s="1"/>
  <c r="U242" i="40" s="1"/>
  <c r="T11" i="40"/>
  <c r="T50" i="40" s="1"/>
  <c r="S11" i="40"/>
  <c r="S50" i="40" s="1"/>
  <c r="R11" i="40"/>
  <c r="R50" i="40" s="1"/>
  <c r="Q11" i="40"/>
  <c r="Q50" i="40" s="1"/>
  <c r="P11" i="40"/>
  <c r="P50" i="40" s="1"/>
  <c r="P242" i="40" s="1"/>
  <c r="O11" i="40"/>
  <c r="O50" i="40" s="1"/>
  <c r="O242" i="40" s="1"/>
  <c r="N11" i="40"/>
  <c r="N50" i="40" s="1"/>
  <c r="N242" i="40" s="1"/>
  <c r="M11" i="40"/>
  <c r="M50" i="40" s="1"/>
  <c r="M242" i="40" s="1"/>
  <c r="L11" i="40"/>
  <c r="L50" i="40" s="1"/>
  <c r="K11" i="40"/>
  <c r="K50" i="40" s="1"/>
  <c r="J11" i="40"/>
  <c r="J50" i="40" s="1"/>
  <c r="I11" i="40"/>
  <c r="I50" i="40" s="1"/>
  <c r="H11" i="40"/>
  <c r="H50" i="40" s="1"/>
  <c r="G11" i="40"/>
  <c r="F11" i="40"/>
  <c r="F50" i="40" s="1"/>
  <c r="E11" i="40"/>
  <c r="E50" i="40" s="1"/>
  <c r="D11" i="40"/>
  <c r="D50" i="40" s="1"/>
  <c r="C11" i="40"/>
  <c r="C50" i="40" s="1"/>
  <c r="AH50" i="40" s="1"/>
  <c r="AH2" i="40" s="1"/>
  <c r="AH6" i="40" s="1"/>
  <c r="AE7" i="40"/>
  <c r="AD7" i="40"/>
  <c r="AC7" i="40"/>
  <c r="AB7" i="40"/>
  <c r="AA7" i="40"/>
  <c r="Z7" i="40"/>
  <c r="Y7" i="40"/>
  <c r="X7" i="40"/>
  <c r="W7" i="40"/>
  <c r="V7" i="40"/>
  <c r="U7" i="40"/>
  <c r="T7" i="40"/>
  <c r="S7" i="40"/>
  <c r="R7" i="40"/>
  <c r="Q7" i="40"/>
  <c r="P7" i="40"/>
  <c r="O7" i="40"/>
  <c r="N7" i="40"/>
  <c r="M7" i="40"/>
  <c r="L7" i="40"/>
  <c r="AG5" i="40"/>
  <c r="AF5" i="40"/>
  <c r="AE5" i="40"/>
  <c r="AD5" i="40"/>
  <c r="AC5" i="40"/>
  <c r="AB5" i="40"/>
  <c r="AA5" i="40"/>
  <c r="Z5" i="40"/>
  <c r="Y5" i="40"/>
  <c r="X5" i="40"/>
  <c r="W5" i="40"/>
  <c r="V5" i="40"/>
  <c r="U5" i="40"/>
  <c r="T5" i="40"/>
  <c r="S5" i="40"/>
  <c r="R5" i="40"/>
  <c r="Q5" i="40"/>
  <c r="P5" i="40"/>
  <c r="O5" i="40"/>
  <c r="N5" i="40"/>
  <c r="M5" i="40"/>
  <c r="L5" i="40"/>
  <c r="K5" i="40"/>
  <c r="J5" i="40"/>
  <c r="I5" i="40"/>
  <c r="H5" i="40"/>
  <c r="F5" i="40"/>
  <c r="E5" i="40"/>
  <c r="D5" i="40"/>
  <c r="C5" i="40"/>
  <c r="B5" i="40"/>
  <c r="AH4" i="40"/>
  <c r="L4" i="40"/>
  <c r="F4" i="40"/>
  <c r="I4" i="40" s="1"/>
  <c r="C4" i="40"/>
  <c r="T246" i="40" s="1"/>
  <c r="AG274" i="39"/>
  <c r="AF274" i="39"/>
  <c r="AE274" i="39"/>
  <c r="AD274" i="39"/>
  <c r="AC274" i="39"/>
  <c r="AB274" i="39"/>
  <c r="AA274" i="39"/>
  <c r="Z274" i="39"/>
  <c r="Y274" i="39"/>
  <c r="X274" i="39"/>
  <c r="W274" i="39"/>
  <c r="V274" i="39"/>
  <c r="U274" i="39"/>
  <c r="T274" i="39"/>
  <c r="S274" i="39"/>
  <c r="R274" i="39"/>
  <c r="Q274" i="39"/>
  <c r="P274" i="39"/>
  <c r="O274" i="39"/>
  <c r="N274" i="39"/>
  <c r="M274" i="39"/>
  <c r="L274" i="39"/>
  <c r="K274" i="39"/>
  <c r="J274" i="39"/>
  <c r="I274" i="39"/>
  <c r="H274" i="39"/>
  <c r="G274" i="39"/>
  <c r="F274" i="39"/>
  <c r="E274" i="39"/>
  <c r="D274" i="39"/>
  <c r="C274" i="39"/>
  <c r="B274" i="39"/>
  <c r="A274" i="39"/>
  <c r="AG273" i="39"/>
  <c r="AF273" i="39"/>
  <c r="AE273" i="39"/>
  <c r="AD273" i="39"/>
  <c r="AC273" i="39"/>
  <c r="AB273" i="39"/>
  <c r="AA273" i="39"/>
  <c r="Z273" i="39"/>
  <c r="Y273" i="39"/>
  <c r="X273" i="39"/>
  <c r="W273" i="39"/>
  <c r="V273" i="39"/>
  <c r="U273" i="39"/>
  <c r="T273" i="39"/>
  <c r="S273" i="39"/>
  <c r="R273" i="39"/>
  <c r="Q273" i="39"/>
  <c r="P273" i="39"/>
  <c r="O273" i="39"/>
  <c r="N273" i="39"/>
  <c r="M273" i="39"/>
  <c r="L273" i="39"/>
  <c r="K273" i="39"/>
  <c r="J273" i="39"/>
  <c r="I273" i="39"/>
  <c r="H273" i="39"/>
  <c r="G273" i="39"/>
  <c r="F273" i="39"/>
  <c r="E273" i="39"/>
  <c r="D273" i="39"/>
  <c r="C273" i="39"/>
  <c r="B273" i="39"/>
  <c r="A273" i="39"/>
  <c r="AG272" i="39"/>
  <c r="AF272" i="39"/>
  <c r="AE272" i="39"/>
  <c r="AD272" i="39"/>
  <c r="AC272" i="39"/>
  <c r="AB272" i="39"/>
  <c r="AA272" i="39"/>
  <c r="Z272" i="39"/>
  <c r="Y272" i="39"/>
  <c r="X272" i="39"/>
  <c r="W272" i="39"/>
  <c r="V272" i="39"/>
  <c r="U272" i="39"/>
  <c r="T272" i="39"/>
  <c r="S272" i="39"/>
  <c r="R272" i="39"/>
  <c r="Q272" i="39"/>
  <c r="P272" i="39"/>
  <c r="O272" i="39"/>
  <c r="N272" i="39"/>
  <c r="M272" i="39"/>
  <c r="L272" i="39"/>
  <c r="K272" i="39"/>
  <c r="J272" i="39"/>
  <c r="I272" i="39"/>
  <c r="H272" i="39"/>
  <c r="G272" i="39"/>
  <c r="F272" i="39"/>
  <c r="E272" i="39"/>
  <c r="D272" i="39"/>
  <c r="C272" i="39"/>
  <c r="B272" i="39"/>
  <c r="A272" i="39"/>
  <c r="AG271" i="39"/>
  <c r="AF271" i="39"/>
  <c r="AE271" i="39"/>
  <c r="AD271" i="39"/>
  <c r="AC271" i="39"/>
  <c r="AB271" i="39"/>
  <c r="AA271" i="39"/>
  <c r="Z271" i="39"/>
  <c r="Y271" i="39"/>
  <c r="X271" i="39"/>
  <c r="W271" i="39"/>
  <c r="V271" i="39"/>
  <c r="U271" i="39"/>
  <c r="T271" i="39"/>
  <c r="S271" i="39"/>
  <c r="R271" i="39"/>
  <c r="Q271" i="39"/>
  <c r="P271" i="39"/>
  <c r="O271" i="39"/>
  <c r="N271" i="39"/>
  <c r="M271" i="39"/>
  <c r="L271" i="39"/>
  <c r="K271" i="39"/>
  <c r="J271" i="39"/>
  <c r="I271" i="39"/>
  <c r="H271" i="39"/>
  <c r="G271" i="39"/>
  <c r="F271" i="39"/>
  <c r="E271" i="39"/>
  <c r="D271" i="39"/>
  <c r="C271" i="39"/>
  <c r="B271" i="39"/>
  <c r="A271" i="39"/>
  <c r="AF270" i="39"/>
  <c r="AE270" i="39"/>
  <c r="AD270" i="39"/>
  <c r="AC270" i="39"/>
  <c r="AB270" i="39"/>
  <c r="AA270" i="39"/>
  <c r="Z270" i="39"/>
  <c r="Y270" i="39"/>
  <c r="X270" i="39"/>
  <c r="W270" i="39"/>
  <c r="V270" i="39"/>
  <c r="U270" i="39"/>
  <c r="T270" i="39"/>
  <c r="S270" i="39"/>
  <c r="R270" i="39"/>
  <c r="Q270" i="39"/>
  <c r="P270" i="39"/>
  <c r="O270" i="39"/>
  <c r="N270" i="39"/>
  <c r="M270" i="39"/>
  <c r="L270" i="39"/>
  <c r="K270" i="39"/>
  <c r="I270" i="39"/>
  <c r="G270" i="39"/>
  <c r="F270" i="39"/>
  <c r="AY249" i="39"/>
  <c r="AX249" i="39"/>
  <c r="AW249" i="39"/>
  <c r="AV249" i="39"/>
  <c r="AU249" i="39"/>
  <c r="AT249" i="39"/>
  <c r="AS249" i="39"/>
  <c r="AR249" i="39"/>
  <c r="AQ249" i="39"/>
  <c r="AP249" i="39"/>
  <c r="AO249" i="39"/>
  <c r="AN249" i="39"/>
  <c r="AM249" i="39"/>
  <c r="AL249" i="39"/>
  <c r="AK249" i="39"/>
  <c r="AJ249" i="39"/>
  <c r="AI249" i="39"/>
  <c r="AH249" i="39"/>
  <c r="AG249" i="39"/>
  <c r="AF249" i="39"/>
  <c r="AE249" i="39"/>
  <c r="AD249" i="39"/>
  <c r="T245" i="39"/>
  <c r="AN242" i="39"/>
  <c r="AH235" i="39"/>
  <c r="AH67" i="39" s="1"/>
  <c r="K235" i="39"/>
  <c r="K234" i="39"/>
  <c r="J270" i="39" s="1"/>
  <c r="J234" i="39"/>
  <c r="I234" i="39"/>
  <c r="H270" i="39" s="1"/>
  <c r="H234" i="39"/>
  <c r="G234" i="39"/>
  <c r="F234" i="39"/>
  <c r="E270" i="39" s="1"/>
  <c r="E234" i="39"/>
  <c r="D270" i="39" s="1"/>
  <c r="D234" i="39"/>
  <c r="C270" i="39" s="1"/>
  <c r="C234" i="39"/>
  <c r="B234" i="39"/>
  <c r="K233" i="39"/>
  <c r="J233" i="39"/>
  <c r="I233" i="39"/>
  <c r="H233" i="39"/>
  <c r="G233" i="39"/>
  <c r="F233" i="39"/>
  <c r="E233" i="39"/>
  <c r="D233" i="39"/>
  <c r="C233" i="39"/>
  <c r="B233" i="39"/>
  <c r="K232" i="39"/>
  <c r="J232" i="39"/>
  <c r="I232" i="39"/>
  <c r="H232" i="39"/>
  <c r="G232" i="39"/>
  <c r="F232" i="39"/>
  <c r="E232" i="39"/>
  <c r="D232" i="39"/>
  <c r="C232" i="39"/>
  <c r="B232" i="39"/>
  <c r="K231" i="39"/>
  <c r="J231" i="39"/>
  <c r="J235" i="39" s="1"/>
  <c r="I231" i="39"/>
  <c r="H231" i="39"/>
  <c r="G231" i="39"/>
  <c r="F231" i="39"/>
  <c r="E231" i="39"/>
  <c r="D231" i="39"/>
  <c r="D235" i="39" s="1"/>
  <c r="C231" i="39"/>
  <c r="B231" i="39"/>
  <c r="B235" i="39" s="1"/>
  <c r="K230" i="39"/>
  <c r="J230" i="39"/>
  <c r="I230" i="39"/>
  <c r="H230" i="39"/>
  <c r="G230" i="39"/>
  <c r="F230" i="39"/>
  <c r="E230" i="39"/>
  <c r="D230" i="39"/>
  <c r="C230" i="39"/>
  <c r="C235" i="39" s="1"/>
  <c r="B230" i="39"/>
  <c r="K229" i="39"/>
  <c r="J229" i="39"/>
  <c r="I229" i="39"/>
  <c r="H229" i="39"/>
  <c r="H235" i="39" s="1"/>
  <c r="G229" i="39"/>
  <c r="F229" i="39"/>
  <c r="E229" i="39"/>
  <c r="E235" i="39" s="1"/>
  <c r="D229" i="39"/>
  <c r="C229" i="39"/>
  <c r="B229" i="39"/>
  <c r="AH227" i="39"/>
  <c r="K227" i="39"/>
  <c r="J227" i="39"/>
  <c r="I227" i="39"/>
  <c r="H227" i="39"/>
  <c r="G227" i="39"/>
  <c r="F227" i="39"/>
  <c r="E227" i="39"/>
  <c r="D227" i="39"/>
  <c r="C227" i="39"/>
  <c r="B227" i="39"/>
  <c r="AJ120" i="39"/>
  <c r="AI120" i="39"/>
  <c r="AJ119" i="39"/>
  <c r="AI119" i="39"/>
  <c r="AJ118" i="39"/>
  <c r="AI118" i="39"/>
  <c r="AJ117" i="39"/>
  <c r="AI117" i="39"/>
  <c r="AJ116" i="39"/>
  <c r="AI116" i="39"/>
  <c r="AJ115" i="39"/>
  <c r="AI115" i="39"/>
  <c r="AJ114" i="39"/>
  <c r="AI114" i="39"/>
  <c r="AJ113" i="39"/>
  <c r="AI113" i="39"/>
  <c r="AJ112" i="39"/>
  <c r="AI112" i="39"/>
  <c r="AJ111" i="39"/>
  <c r="AI111" i="39"/>
  <c r="I110" i="39"/>
  <c r="B110" i="39"/>
  <c r="AJ109" i="39"/>
  <c r="AI109" i="39"/>
  <c r="AJ108" i="39"/>
  <c r="AI108" i="39"/>
  <c r="AJ107" i="39"/>
  <c r="AI107" i="39"/>
  <c r="AJ106" i="39"/>
  <c r="AI106" i="39"/>
  <c r="AJ105" i="39"/>
  <c r="AI105" i="39"/>
  <c r="AJ104" i="39"/>
  <c r="AI104" i="39"/>
  <c r="AJ103" i="39"/>
  <c r="AI103" i="39"/>
  <c r="AJ102" i="39"/>
  <c r="AI102" i="39"/>
  <c r="AJ101" i="39"/>
  <c r="AI101" i="39"/>
  <c r="C100" i="39"/>
  <c r="K99" i="39"/>
  <c r="K100" i="39" s="1"/>
  <c r="J99" i="39"/>
  <c r="I99" i="39"/>
  <c r="H99" i="39"/>
  <c r="G99" i="39"/>
  <c r="G100" i="39" s="1"/>
  <c r="F99" i="39"/>
  <c r="E99" i="39"/>
  <c r="D99" i="39"/>
  <c r="C99" i="39"/>
  <c r="B99" i="39"/>
  <c r="AJ98" i="39"/>
  <c r="AI98" i="39"/>
  <c r="AJ97" i="39"/>
  <c r="AI97" i="39"/>
  <c r="AJ96" i="39"/>
  <c r="AI96" i="39"/>
  <c r="AJ95" i="39"/>
  <c r="AI95" i="39"/>
  <c r="AJ94" i="39"/>
  <c r="AI94" i="39"/>
  <c r="AJ93" i="39"/>
  <c r="AI93" i="39"/>
  <c r="AJ90" i="39"/>
  <c r="AI90" i="39"/>
  <c r="AJ88" i="39"/>
  <c r="AI88" i="39"/>
  <c r="AH88" i="39"/>
  <c r="AJ87" i="39"/>
  <c r="AI87" i="39"/>
  <c r="AJ86" i="39"/>
  <c r="AI86" i="39"/>
  <c r="AJ85" i="39"/>
  <c r="AI85" i="39"/>
  <c r="AH84" i="39"/>
  <c r="K84" i="39"/>
  <c r="J84" i="39"/>
  <c r="J100" i="39" s="1"/>
  <c r="I84" i="39"/>
  <c r="I100" i="39" s="1"/>
  <c r="H84" i="39"/>
  <c r="G84" i="39"/>
  <c r="F84" i="39"/>
  <c r="F100" i="39" s="1"/>
  <c r="E84" i="39"/>
  <c r="D84" i="39"/>
  <c r="C84" i="39"/>
  <c r="B84" i="39"/>
  <c r="B100" i="39" s="1"/>
  <c r="AJ83" i="39"/>
  <c r="AI83" i="39"/>
  <c r="AJ82" i="39"/>
  <c r="AI82" i="39"/>
  <c r="AJ81" i="39"/>
  <c r="AI81" i="39"/>
  <c r="AJ80" i="39"/>
  <c r="AI80" i="39"/>
  <c r="AJ79" i="39"/>
  <c r="AI79" i="39"/>
  <c r="AJ78" i="39"/>
  <c r="AI78" i="39"/>
  <c r="AJ77" i="39"/>
  <c r="AI77" i="39"/>
  <c r="AJ76" i="39"/>
  <c r="AI76" i="39"/>
  <c r="AJ75" i="39"/>
  <c r="AI75" i="39"/>
  <c r="AJ74" i="39"/>
  <c r="AI74" i="39"/>
  <c r="AJ73" i="39"/>
  <c r="AI73" i="39"/>
  <c r="AJ72" i="39"/>
  <c r="AI72" i="39"/>
  <c r="AH72" i="39"/>
  <c r="B72" i="39"/>
  <c r="AJ71" i="39"/>
  <c r="AI71" i="39"/>
  <c r="AJ70" i="39"/>
  <c r="AI70" i="39"/>
  <c r="AJ69" i="39"/>
  <c r="AI69" i="39"/>
  <c r="AF68" i="39"/>
  <c r="Z68" i="39"/>
  <c r="X68" i="39"/>
  <c r="W68" i="39"/>
  <c r="D68" i="39"/>
  <c r="AJ67" i="39"/>
  <c r="AI67" i="39"/>
  <c r="AG66" i="39"/>
  <c r="AF66" i="39"/>
  <c r="AE66" i="39"/>
  <c r="AD66" i="39"/>
  <c r="AC66" i="39"/>
  <c r="AB66" i="39"/>
  <c r="AA66" i="39"/>
  <c r="Z66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AJ66" i="39" s="1"/>
  <c r="AI65" i="39"/>
  <c r="G65" i="39"/>
  <c r="F65" i="39"/>
  <c r="E65" i="39"/>
  <c r="D65" i="39"/>
  <c r="C65" i="39"/>
  <c r="AJ65" i="39" s="1"/>
  <c r="AI64" i="39"/>
  <c r="AG64" i="39"/>
  <c r="AF64" i="39"/>
  <c r="AE64" i="39"/>
  <c r="AD64" i="39"/>
  <c r="AC64" i="39"/>
  <c r="AB64" i="39"/>
  <c r="AA64" i="39"/>
  <c r="Z64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AJ64" i="39" s="1"/>
  <c r="AI63" i="39"/>
  <c r="AG63" i="39"/>
  <c r="AF63" i="39"/>
  <c r="AE63" i="39"/>
  <c r="AD63" i="39"/>
  <c r="AC63" i="39"/>
  <c r="AB63" i="39"/>
  <c r="AA63" i="39"/>
  <c r="Z63" i="39"/>
  <c r="Y63" i="39"/>
  <c r="X63" i="39"/>
  <c r="W63" i="39"/>
  <c r="V63" i="39"/>
  <c r="U63" i="39"/>
  <c r="T63" i="39"/>
  <c r="S63" i="39"/>
  <c r="R63" i="39"/>
  <c r="Q63" i="39"/>
  <c r="P63" i="39"/>
  <c r="O63" i="39"/>
  <c r="N63" i="39"/>
  <c r="M63" i="39"/>
  <c r="L63" i="39"/>
  <c r="K63" i="39"/>
  <c r="J63" i="39"/>
  <c r="I63" i="39"/>
  <c r="H63" i="39"/>
  <c r="G63" i="39"/>
  <c r="F63" i="39"/>
  <c r="E63" i="39"/>
  <c r="D63" i="39"/>
  <c r="C63" i="39"/>
  <c r="AJ63" i="39" s="1"/>
  <c r="AJ62" i="39"/>
  <c r="AI62" i="39"/>
  <c r="AI61" i="39"/>
  <c r="AG61" i="39"/>
  <c r="AF61" i="39"/>
  <c r="AE61" i="39"/>
  <c r="AD61" i="39"/>
  <c r="AC61" i="39"/>
  <c r="AB61" i="39"/>
  <c r="AA61" i="39"/>
  <c r="Z61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AJ61" i="39" s="1"/>
  <c r="AJ60" i="39"/>
  <c r="AG60" i="39"/>
  <c r="AF60" i="39"/>
  <c r="AE60" i="39"/>
  <c r="AD60" i="39"/>
  <c r="AC60" i="39"/>
  <c r="AB60" i="39"/>
  <c r="AA60" i="39"/>
  <c r="Z60" i="39"/>
  <c r="Y60" i="39"/>
  <c r="X60" i="39"/>
  <c r="W60" i="39"/>
  <c r="V60" i="39"/>
  <c r="U60" i="39"/>
  <c r="T60" i="39"/>
  <c r="S60" i="39"/>
  <c r="R60" i="39"/>
  <c r="Q60" i="39"/>
  <c r="P60" i="39"/>
  <c r="O60" i="39"/>
  <c r="N60" i="39"/>
  <c r="M60" i="39"/>
  <c r="L60" i="39"/>
  <c r="K60" i="39"/>
  <c r="J60" i="39"/>
  <c r="I60" i="39"/>
  <c r="H60" i="39"/>
  <c r="G60" i="39"/>
  <c r="F60" i="39"/>
  <c r="E60" i="39"/>
  <c r="D60" i="39"/>
  <c r="C60" i="39"/>
  <c r="AI60" i="39" s="1"/>
  <c r="AJ59" i="39"/>
  <c r="AI59" i="39"/>
  <c r="AG58" i="39"/>
  <c r="AF58" i="39"/>
  <c r="AE58" i="39"/>
  <c r="AD58" i="39"/>
  <c r="AC58" i="39"/>
  <c r="AB58" i="39"/>
  <c r="AA58" i="39"/>
  <c r="Z58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AJ58" i="39" s="1"/>
  <c r="AK57" i="39"/>
  <c r="AG57" i="39"/>
  <c r="AF57" i="39"/>
  <c r="AE57" i="39"/>
  <c r="AD57" i="39"/>
  <c r="AC57" i="39"/>
  <c r="AB57" i="39"/>
  <c r="AA57" i="39"/>
  <c r="Z57" i="39"/>
  <c r="Y57" i="39"/>
  <c r="X57" i="39"/>
  <c r="W57" i="39"/>
  <c r="V57" i="39"/>
  <c r="U57" i="39"/>
  <c r="T57" i="39"/>
  <c r="S57" i="39"/>
  <c r="R57" i="39"/>
  <c r="Q57" i="39"/>
  <c r="P57" i="39"/>
  <c r="O57" i="39"/>
  <c r="N57" i="39"/>
  <c r="M57" i="39"/>
  <c r="L57" i="39"/>
  <c r="K57" i="39"/>
  <c r="J57" i="39"/>
  <c r="I57" i="39"/>
  <c r="H57" i="39"/>
  <c r="G57" i="39"/>
  <c r="F57" i="39"/>
  <c r="E57" i="39"/>
  <c r="D57" i="39"/>
  <c r="C57" i="39"/>
  <c r="AJ57" i="39" s="1"/>
  <c r="C56" i="39"/>
  <c r="AJ56" i="39" s="1"/>
  <c r="AK55" i="39"/>
  <c r="AM242" i="39" s="1"/>
  <c r="AG55" i="39"/>
  <c r="AG68" i="39" s="1"/>
  <c r="AF55" i="39"/>
  <c r="AE55" i="39"/>
  <c r="AE68" i="39" s="1"/>
  <c r="AD55" i="39"/>
  <c r="AD68" i="39" s="1"/>
  <c r="AC55" i="39"/>
  <c r="AC68" i="39" s="1"/>
  <c r="AB55" i="39"/>
  <c r="AB68" i="39" s="1"/>
  <c r="AA55" i="39"/>
  <c r="AA68" i="39" s="1"/>
  <c r="Z55" i="39"/>
  <c r="Y55" i="39"/>
  <c r="Y68" i="39" s="1"/>
  <c r="X55" i="39"/>
  <c r="W55" i="39"/>
  <c r="V55" i="39"/>
  <c r="V68" i="39" s="1"/>
  <c r="U55" i="39"/>
  <c r="U68" i="39" s="1"/>
  <c r="T55" i="39"/>
  <c r="T68" i="39" s="1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AH54" i="39"/>
  <c r="AE54" i="39"/>
  <c r="AC54" i="39"/>
  <c r="Y54" i="39"/>
  <c r="M54" i="39"/>
  <c r="M68" i="39" s="1"/>
  <c r="J54" i="39"/>
  <c r="J68" i="39" s="1"/>
  <c r="B54" i="39"/>
  <c r="B68" i="39" s="1"/>
  <c r="AJ53" i="39"/>
  <c r="AI53" i="39"/>
  <c r="AG52" i="39"/>
  <c r="AG54" i="39" s="1"/>
  <c r="AF52" i="39"/>
  <c r="AF54" i="39" s="1"/>
  <c r="AE52" i="39"/>
  <c r="AD52" i="39"/>
  <c r="AD54" i="39" s="1"/>
  <c r="AC52" i="39"/>
  <c r="AB52" i="39"/>
  <c r="AB54" i="39" s="1"/>
  <c r="AA52" i="39"/>
  <c r="AA54" i="39" s="1"/>
  <c r="Z52" i="39"/>
  <c r="Z54" i="39" s="1"/>
  <c r="Y52" i="39"/>
  <c r="X52" i="39"/>
  <c r="X54" i="39" s="1"/>
  <c r="W52" i="39"/>
  <c r="W54" i="39" s="1"/>
  <c r="V52" i="39"/>
  <c r="V54" i="39" s="1"/>
  <c r="U52" i="39"/>
  <c r="U54" i="39" s="1"/>
  <c r="T52" i="39"/>
  <c r="T54" i="39" s="1"/>
  <c r="S52" i="39"/>
  <c r="S54" i="39" s="1"/>
  <c r="S68" i="39" s="1"/>
  <c r="R52" i="39"/>
  <c r="R54" i="39" s="1"/>
  <c r="R68" i="39" s="1"/>
  <c r="Q52" i="39"/>
  <c r="Q54" i="39" s="1"/>
  <c r="Q68" i="39" s="1"/>
  <c r="P52" i="39"/>
  <c r="P54" i="39" s="1"/>
  <c r="P68" i="39" s="1"/>
  <c r="O52" i="39"/>
  <c r="O54" i="39" s="1"/>
  <c r="O68" i="39" s="1"/>
  <c r="N52" i="39"/>
  <c r="N54" i="39" s="1"/>
  <c r="N68" i="39" s="1"/>
  <c r="M52" i="39"/>
  <c r="L52" i="39"/>
  <c r="L54" i="39" s="1"/>
  <c r="L68" i="39" s="1"/>
  <c r="K52" i="39"/>
  <c r="K54" i="39" s="1"/>
  <c r="K68" i="39" s="1"/>
  <c r="J52" i="39"/>
  <c r="I52" i="39"/>
  <c r="I54" i="39" s="1"/>
  <c r="I68" i="39" s="1"/>
  <c r="H52" i="39"/>
  <c r="H54" i="39" s="1"/>
  <c r="H68" i="39" s="1"/>
  <c r="G52" i="39"/>
  <c r="G54" i="39" s="1"/>
  <c r="F52" i="39"/>
  <c r="F54" i="39" s="1"/>
  <c r="F68" i="39" s="1"/>
  <c r="E52" i="39"/>
  <c r="E54" i="39" s="1"/>
  <c r="E68" i="39" s="1"/>
  <c r="D52" i="39"/>
  <c r="D54" i="39" s="1"/>
  <c r="C52" i="39"/>
  <c r="AJ51" i="39"/>
  <c r="AI51" i="39"/>
  <c r="Z50" i="39"/>
  <c r="Z242" i="39" s="1"/>
  <c r="R50" i="39"/>
  <c r="B50" i="39"/>
  <c r="AJ49" i="39"/>
  <c r="AI49" i="39"/>
  <c r="B49" i="39"/>
  <c r="AJ48" i="39"/>
  <c r="AI48" i="39"/>
  <c r="AJ47" i="39"/>
  <c r="AG47" i="39"/>
  <c r="AF47" i="39"/>
  <c r="AE47" i="39"/>
  <c r="AD47" i="39"/>
  <c r="AC47" i="39"/>
  <c r="AB47" i="39"/>
  <c r="AA47" i="39"/>
  <c r="Z47" i="39"/>
  <c r="Y47" i="39"/>
  <c r="X47" i="39"/>
  <c r="W47" i="39"/>
  <c r="V47" i="39"/>
  <c r="U47" i="39"/>
  <c r="T47" i="39"/>
  <c r="S47" i="39"/>
  <c r="R47" i="39"/>
  <c r="Q47" i="39"/>
  <c r="P47" i="39"/>
  <c r="O47" i="39"/>
  <c r="N47" i="39"/>
  <c r="M47" i="39"/>
  <c r="L47" i="39"/>
  <c r="K47" i="39"/>
  <c r="J47" i="39"/>
  <c r="I47" i="39"/>
  <c r="H47" i="39"/>
  <c r="G47" i="39"/>
  <c r="F47" i="39"/>
  <c r="E47" i="39"/>
  <c r="D47" i="39"/>
  <c r="C47" i="39"/>
  <c r="AI47" i="39" s="1"/>
  <c r="AG46" i="39"/>
  <c r="AF46" i="39"/>
  <c r="AE46" i="39"/>
  <c r="AD46" i="39"/>
  <c r="AC46" i="39"/>
  <c r="AB46" i="39"/>
  <c r="AA46" i="39"/>
  <c r="Z46" i="39"/>
  <c r="Y46" i="39"/>
  <c r="X46" i="39"/>
  <c r="W46" i="39"/>
  <c r="V46" i="39"/>
  <c r="U46" i="39"/>
  <c r="T46" i="39"/>
  <c r="S46" i="39"/>
  <c r="R46" i="39"/>
  <c r="Q46" i="39"/>
  <c r="P46" i="39"/>
  <c r="O46" i="39"/>
  <c r="N46" i="39"/>
  <c r="M46" i="39"/>
  <c r="L46" i="39"/>
  <c r="K46" i="39"/>
  <c r="J46" i="39"/>
  <c r="I46" i="39"/>
  <c r="H46" i="39"/>
  <c r="G46" i="39"/>
  <c r="F46" i="39"/>
  <c r="E46" i="39"/>
  <c r="D46" i="39"/>
  <c r="C46" i="39"/>
  <c r="AI46" i="39" s="1"/>
  <c r="AG45" i="39"/>
  <c r="AF45" i="39"/>
  <c r="AE45" i="39"/>
  <c r="AD45" i="39"/>
  <c r="AC45" i="39"/>
  <c r="AB45" i="39"/>
  <c r="AA45" i="39"/>
  <c r="Z45" i="39"/>
  <c r="Y45" i="39"/>
  <c r="X45" i="39"/>
  <c r="W45" i="39"/>
  <c r="V45" i="39"/>
  <c r="U45" i="39"/>
  <c r="T45" i="39"/>
  <c r="S45" i="39"/>
  <c r="R45" i="39"/>
  <c r="Q45" i="39"/>
  <c r="P45" i="39"/>
  <c r="O45" i="39"/>
  <c r="N45" i="39"/>
  <c r="M45" i="39"/>
  <c r="L45" i="39"/>
  <c r="K45" i="39"/>
  <c r="J45" i="39"/>
  <c r="I45" i="39"/>
  <c r="H45" i="39"/>
  <c r="G45" i="39"/>
  <c r="F45" i="39"/>
  <c r="E45" i="39"/>
  <c r="D45" i="39"/>
  <c r="C45" i="39"/>
  <c r="AI45" i="39" s="1"/>
  <c r="AG44" i="39"/>
  <c r="AF44" i="39"/>
  <c r="AE44" i="39"/>
  <c r="AD44" i="39"/>
  <c r="AC44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J44" i="39" s="1"/>
  <c r="AG43" i="39"/>
  <c r="AF43" i="39"/>
  <c r="AE43" i="39"/>
  <c r="AD43" i="39"/>
  <c r="AC43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AI43" i="39" s="1"/>
  <c r="AI42" i="39"/>
  <c r="AG42" i="39"/>
  <c r="AF42" i="39"/>
  <c r="AE42" i="39"/>
  <c r="AD42" i="39"/>
  <c r="AC42" i="39"/>
  <c r="AB42" i="39"/>
  <c r="AA42" i="39"/>
  <c r="Z42" i="39"/>
  <c r="Y42" i="39"/>
  <c r="X42" i="39"/>
  <c r="W42" i="39"/>
  <c r="V42" i="39"/>
  <c r="U42" i="39"/>
  <c r="T42" i="39"/>
  <c r="S42" i="39"/>
  <c r="R42" i="39"/>
  <c r="Q42" i="39"/>
  <c r="P42" i="39"/>
  <c r="O42" i="39"/>
  <c r="N42" i="39"/>
  <c r="M42" i="39"/>
  <c r="L42" i="39"/>
  <c r="K42" i="39"/>
  <c r="J42" i="39"/>
  <c r="I42" i="39"/>
  <c r="H42" i="39"/>
  <c r="G42" i="39"/>
  <c r="F42" i="39"/>
  <c r="E42" i="39"/>
  <c r="D42" i="39"/>
  <c r="C42" i="39"/>
  <c r="AJ42" i="39" s="1"/>
  <c r="AI41" i="39"/>
  <c r="AG41" i="39"/>
  <c r="AF41" i="39"/>
  <c r="AE41" i="39"/>
  <c r="AD41" i="39"/>
  <c r="AC41" i="39"/>
  <c r="AB41" i="39"/>
  <c r="AA41" i="39"/>
  <c r="Z41" i="39"/>
  <c r="Y41" i="39"/>
  <c r="X41" i="39"/>
  <c r="W41" i="39"/>
  <c r="V41" i="39"/>
  <c r="U41" i="39"/>
  <c r="T41" i="39"/>
  <c r="S41" i="39"/>
  <c r="R41" i="39"/>
  <c r="Q41" i="39"/>
  <c r="P41" i="39"/>
  <c r="O41" i="39"/>
  <c r="N41" i="39"/>
  <c r="M41" i="39"/>
  <c r="L41" i="39"/>
  <c r="K41" i="39"/>
  <c r="J41" i="39"/>
  <c r="I41" i="39"/>
  <c r="H41" i="39"/>
  <c r="G41" i="39"/>
  <c r="F41" i="39"/>
  <c r="E41" i="39"/>
  <c r="D41" i="39"/>
  <c r="C41" i="39"/>
  <c r="AJ41" i="39" s="1"/>
  <c r="AI40" i="39"/>
  <c r="AG40" i="39"/>
  <c r="AF40" i="39"/>
  <c r="AE40" i="39"/>
  <c r="AD40" i="39"/>
  <c r="AC40" i="39"/>
  <c r="AB40" i="39"/>
  <c r="AA40" i="39"/>
  <c r="Z40" i="39"/>
  <c r="Y40" i="39"/>
  <c r="X40" i="39"/>
  <c r="W40" i="39"/>
  <c r="V40" i="39"/>
  <c r="U40" i="39"/>
  <c r="T40" i="39"/>
  <c r="S40" i="39"/>
  <c r="R40" i="39"/>
  <c r="Q40" i="39"/>
  <c r="P40" i="39"/>
  <c r="O40" i="39"/>
  <c r="N40" i="39"/>
  <c r="M40" i="39"/>
  <c r="L40" i="39"/>
  <c r="K40" i="39"/>
  <c r="J40" i="39"/>
  <c r="I40" i="39"/>
  <c r="H40" i="39"/>
  <c r="G40" i="39"/>
  <c r="F40" i="39"/>
  <c r="E40" i="39"/>
  <c r="D40" i="39"/>
  <c r="C40" i="39"/>
  <c r="AJ40" i="39" s="1"/>
  <c r="AG39" i="39"/>
  <c r="AF39" i="39"/>
  <c r="AE39" i="39"/>
  <c r="AD39" i="39"/>
  <c r="AC39" i="39"/>
  <c r="AB39" i="39"/>
  <c r="AA39" i="39"/>
  <c r="Z39" i="39"/>
  <c r="Y39" i="39"/>
  <c r="X39" i="39"/>
  <c r="W39" i="39"/>
  <c r="V39" i="39"/>
  <c r="U39" i="39"/>
  <c r="T39" i="39"/>
  <c r="S39" i="39"/>
  <c r="R39" i="39"/>
  <c r="Q39" i="39"/>
  <c r="P39" i="39"/>
  <c r="O39" i="39"/>
  <c r="N39" i="39"/>
  <c r="M39" i="39"/>
  <c r="L39" i="39"/>
  <c r="K39" i="39"/>
  <c r="J39" i="39"/>
  <c r="I39" i="39"/>
  <c r="H39" i="39"/>
  <c r="G39" i="39"/>
  <c r="F39" i="39"/>
  <c r="E39" i="39"/>
  <c r="D39" i="39"/>
  <c r="C39" i="39"/>
  <c r="AJ39" i="39" s="1"/>
  <c r="AI38" i="39"/>
  <c r="AG38" i="39"/>
  <c r="AF38" i="39"/>
  <c r="AE38" i="39"/>
  <c r="AD38" i="39"/>
  <c r="AC38" i="39"/>
  <c r="AB38" i="39"/>
  <c r="AA38" i="39"/>
  <c r="Z38" i="39"/>
  <c r="Y38" i="39"/>
  <c r="X38" i="39"/>
  <c r="W38" i="39"/>
  <c r="V38" i="39"/>
  <c r="U38" i="39"/>
  <c r="T38" i="39"/>
  <c r="S38" i="39"/>
  <c r="R38" i="39"/>
  <c r="Q38" i="39"/>
  <c r="P38" i="39"/>
  <c r="O38" i="39"/>
  <c r="N38" i="39"/>
  <c r="M38" i="39"/>
  <c r="L38" i="39"/>
  <c r="K38" i="39"/>
  <c r="J38" i="39"/>
  <c r="I38" i="39"/>
  <c r="H38" i="39"/>
  <c r="G38" i="39"/>
  <c r="F38" i="39"/>
  <c r="E38" i="39"/>
  <c r="D38" i="39"/>
  <c r="C38" i="39"/>
  <c r="AJ38" i="39" s="1"/>
  <c r="AJ37" i="39"/>
  <c r="AG37" i="39"/>
  <c r="AF37" i="39"/>
  <c r="AE37" i="39"/>
  <c r="AD37" i="39"/>
  <c r="AC37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I37" i="39" s="1"/>
  <c r="AI36" i="39"/>
  <c r="AG36" i="39"/>
  <c r="AF36" i="39"/>
  <c r="AE36" i="39"/>
  <c r="AD36" i="39"/>
  <c r="AC36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J36" i="39" s="1"/>
  <c r="AJ35" i="39"/>
  <c r="AG35" i="39"/>
  <c r="AF35" i="39"/>
  <c r="AE35" i="39"/>
  <c r="AD35" i="39"/>
  <c r="AC35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I35" i="39" s="1"/>
  <c r="AI34" i="39"/>
  <c r="AG34" i="39"/>
  <c r="AF34" i="39"/>
  <c r="AE34" i="39"/>
  <c r="AD34" i="39"/>
  <c r="AC34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J34" i="39" s="1"/>
  <c r="AI33" i="39"/>
  <c r="AG33" i="39"/>
  <c r="AF33" i="39"/>
  <c r="AE33" i="39"/>
  <c r="AD33" i="39"/>
  <c r="AC33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AJ33" i="39" s="1"/>
  <c r="AG32" i="39"/>
  <c r="AF32" i="39"/>
  <c r="AE32" i="39"/>
  <c r="AD32" i="39"/>
  <c r="AC32" i="39"/>
  <c r="AB32" i="39"/>
  <c r="AA32" i="39"/>
  <c r="Z32" i="39"/>
  <c r="Y32" i="39"/>
  <c r="X32" i="39"/>
  <c r="W32" i="39"/>
  <c r="V32" i="39"/>
  <c r="U32" i="39"/>
  <c r="T32" i="39"/>
  <c r="S32" i="39"/>
  <c r="R32" i="39"/>
  <c r="Q32" i="39"/>
  <c r="P32" i="39"/>
  <c r="O32" i="39"/>
  <c r="N32" i="39"/>
  <c r="M32" i="39"/>
  <c r="L32" i="39"/>
  <c r="K32" i="39"/>
  <c r="J32" i="39"/>
  <c r="I32" i="39"/>
  <c r="H32" i="39"/>
  <c r="G32" i="39"/>
  <c r="F32" i="39"/>
  <c r="E32" i="39"/>
  <c r="D32" i="39"/>
  <c r="C32" i="39"/>
  <c r="AJ32" i="39" s="1"/>
  <c r="AG31" i="39"/>
  <c r="AF31" i="39"/>
  <c r="AE31" i="39"/>
  <c r="AD31" i="39"/>
  <c r="AC31" i="39"/>
  <c r="AB31" i="39"/>
  <c r="AA31" i="39"/>
  <c r="Z31" i="39"/>
  <c r="Y31" i="39"/>
  <c r="X31" i="39"/>
  <c r="W31" i="39"/>
  <c r="V31" i="39"/>
  <c r="U31" i="39"/>
  <c r="T31" i="39"/>
  <c r="S31" i="39"/>
  <c r="R31" i="39"/>
  <c r="Q31" i="39"/>
  <c r="P31" i="39"/>
  <c r="O31" i="39"/>
  <c r="N31" i="39"/>
  <c r="M31" i="39"/>
  <c r="L31" i="39"/>
  <c r="K31" i="39"/>
  <c r="J31" i="39"/>
  <c r="I31" i="39"/>
  <c r="H31" i="39"/>
  <c r="G31" i="39"/>
  <c r="F31" i="39"/>
  <c r="E31" i="39"/>
  <c r="D31" i="39"/>
  <c r="C31" i="39"/>
  <c r="AJ31" i="39" s="1"/>
  <c r="AG30" i="39"/>
  <c r="AF30" i="39"/>
  <c r="AE30" i="39"/>
  <c r="AD30" i="39"/>
  <c r="AC30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J30" i="39" s="1"/>
  <c r="AG29" i="39"/>
  <c r="AF29" i="39"/>
  <c r="AE29" i="39"/>
  <c r="AD29" i="39"/>
  <c r="AC29" i="39"/>
  <c r="AB29" i="39"/>
  <c r="AA29" i="39"/>
  <c r="Z29" i="39"/>
  <c r="Y29" i="39"/>
  <c r="X29" i="39"/>
  <c r="W29" i="39"/>
  <c r="V29" i="39"/>
  <c r="U29" i="39"/>
  <c r="T29" i="39"/>
  <c r="S29" i="39"/>
  <c r="R29" i="39"/>
  <c r="Q29" i="39"/>
  <c r="P29" i="39"/>
  <c r="O29" i="39"/>
  <c r="N29" i="39"/>
  <c r="M29" i="39"/>
  <c r="L29" i="39"/>
  <c r="K29" i="39"/>
  <c r="J29" i="39"/>
  <c r="I29" i="39"/>
  <c r="H29" i="39"/>
  <c r="G29" i="39"/>
  <c r="F29" i="39"/>
  <c r="E29" i="39"/>
  <c r="D29" i="39"/>
  <c r="C29" i="39"/>
  <c r="AI29" i="39" s="1"/>
  <c r="AG28" i="39"/>
  <c r="AF28" i="39"/>
  <c r="AE28" i="39"/>
  <c r="AD28" i="39"/>
  <c r="AC28" i="39"/>
  <c r="AB28" i="39"/>
  <c r="AA28" i="39"/>
  <c r="Z28" i="39"/>
  <c r="Y28" i="39"/>
  <c r="X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G28" i="39"/>
  <c r="F28" i="39"/>
  <c r="E28" i="39"/>
  <c r="D28" i="39"/>
  <c r="C28" i="39"/>
  <c r="AJ28" i="39" s="1"/>
  <c r="AG27" i="39"/>
  <c r="AF27" i="39"/>
  <c r="AE27" i="39"/>
  <c r="AD27" i="39"/>
  <c r="AC27" i="39"/>
  <c r="AB27" i="39"/>
  <c r="AA27" i="39"/>
  <c r="Z27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AI27" i="39" s="1"/>
  <c r="AI26" i="39"/>
  <c r="AG26" i="39"/>
  <c r="AF26" i="39"/>
  <c r="AE26" i="39"/>
  <c r="AD26" i="39"/>
  <c r="AC26" i="39"/>
  <c r="AB26" i="39"/>
  <c r="AA26" i="39"/>
  <c r="Z26" i="39"/>
  <c r="Y26" i="39"/>
  <c r="X26" i="39"/>
  <c r="W26" i="39"/>
  <c r="V26" i="39"/>
  <c r="U26" i="39"/>
  <c r="T26" i="39"/>
  <c r="S26" i="39"/>
  <c r="R26" i="39"/>
  <c r="Q26" i="39"/>
  <c r="P26" i="39"/>
  <c r="O26" i="39"/>
  <c r="N26" i="39"/>
  <c r="M26" i="39"/>
  <c r="L26" i="39"/>
  <c r="K26" i="39"/>
  <c r="J26" i="39"/>
  <c r="I26" i="39"/>
  <c r="H26" i="39"/>
  <c r="G26" i="39"/>
  <c r="F26" i="39"/>
  <c r="E26" i="39"/>
  <c r="D26" i="39"/>
  <c r="C26" i="39"/>
  <c r="AJ26" i="39" s="1"/>
  <c r="AI25" i="39"/>
  <c r="AG25" i="39"/>
  <c r="AF25" i="39"/>
  <c r="AE25" i="39"/>
  <c r="AD25" i="39"/>
  <c r="AC25" i="39"/>
  <c r="AB25" i="39"/>
  <c r="AA25" i="39"/>
  <c r="Z25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AJ25" i="39" s="1"/>
  <c r="AG24" i="39"/>
  <c r="AF24" i="39"/>
  <c r="AE24" i="39"/>
  <c r="AD24" i="39"/>
  <c r="AC24" i="39"/>
  <c r="AB24" i="39"/>
  <c r="AA24" i="39"/>
  <c r="Z24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AI24" i="39" s="1"/>
  <c r="AG23" i="39"/>
  <c r="AF23" i="39"/>
  <c r="AE23" i="39"/>
  <c r="AD23" i="39"/>
  <c r="AC23" i="39"/>
  <c r="AB23" i="39"/>
  <c r="AA23" i="39"/>
  <c r="Z23" i="39"/>
  <c r="Y23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C23" i="39"/>
  <c r="AI23" i="39" s="1"/>
  <c r="AG22" i="39"/>
  <c r="AF22" i="39"/>
  <c r="AE22" i="39"/>
  <c r="AD22" i="39"/>
  <c r="AC22" i="39"/>
  <c r="AB22" i="39"/>
  <c r="AA22" i="39"/>
  <c r="Z22" i="39"/>
  <c r="Y22" i="39"/>
  <c r="X22" i="39"/>
  <c r="W22" i="39"/>
  <c r="V22" i="39"/>
  <c r="U22" i="39"/>
  <c r="T22" i="39"/>
  <c r="S22" i="39"/>
  <c r="R22" i="39"/>
  <c r="Q22" i="39"/>
  <c r="P22" i="39"/>
  <c r="O22" i="39"/>
  <c r="N22" i="39"/>
  <c r="M22" i="39"/>
  <c r="L22" i="39"/>
  <c r="K22" i="39"/>
  <c r="J22" i="39"/>
  <c r="I22" i="39"/>
  <c r="H22" i="39"/>
  <c r="G22" i="39"/>
  <c r="F22" i="39"/>
  <c r="E22" i="39"/>
  <c r="D22" i="39"/>
  <c r="C22" i="39"/>
  <c r="AJ22" i="39" s="1"/>
  <c r="AG21" i="39"/>
  <c r="AF21" i="39"/>
  <c r="AE21" i="39"/>
  <c r="AD21" i="39"/>
  <c r="AC21" i="39"/>
  <c r="AB21" i="39"/>
  <c r="AA21" i="39"/>
  <c r="Z21" i="39"/>
  <c r="Y21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K21" i="39"/>
  <c r="J21" i="39"/>
  <c r="I21" i="39"/>
  <c r="H21" i="39"/>
  <c r="G21" i="39"/>
  <c r="F21" i="39"/>
  <c r="E21" i="39"/>
  <c r="D21" i="39"/>
  <c r="C21" i="39"/>
  <c r="AI21" i="39" s="1"/>
  <c r="AG20" i="39"/>
  <c r="AF20" i="39"/>
  <c r="AE20" i="39"/>
  <c r="AD20" i="39"/>
  <c r="AC20" i="39"/>
  <c r="AB20" i="39"/>
  <c r="AA20" i="39"/>
  <c r="Z20" i="39"/>
  <c r="Y20" i="39"/>
  <c r="X20" i="39"/>
  <c r="W20" i="39"/>
  <c r="V20" i="39"/>
  <c r="U20" i="39"/>
  <c r="T20" i="39"/>
  <c r="S20" i="39"/>
  <c r="R20" i="39"/>
  <c r="Q20" i="39"/>
  <c r="P20" i="39"/>
  <c r="O20" i="39"/>
  <c r="N20" i="39"/>
  <c r="M20" i="39"/>
  <c r="L20" i="39"/>
  <c r="K20" i="39"/>
  <c r="K110" i="39" s="1"/>
  <c r="J20" i="39"/>
  <c r="J110" i="39" s="1"/>
  <c r="I20" i="39"/>
  <c r="H20" i="39"/>
  <c r="H110" i="39" s="1"/>
  <c r="G20" i="39"/>
  <c r="G110" i="39" s="1"/>
  <c r="F20" i="39"/>
  <c r="F110" i="39" s="1"/>
  <c r="E20" i="39"/>
  <c r="E110" i="39" s="1"/>
  <c r="D20" i="39"/>
  <c r="D110" i="39" s="1"/>
  <c r="C20" i="39"/>
  <c r="AJ20" i="39" s="1"/>
  <c r="AG19" i="39"/>
  <c r="AF19" i="39"/>
  <c r="AE19" i="39"/>
  <c r="AD19" i="39"/>
  <c r="AC19" i="39"/>
  <c r="AB19" i="39"/>
  <c r="AA19" i="39"/>
  <c r="Z19" i="39"/>
  <c r="Y19" i="39"/>
  <c r="X19" i="39"/>
  <c r="W19" i="39"/>
  <c r="V19" i="39"/>
  <c r="U19" i="39"/>
  <c r="T19" i="39"/>
  <c r="S19" i="39"/>
  <c r="R19" i="39"/>
  <c r="Q19" i="39"/>
  <c r="P19" i="39"/>
  <c r="O19" i="39"/>
  <c r="N19" i="39"/>
  <c r="M19" i="39"/>
  <c r="L19" i="39"/>
  <c r="K19" i="39"/>
  <c r="J19" i="39"/>
  <c r="I19" i="39"/>
  <c r="H19" i="39"/>
  <c r="G19" i="39"/>
  <c r="F19" i="39"/>
  <c r="E19" i="39"/>
  <c r="D19" i="39"/>
  <c r="C19" i="39"/>
  <c r="AI19" i="39" s="1"/>
  <c r="AG18" i="39"/>
  <c r="AF18" i="39"/>
  <c r="AE18" i="39"/>
  <c r="AD18" i="39"/>
  <c r="AC18" i="39"/>
  <c r="AB18" i="39"/>
  <c r="AA18" i="39"/>
  <c r="Z18" i="39"/>
  <c r="Y18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D18" i="39"/>
  <c r="C18" i="39"/>
  <c r="AJ18" i="39" s="1"/>
  <c r="AG17" i="39"/>
  <c r="AF17" i="39"/>
  <c r="AE17" i="39"/>
  <c r="AD17" i="39"/>
  <c r="AC17" i="39"/>
  <c r="AB17" i="39"/>
  <c r="AA17" i="39"/>
  <c r="Z17" i="39"/>
  <c r="Y17" i="39"/>
  <c r="X17" i="39"/>
  <c r="W17" i="39"/>
  <c r="V17" i="39"/>
  <c r="U17" i="39"/>
  <c r="T17" i="39"/>
  <c r="S17" i="39"/>
  <c r="R17" i="39"/>
  <c r="Q17" i="39"/>
  <c r="P17" i="39"/>
  <c r="O17" i="39"/>
  <c r="N17" i="39"/>
  <c r="M17" i="39"/>
  <c r="L17" i="39"/>
  <c r="K17" i="39"/>
  <c r="J17" i="39"/>
  <c r="I17" i="39"/>
  <c r="H17" i="39"/>
  <c r="G17" i="39"/>
  <c r="F17" i="39"/>
  <c r="E17" i="39"/>
  <c r="D17" i="39"/>
  <c r="C17" i="39"/>
  <c r="AJ17" i="39" s="1"/>
  <c r="AG16" i="39"/>
  <c r="AF16" i="39"/>
  <c r="AE16" i="39"/>
  <c r="AD16" i="39"/>
  <c r="AC16" i="39"/>
  <c r="AB16" i="39"/>
  <c r="AA16" i="39"/>
  <c r="Z16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AI16" i="39" s="1"/>
  <c r="AG15" i="39"/>
  <c r="AF15" i="39"/>
  <c r="AE15" i="39"/>
  <c r="AD15" i="39"/>
  <c r="AC15" i="39"/>
  <c r="AB15" i="39"/>
  <c r="AA15" i="39"/>
  <c r="Z15" i="39"/>
  <c r="Y15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H15" i="39"/>
  <c r="G15" i="39"/>
  <c r="F15" i="39"/>
  <c r="E15" i="39"/>
  <c r="D15" i="39"/>
  <c r="C15" i="39"/>
  <c r="AJ15" i="39" s="1"/>
  <c r="AG14" i="39"/>
  <c r="AF14" i="39"/>
  <c r="AE14" i="39"/>
  <c r="AD14" i="39"/>
  <c r="AC14" i="39"/>
  <c r="AB14" i="39"/>
  <c r="AA14" i="39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H14" i="39"/>
  <c r="G14" i="39"/>
  <c r="F14" i="39"/>
  <c r="E14" i="39"/>
  <c r="D14" i="39"/>
  <c r="C14" i="39"/>
  <c r="AJ14" i="39" s="1"/>
  <c r="AG13" i="39"/>
  <c r="AF13" i="39"/>
  <c r="AE13" i="39"/>
  <c r="AD13" i="39"/>
  <c r="AC13" i="39"/>
  <c r="AB13" i="39"/>
  <c r="AA13" i="39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E13" i="39"/>
  <c r="D13" i="39"/>
  <c r="C13" i="39"/>
  <c r="AI13" i="39" s="1"/>
  <c r="AI12" i="39"/>
  <c r="AG12" i="39"/>
  <c r="AF12" i="39"/>
  <c r="AE12" i="39"/>
  <c r="AD12" i="39"/>
  <c r="AC12" i="39"/>
  <c r="AB12" i="39"/>
  <c r="AA12" i="39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E12" i="39"/>
  <c r="D12" i="39"/>
  <c r="C12" i="39"/>
  <c r="AJ12" i="39" s="1"/>
  <c r="AG11" i="39"/>
  <c r="AG50" i="39" s="1"/>
  <c r="AF11" i="39"/>
  <c r="AF50" i="39" s="1"/>
  <c r="AF242" i="39" s="1"/>
  <c r="AE11" i="39"/>
  <c r="AE50" i="39" s="1"/>
  <c r="AE242" i="39" s="1"/>
  <c r="AD11" i="39"/>
  <c r="AD50" i="39" s="1"/>
  <c r="AC11" i="39"/>
  <c r="AC50" i="39" s="1"/>
  <c r="AC242" i="39" s="1"/>
  <c r="AB11" i="39"/>
  <c r="AB50" i="39" s="1"/>
  <c r="AB242" i="39" s="1"/>
  <c r="AA11" i="39"/>
  <c r="AA50" i="39" s="1"/>
  <c r="AA242" i="39" s="1"/>
  <c r="Z11" i="39"/>
  <c r="Y11" i="39"/>
  <c r="Y50" i="39" s="1"/>
  <c r="X11" i="39"/>
  <c r="X50" i="39" s="1"/>
  <c r="X242" i="39" s="1"/>
  <c r="W11" i="39"/>
  <c r="W50" i="39" s="1"/>
  <c r="W242" i="39" s="1"/>
  <c r="V11" i="39"/>
  <c r="V50" i="39" s="1"/>
  <c r="U11" i="39"/>
  <c r="U50" i="39" s="1"/>
  <c r="U242" i="39" s="1"/>
  <c r="T11" i="39"/>
  <c r="T50" i="39" s="1"/>
  <c r="T242" i="39" s="1"/>
  <c r="S11" i="39"/>
  <c r="S50" i="39" s="1"/>
  <c r="S242" i="39" s="1"/>
  <c r="R11" i="39"/>
  <c r="Q11" i="39"/>
  <c r="Q50" i="39" s="1"/>
  <c r="Q242" i="39" s="1"/>
  <c r="P11" i="39"/>
  <c r="P50" i="39" s="1"/>
  <c r="O11" i="39"/>
  <c r="O50" i="39" s="1"/>
  <c r="N11" i="39"/>
  <c r="N50" i="39" s="1"/>
  <c r="M11" i="39"/>
  <c r="M50" i="39" s="1"/>
  <c r="L11" i="39"/>
  <c r="L50" i="39" s="1"/>
  <c r="L242" i="39" s="1"/>
  <c r="K11" i="39"/>
  <c r="K50" i="39" s="1"/>
  <c r="J11" i="39"/>
  <c r="J50" i="39" s="1"/>
  <c r="I11" i="39"/>
  <c r="I50" i="39" s="1"/>
  <c r="H11" i="39"/>
  <c r="H50" i="39" s="1"/>
  <c r="G11" i="39"/>
  <c r="G50" i="39" s="1"/>
  <c r="F11" i="39"/>
  <c r="F50" i="39" s="1"/>
  <c r="E11" i="39"/>
  <c r="E50" i="39" s="1"/>
  <c r="D11" i="39"/>
  <c r="D50" i="39" s="1"/>
  <c r="C11" i="39"/>
  <c r="AI11" i="39" s="1"/>
  <c r="AE7" i="39"/>
  <c r="AD7" i="39"/>
  <c r="AC7" i="39"/>
  <c r="AB7" i="39"/>
  <c r="AA7" i="39"/>
  <c r="Z7" i="39"/>
  <c r="Y7" i="39"/>
  <c r="X7" i="39"/>
  <c r="W7" i="39"/>
  <c r="V7" i="39"/>
  <c r="U7" i="39"/>
  <c r="T7" i="39"/>
  <c r="S7" i="39"/>
  <c r="R7" i="39"/>
  <c r="Q7" i="39"/>
  <c r="P7" i="39"/>
  <c r="O7" i="39"/>
  <c r="N7" i="39"/>
  <c r="M7" i="39"/>
  <c r="L7" i="39"/>
  <c r="AG5" i="39"/>
  <c r="AF5" i="39"/>
  <c r="AE5" i="39"/>
  <c r="AD5" i="39"/>
  <c r="AC5" i="39"/>
  <c r="AB5" i="39"/>
  <c r="AA5" i="39"/>
  <c r="Z5" i="39"/>
  <c r="Y5" i="39"/>
  <c r="X5" i="39"/>
  <c r="W5" i="39"/>
  <c r="V5" i="39"/>
  <c r="U5" i="39"/>
  <c r="T5" i="39"/>
  <c r="S5" i="39"/>
  <c r="R5" i="39"/>
  <c r="Q5" i="39"/>
  <c r="P5" i="39"/>
  <c r="O5" i="39"/>
  <c r="N5" i="39"/>
  <c r="M5" i="39"/>
  <c r="L5" i="39"/>
  <c r="K5" i="39"/>
  <c r="J5" i="39"/>
  <c r="H5" i="39"/>
  <c r="G5" i="39"/>
  <c r="F5" i="39"/>
  <c r="E5" i="39"/>
  <c r="B5" i="39"/>
  <c r="AH4" i="39"/>
  <c r="L4" i="39"/>
  <c r="F4" i="39"/>
  <c r="I4" i="39" s="1"/>
  <c r="C4" i="39"/>
  <c r="T246" i="39" s="1"/>
  <c r="AG274" i="38"/>
  <c r="AF274" i="38"/>
  <c r="AE274" i="38"/>
  <c r="AD274" i="38"/>
  <c r="AC274" i="38"/>
  <c r="AB274" i="38"/>
  <c r="AA274" i="38"/>
  <c r="Z274" i="38"/>
  <c r="Y274" i="38"/>
  <c r="X274" i="38"/>
  <c r="W274" i="38"/>
  <c r="V274" i="38"/>
  <c r="U274" i="38"/>
  <c r="T274" i="38"/>
  <c r="S274" i="38"/>
  <c r="R274" i="38"/>
  <c r="Q274" i="38"/>
  <c r="P274" i="38"/>
  <c r="O274" i="38"/>
  <c r="N274" i="38"/>
  <c r="M274" i="38"/>
  <c r="L274" i="38"/>
  <c r="K274" i="38"/>
  <c r="J274" i="38"/>
  <c r="I274" i="38"/>
  <c r="H274" i="38"/>
  <c r="G274" i="38"/>
  <c r="F274" i="38"/>
  <c r="E274" i="38"/>
  <c r="D274" i="38"/>
  <c r="C274" i="38"/>
  <c r="B274" i="38"/>
  <c r="A274" i="38"/>
  <c r="AG273" i="38"/>
  <c r="AF273" i="38"/>
  <c r="AE273" i="38"/>
  <c r="AD273" i="38"/>
  <c r="AC273" i="38"/>
  <c r="AB273" i="38"/>
  <c r="AA273" i="38"/>
  <c r="Z273" i="38"/>
  <c r="Y273" i="38"/>
  <c r="X273" i="38"/>
  <c r="W273" i="38"/>
  <c r="V273" i="38"/>
  <c r="U273" i="38"/>
  <c r="T273" i="38"/>
  <c r="S273" i="38"/>
  <c r="R273" i="38"/>
  <c r="Q273" i="38"/>
  <c r="P273" i="38"/>
  <c r="O273" i="38"/>
  <c r="N273" i="38"/>
  <c r="M273" i="38"/>
  <c r="L273" i="38"/>
  <c r="K273" i="38"/>
  <c r="J273" i="38"/>
  <c r="I273" i="38"/>
  <c r="H273" i="38"/>
  <c r="G273" i="38"/>
  <c r="F273" i="38"/>
  <c r="E273" i="38"/>
  <c r="D273" i="38"/>
  <c r="C273" i="38"/>
  <c r="B273" i="38"/>
  <c r="A273" i="38"/>
  <c r="AG272" i="38"/>
  <c r="AF272" i="38"/>
  <c r="AE272" i="38"/>
  <c r="AD272" i="38"/>
  <c r="AC272" i="38"/>
  <c r="AB272" i="38"/>
  <c r="AA272" i="38"/>
  <c r="Z272" i="38"/>
  <c r="Y272" i="38"/>
  <c r="X272" i="38"/>
  <c r="W272" i="38"/>
  <c r="V272" i="38"/>
  <c r="U272" i="38"/>
  <c r="T272" i="38"/>
  <c r="S272" i="38"/>
  <c r="R272" i="38"/>
  <c r="Q272" i="38"/>
  <c r="P272" i="38"/>
  <c r="O272" i="38"/>
  <c r="N272" i="38"/>
  <c r="M272" i="38"/>
  <c r="L272" i="38"/>
  <c r="K272" i="38"/>
  <c r="J272" i="38"/>
  <c r="I272" i="38"/>
  <c r="H272" i="38"/>
  <c r="G272" i="38"/>
  <c r="F272" i="38"/>
  <c r="E272" i="38"/>
  <c r="D272" i="38"/>
  <c r="C272" i="38"/>
  <c r="B272" i="38"/>
  <c r="A272" i="38"/>
  <c r="AG271" i="38"/>
  <c r="AF271" i="38"/>
  <c r="AE271" i="38"/>
  <c r="AD271" i="38"/>
  <c r="AC271" i="38"/>
  <c r="AB271" i="38"/>
  <c r="AA271" i="38"/>
  <c r="Z271" i="38"/>
  <c r="Y271" i="38"/>
  <c r="X271" i="38"/>
  <c r="W271" i="38"/>
  <c r="V271" i="38"/>
  <c r="U271" i="38"/>
  <c r="T271" i="38"/>
  <c r="S271" i="38"/>
  <c r="R271" i="38"/>
  <c r="Q271" i="38"/>
  <c r="P271" i="38"/>
  <c r="O271" i="38"/>
  <c r="N271" i="38"/>
  <c r="M271" i="38"/>
  <c r="L271" i="38"/>
  <c r="K271" i="38"/>
  <c r="J271" i="38"/>
  <c r="I271" i="38"/>
  <c r="H271" i="38"/>
  <c r="G271" i="38"/>
  <c r="F271" i="38"/>
  <c r="E271" i="38"/>
  <c r="D271" i="38"/>
  <c r="C271" i="38"/>
  <c r="B271" i="38"/>
  <c r="A271" i="38"/>
  <c r="AF270" i="38"/>
  <c r="AE270" i="38"/>
  <c r="AD270" i="38"/>
  <c r="AC270" i="38"/>
  <c r="AB270" i="38"/>
  <c r="AA270" i="38"/>
  <c r="Z270" i="38"/>
  <c r="Y270" i="38"/>
  <c r="X270" i="38"/>
  <c r="W270" i="38"/>
  <c r="V270" i="38"/>
  <c r="U270" i="38"/>
  <c r="T270" i="38"/>
  <c r="S270" i="38"/>
  <c r="R270" i="38"/>
  <c r="Q270" i="38"/>
  <c r="P270" i="38"/>
  <c r="O270" i="38"/>
  <c r="N270" i="38"/>
  <c r="M270" i="38"/>
  <c r="L270" i="38"/>
  <c r="K270" i="38"/>
  <c r="H270" i="38"/>
  <c r="F270" i="38"/>
  <c r="D270" i="38"/>
  <c r="C270" i="38"/>
  <c r="B270" i="38"/>
  <c r="AY249" i="38"/>
  <c r="AX249" i="38"/>
  <c r="AW249" i="38"/>
  <c r="AV249" i="38"/>
  <c r="AU249" i="38"/>
  <c r="AT249" i="38"/>
  <c r="AS249" i="38"/>
  <c r="AR249" i="38"/>
  <c r="AQ249" i="38"/>
  <c r="AP249" i="38"/>
  <c r="AO249" i="38"/>
  <c r="AN249" i="38"/>
  <c r="AM249" i="38"/>
  <c r="AL249" i="38"/>
  <c r="AK249" i="38"/>
  <c r="AJ249" i="38"/>
  <c r="AI249" i="38"/>
  <c r="AH249" i="38"/>
  <c r="AG249" i="38"/>
  <c r="AF249" i="38"/>
  <c r="AE249" i="38"/>
  <c r="AD249" i="38"/>
  <c r="T245" i="38"/>
  <c r="AH235" i="38"/>
  <c r="AH67" i="38" s="1"/>
  <c r="G235" i="38"/>
  <c r="K234" i="38"/>
  <c r="J270" i="38" s="1"/>
  <c r="J234" i="38"/>
  <c r="I270" i="38" s="1"/>
  <c r="I234" i="38"/>
  <c r="H234" i="38"/>
  <c r="G270" i="38" s="1"/>
  <c r="G234" i="38"/>
  <c r="F234" i="38"/>
  <c r="E270" i="38" s="1"/>
  <c r="E234" i="38"/>
  <c r="D234" i="38"/>
  <c r="C234" i="38"/>
  <c r="AG270" i="38" s="1"/>
  <c r="B234" i="38"/>
  <c r="K233" i="38"/>
  <c r="J233" i="38"/>
  <c r="I233" i="38"/>
  <c r="H233" i="38"/>
  <c r="G233" i="38"/>
  <c r="F233" i="38"/>
  <c r="E233" i="38"/>
  <c r="D233" i="38"/>
  <c r="C233" i="38"/>
  <c r="B233" i="38"/>
  <c r="K232" i="38"/>
  <c r="J232" i="38"/>
  <c r="I232" i="38"/>
  <c r="H232" i="38"/>
  <c r="G232" i="38"/>
  <c r="F232" i="38"/>
  <c r="E232" i="38"/>
  <c r="D232" i="38"/>
  <c r="C232" i="38"/>
  <c r="B232" i="38"/>
  <c r="K231" i="38"/>
  <c r="J231" i="38"/>
  <c r="I231" i="38"/>
  <c r="H231" i="38"/>
  <c r="G231" i="38"/>
  <c r="F231" i="38"/>
  <c r="E231" i="38"/>
  <c r="D231" i="38"/>
  <c r="C231" i="38"/>
  <c r="B231" i="38"/>
  <c r="K230" i="38"/>
  <c r="J230" i="38"/>
  <c r="I230" i="38"/>
  <c r="I235" i="38" s="1"/>
  <c r="H230" i="38"/>
  <c r="G230" i="38"/>
  <c r="F230" i="38"/>
  <c r="F235" i="38" s="1"/>
  <c r="E230" i="38"/>
  <c r="D230" i="38"/>
  <c r="C230" i="38"/>
  <c r="B230" i="38"/>
  <c r="K229" i="38"/>
  <c r="K235" i="38" s="1"/>
  <c r="J229" i="38"/>
  <c r="I229" i="38"/>
  <c r="H229" i="38"/>
  <c r="H235" i="38" s="1"/>
  <c r="G229" i="38"/>
  <c r="F229" i="38"/>
  <c r="E229" i="38"/>
  <c r="D229" i="38"/>
  <c r="D235" i="38" s="1"/>
  <c r="C229" i="38"/>
  <c r="C235" i="38" s="1"/>
  <c r="B229" i="38"/>
  <c r="AH227" i="38"/>
  <c r="K227" i="38"/>
  <c r="J227" i="38"/>
  <c r="I227" i="38"/>
  <c r="H227" i="38"/>
  <c r="G227" i="38"/>
  <c r="F227" i="38"/>
  <c r="E227" i="38"/>
  <c r="D227" i="38"/>
  <c r="C227" i="38"/>
  <c r="B227" i="38"/>
  <c r="AJ120" i="38"/>
  <c r="AI120" i="38"/>
  <c r="AJ119" i="38"/>
  <c r="AI119" i="38"/>
  <c r="AJ118" i="38"/>
  <c r="AI118" i="38"/>
  <c r="AJ117" i="38"/>
  <c r="AI117" i="38"/>
  <c r="AJ116" i="38"/>
  <c r="AI116" i="38"/>
  <c r="AJ115" i="38"/>
  <c r="AI115" i="38"/>
  <c r="AJ114" i="38"/>
  <c r="AI114" i="38"/>
  <c r="AJ113" i="38"/>
  <c r="AI113" i="38"/>
  <c r="AJ112" i="38"/>
  <c r="AI112" i="38"/>
  <c r="AJ111" i="38"/>
  <c r="AI111" i="38"/>
  <c r="C110" i="38"/>
  <c r="AJ109" i="38"/>
  <c r="AI109" i="38"/>
  <c r="AJ108" i="38"/>
  <c r="AI108" i="38"/>
  <c r="AJ107" i="38"/>
  <c r="AI107" i="38"/>
  <c r="AJ106" i="38"/>
  <c r="AI106" i="38"/>
  <c r="AJ105" i="38"/>
  <c r="AI105" i="38"/>
  <c r="AJ104" i="38"/>
  <c r="AI104" i="38"/>
  <c r="AJ103" i="38"/>
  <c r="AI103" i="38"/>
  <c r="AJ102" i="38"/>
  <c r="AI102" i="38"/>
  <c r="AJ101" i="38"/>
  <c r="AI101" i="38"/>
  <c r="F100" i="38"/>
  <c r="E100" i="38"/>
  <c r="D100" i="38"/>
  <c r="K99" i="38"/>
  <c r="J99" i="38"/>
  <c r="I99" i="38"/>
  <c r="H99" i="38"/>
  <c r="G99" i="38"/>
  <c r="F99" i="38"/>
  <c r="E99" i="38"/>
  <c r="D99" i="38"/>
  <c r="C99" i="38"/>
  <c r="B99" i="38"/>
  <c r="AJ98" i="38"/>
  <c r="AI98" i="38"/>
  <c r="AJ97" i="38"/>
  <c r="AI97" i="38"/>
  <c r="AJ96" i="38"/>
  <c r="AI96" i="38"/>
  <c r="AJ95" i="38"/>
  <c r="AI95" i="38"/>
  <c r="AJ94" i="38"/>
  <c r="AI94" i="38"/>
  <c r="AJ93" i="38"/>
  <c r="AI93" i="38"/>
  <c r="AJ90" i="38"/>
  <c r="AI90" i="38"/>
  <c r="AJ88" i="38"/>
  <c r="AI88" i="38"/>
  <c r="AH88" i="38"/>
  <c r="AJ87" i="38"/>
  <c r="AI87" i="38"/>
  <c r="AJ86" i="38"/>
  <c r="AI86" i="38"/>
  <c r="AJ85" i="38"/>
  <c r="AI85" i="38"/>
  <c r="AH84" i="38"/>
  <c r="K84" i="38"/>
  <c r="K100" i="38" s="1"/>
  <c r="J84" i="38"/>
  <c r="J100" i="38" s="1"/>
  <c r="I84" i="38"/>
  <c r="H5" i="38" s="1"/>
  <c r="H84" i="38"/>
  <c r="G84" i="38"/>
  <c r="F84" i="38"/>
  <c r="E84" i="38"/>
  <c r="D84" i="38"/>
  <c r="C5" i="38" s="1"/>
  <c r="C84" i="38"/>
  <c r="C100" i="38" s="1"/>
  <c r="B84" i="38"/>
  <c r="B100" i="38" s="1"/>
  <c r="AJ83" i="38"/>
  <c r="AI83" i="38"/>
  <c r="AJ82" i="38"/>
  <c r="AI82" i="38"/>
  <c r="AJ81" i="38"/>
  <c r="AI81" i="38"/>
  <c r="AJ80" i="38"/>
  <c r="AI80" i="38"/>
  <c r="AJ79" i="38"/>
  <c r="AI79" i="38"/>
  <c r="AJ78" i="38"/>
  <c r="AI78" i="38"/>
  <c r="AJ77" i="38"/>
  <c r="AI77" i="38"/>
  <c r="AJ76" i="38"/>
  <c r="AI76" i="38"/>
  <c r="AJ75" i="38"/>
  <c r="AI75" i="38"/>
  <c r="AJ74" i="38"/>
  <c r="AI74" i="38"/>
  <c r="AJ73" i="38"/>
  <c r="AI73" i="38"/>
  <c r="AJ72" i="38"/>
  <c r="AI72" i="38"/>
  <c r="AH72" i="38"/>
  <c r="AH4" i="38" s="1"/>
  <c r="B72" i="38"/>
  <c r="AJ71" i="38"/>
  <c r="AI71" i="38"/>
  <c r="AJ70" i="38"/>
  <c r="AI70" i="38"/>
  <c r="AJ69" i="38"/>
  <c r="AI69" i="38"/>
  <c r="B68" i="38"/>
  <c r="AJ67" i="38"/>
  <c r="AI67" i="38"/>
  <c r="AG66" i="38"/>
  <c r="AF66" i="38"/>
  <c r="AE66" i="38"/>
  <c r="AD66" i="38"/>
  <c r="AC66" i="38"/>
  <c r="AB66" i="38"/>
  <c r="AB68" i="38" s="1"/>
  <c r="AA66" i="38"/>
  <c r="Z66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AJ65" i="38"/>
  <c r="AI65" i="38"/>
  <c r="AG64" i="38"/>
  <c r="AF64" i="38"/>
  <c r="AE64" i="38"/>
  <c r="AD64" i="38"/>
  <c r="AC64" i="38"/>
  <c r="AB64" i="38"/>
  <c r="AA64" i="38"/>
  <c r="Z64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AG63" i="38"/>
  <c r="AF63" i="38"/>
  <c r="AE63" i="38"/>
  <c r="AD63" i="38"/>
  <c r="AC63" i="38"/>
  <c r="AB63" i="38"/>
  <c r="AA63" i="38"/>
  <c r="Z63" i="38"/>
  <c r="Y63" i="38"/>
  <c r="X63" i="38"/>
  <c r="W63" i="38"/>
  <c r="V63" i="38"/>
  <c r="U63" i="38"/>
  <c r="T63" i="38"/>
  <c r="S63" i="38"/>
  <c r="R63" i="38"/>
  <c r="Q63" i="38"/>
  <c r="P63" i="38"/>
  <c r="O63" i="38"/>
  <c r="N63" i="38"/>
  <c r="M63" i="38"/>
  <c r="L63" i="38"/>
  <c r="K63" i="38"/>
  <c r="J63" i="38"/>
  <c r="I63" i="38"/>
  <c r="H63" i="38"/>
  <c r="G63" i="38"/>
  <c r="F63" i="38"/>
  <c r="E63" i="38"/>
  <c r="D63" i="38"/>
  <c r="C63" i="38"/>
  <c r="AG62" i="38"/>
  <c r="AF62" i="38"/>
  <c r="AE62" i="38"/>
  <c r="AD62" i="38"/>
  <c r="AC62" i="38"/>
  <c r="AB62" i="38"/>
  <c r="AA62" i="38"/>
  <c r="Z62" i="38"/>
  <c r="Y62" i="38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AG61" i="38"/>
  <c r="AF61" i="38"/>
  <c r="AE61" i="38"/>
  <c r="AD61" i="38"/>
  <c r="AC61" i="38"/>
  <c r="AB61" i="38"/>
  <c r="AA61" i="38"/>
  <c r="Z61" i="38"/>
  <c r="Z68" i="38" s="1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AI61" i="38" s="1"/>
  <c r="D61" i="38"/>
  <c r="C61" i="38"/>
  <c r="AG60" i="38"/>
  <c r="AF60" i="38"/>
  <c r="AE60" i="38"/>
  <c r="AD60" i="38"/>
  <c r="AD68" i="38" s="1"/>
  <c r="AC60" i="38"/>
  <c r="AB60" i="38"/>
  <c r="AA60" i="38"/>
  <c r="Z60" i="38"/>
  <c r="Y60" i="38"/>
  <c r="X60" i="38"/>
  <c r="W60" i="38"/>
  <c r="V60" i="38"/>
  <c r="V68" i="38" s="1"/>
  <c r="U60" i="38"/>
  <c r="T60" i="38"/>
  <c r="S60" i="38"/>
  <c r="R60" i="38"/>
  <c r="Q60" i="38"/>
  <c r="P60" i="38"/>
  <c r="O60" i="38"/>
  <c r="N60" i="38"/>
  <c r="M60" i="38"/>
  <c r="L60" i="38"/>
  <c r="K60" i="38"/>
  <c r="J60" i="38"/>
  <c r="I60" i="38"/>
  <c r="H60" i="38"/>
  <c r="G60" i="38"/>
  <c r="F60" i="38"/>
  <c r="E60" i="38"/>
  <c r="D60" i="38"/>
  <c r="C60" i="38"/>
  <c r="AJ60" i="38" s="1"/>
  <c r="T59" i="38"/>
  <c r="S59" i="38"/>
  <c r="R59" i="38"/>
  <c r="AJ59" i="38" s="1"/>
  <c r="Q59" i="38"/>
  <c r="AG58" i="38"/>
  <c r="AF58" i="38"/>
  <c r="AE58" i="38"/>
  <c r="AD58" i="38"/>
  <c r="AC58" i="38"/>
  <c r="AB58" i="38"/>
  <c r="AA58" i="38"/>
  <c r="Z58" i="38"/>
  <c r="Y58" i="38"/>
  <c r="X58" i="38"/>
  <c r="W58" i="38"/>
  <c r="W68" i="38" s="1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AK57" i="38"/>
  <c r="AN242" i="38" s="1"/>
  <c r="AG57" i="38"/>
  <c r="AG68" i="38" s="1"/>
  <c r="AF57" i="38"/>
  <c r="AE57" i="38"/>
  <c r="AD57" i="38"/>
  <c r="AC57" i="38"/>
  <c r="AB57" i="38"/>
  <c r="AA57" i="38"/>
  <c r="AA68" i="38" s="1"/>
  <c r="Z57" i="38"/>
  <c r="Y57" i="38"/>
  <c r="Y68" i="38" s="1"/>
  <c r="X57" i="38"/>
  <c r="W57" i="38"/>
  <c r="V57" i="38"/>
  <c r="U57" i="38"/>
  <c r="T57" i="38"/>
  <c r="S57" i="38"/>
  <c r="R57" i="38"/>
  <c r="Q57" i="38"/>
  <c r="P57" i="38"/>
  <c r="O57" i="38"/>
  <c r="N57" i="38"/>
  <c r="M57" i="38"/>
  <c r="L57" i="38"/>
  <c r="K57" i="38"/>
  <c r="J57" i="38"/>
  <c r="I57" i="38"/>
  <c r="H57" i="38"/>
  <c r="G57" i="38"/>
  <c r="F57" i="38"/>
  <c r="E57" i="38"/>
  <c r="D57" i="38"/>
  <c r="C57" i="38"/>
  <c r="AI57" i="38" s="1"/>
  <c r="AJ56" i="38"/>
  <c r="AI56" i="38"/>
  <c r="C56" i="38"/>
  <c r="AK55" i="38"/>
  <c r="AM242" i="38" s="1"/>
  <c r="C55" i="38"/>
  <c r="AH54" i="38"/>
  <c r="AC54" i="38"/>
  <c r="Z54" i="38"/>
  <c r="U54" i="38"/>
  <c r="J54" i="38"/>
  <c r="J68" i="38" s="1"/>
  <c r="B54" i="38"/>
  <c r="AJ53" i="38"/>
  <c r="AI53" i="38"/>
  <c r="AG52" i="38"/>
  <c r="AG54" i="38" s="1"/>
  <c r="AF52" i="38"/>
  <c r="AF54" i="38" s="1"/>
  <c r="AE52" i="38"/>
  <c r="AE54" i="38" s="1"/>
  <c r="AD52" i="38"/>
  <c r="AD54" i="38" s="1"/>
  <c r="AC52" i="38"/>
  <c r="AB52" i="38"/>
  <c r="AB54" i="38" s="1"/>
  <c r="AA52" i="38"/>
  <c r="AA54" i="38" s="1"/>
  <c r="Z52" i="38"/>
  <c r="Y52" i="38"/>
  <c r="Y54" i="38" s="1"/>
  <c r="X52" i="38"/>
  <c r="X54" i="38" s="1"/>
  <c r="W52" i="38"/>
  <c r="W54" i="38" s="1"/>
  <c r="V52" i="38"/>
  <c r="V54" i="38" s="1"/>
  <c r="U52" i="38"/>
  <c r="T52" i="38"/>
  <c r="T54" i="38" s="1"/>
  <c r="T68" i="38" s="1"/>
  <c r="S52" i="38"/>
  <c r="S54" i="38" s="1"/>
  <c r="S68" i="38" s="1"/>
  <c r="R52" i="38"/>
  <c r="R54" i="38" s="1"/>
  <c r="R68" i="38" s="1"/>
  <c r="Q52" i="38"/>
  <c r="Q54" i="38" s="1"/>
  <c r="Q68" i="38" s="1"/>
  <c r="P52" i="38"/>
  <c r="P54" i="38" s="1"/>
  <c r="P68" i="38" s="1"/>
  <c r="O52" i="38"/>
  <c r="O54" i="38" s="1"/>
  <c r="O68" i="38" s="1"/>
  <c r="O242" i="38" s="1"/>
  <c r="N52" i="38"/>
  <c r="N54" i="38" s="1"/>
  <c r="N68" i="38" s="1"/>
  <c r="M52" i="38"/>
  <c r="M54" i="38" s="1"/>
  <c r="M68" i="38" s="1"/>
  <c r="L52" i="38"/>
  <c r="L54" i="38" s="1"/>
  <c r="L68" i="38" s="1"/>
  <c r="K52" i="38"/>
  <c r="K54" i="38" s="1"/>
  <c r="K68" i="38" s="1"/>
  <c r="J52" i="38"/>
  <c r="I52" i="38"/>
  <c r="I54" i="38" s="1"/>
  <c r="I68" i="38" s="1"/>
  <c r="H52" i="38"/>
  <c r="H54" i="38" s="1"/>
  <c r="H68" i="38" s="1"/>
  <c r="G52" i="38"/>
  <c r="G54" i="38" s="1"/>
  <c r="G68" i="38" s="1"/>
  <c r="F52" i="38"/>
  <c r="F54" i="38" s="1"/>
  <c r="F68" i="38" s="1"/>
  <c r="E52" i="38"/>
  <c r="E54" i="38" s="1"/>
  <c r="E68" i="38" s="1"/>
  <c r="D52" i="38"/>
  <c r="D54" i="38" s="1"/>
  <c r="D68" i="38" s="1"/>
  <c r="C52" i="38"/>
  <c r="AI52" i="38" s="1"/>
  <c r="AJ51" i="38"/>
  <c r="AI51" i="38"/>
  <c r="Y50" i="38"/>
  <c r="Y242" i="38" s="1"/>
  <c r="I50" i="38"/>
  <c r="I242" i="38" s="1"/>
  <c r="B50" i="38"/>
  <c r="AJ49" i="38"/>
  <c r="AI49" i="38"/>
  <c r="B49" i="38"/>
  <c r="AJ48" i="38"/>
  <c r="AI48" i="38"/>
  <c r="AG47" i="38"/>
  <c r="AF47" i="38"/>
  <c r="AE47" i="38"/>
  <c r="AD47" i="38"/>
  <c r="AC47" i="38"/>
  <c r="AB47" i="38"/>
  <c r="AA47" i="38"/>
  <c r="Z47" i="38"/>
  <c r="Y47" i="38"/>
  <c r="X47" i="38"/>
  <c r="W47" i="38"/>
  <c r="V47" i="38"/>
  <c r="U47" i="38"/>
  <c r="T47" i="38"/>
  <c r="S47" i="38"/>
  <c r="R47" i="38"/>
  <c r="Q47" i="38"/>
  <c r="P47" i="38"/>
  <c r="O47" i="38"/>
  <c r="N47" i="38"/>
  <c r="M47" i="38"/>
  <c r="L47" i="38"/>
  <c r="K47" i="38"/>
  <c r="J47" i="38"/>
  <c r="I47" i="38"/>
  <c r="H47" i="38"/>
  <c r="G47" i="38"/>
  <c r="F47" i="38"/>
  <c r="E47" i="38"/>
  <c r="D47" i="38"/>
  <c r="C47" i="38"/>
  <c r="AI47" i="38" s="1"/>
  <c r="AG46" i="38"/>
  <c r="AF46" i="38"/>
  <c r="AE46" i="38"/>
  <c r="AD46" i="38"/>
  <c r="AC46" i="38"/>
  <c r="AB46" i="38"/>
  <c r="AA46" i="38"/>
  <c r="Z46" i="38"/>
  <c r="Y46" i="38"/>
  <c r="X46" i="38"/>
  <c r="W46" i="38"/>
  <c r="V46" i="38"/>
  <c r="U46" i="38"/>
  <c r="T46" i="38"/>
  <c r="S46" i="38"/>
  <c r="R46" i="38"/>
  <c r="Q46" i="38"/>
  <c r="P46" i="38"/>
  <c r="O46" i="38"/>
  <c r="N46" i="38"/>
  <c r="M46" i="38"/>
  <c r="L46" i="38"/>
  <c r="K46" i="38"/>
  <c r="J46" i="38"/>
  <c r="I46" i="38"/>
  <c r="H46" i="38"/>
  <c r="G46" i="38"/>
  <c r="F46" i="38"/>
  <c r="E46" i="38"/>
  <c r="D46" i="38"/>
  <c r="AI46" i="38" s="1"/>
  <c r="C46" i="38"/>
  <c r="AJ46" i="38" s="1"/>
  <c r="AG45" i="38"/>
  <c r="AF45" i="38"/>
  <c r="AE45" i="38"/>
  <c r="AD45" i="38"/>
  <c r="AC45" i="38"/>
  <c r="AB45" i="38"/>
  <c r="AA45" i="38"/>
  <c r="Z45" i="38"/>
  <c r="Y45" i="38"/>
  <c r="X45" i="38"/>
  <c r="W45" i="38"/>
  <c r="V45" i="38"/>
  <c r="U45" i="38"/>
  <c r="T45" i="38"/>
  <c r="S45" i="38"/>
  <c r="R45" i="38"/>
  <c r="Q45" i="38"/>
  <c r="P45" i="38"/>
  <c r="O45" i="38"/>
  <c r="N45" i="38"/>
  <c r="M45" i="38"/>
  <c r="L45" i="38"/>
  <c r="K45" i="38"/>
  <c r="J45" i="38"/>
  <c r="I45" i="38"/>
  <c r="H45" i="38"/>
  <c r="G45" i="38"/>
  <c r="F45" i="38"/>
  <c r="E45" i="38"/>
  <c r="AI45" i="38" s="1"/>
  <c r="D45" i="38"/>
  <c r="C45" i="38"/>
  <c r="AJ45" i="38" s="1"/>
  <c r="AG44" i="38"/>
  <c r="AF44" i="38"/>
  <c r="AE44" i="38"/>
  <c r="AD44" i="38"/>
  <c r="AC44" i="38"/>
  <c r="AB44" i="38"/>
  <c r="AA44" i="38"/>
  <c r="Z44" i="38"/>
  <c r="Y44" i="38"/>
  <c r="X44" i="38"/>
  <c r="W44" i="38"/>
  <c r="V44" i="38"/>
  <c r="U44" i="38"/>
  <c r="T44" i="38"/>
  <c r="S44" i="38"/>
  <c r="R44" i="38"/>
  <c r="Q44" i="38"/>
  <c r="P44" i="38"/>
  <c r="O44" i="38"/>
  <c r="N44" i="38"/>
  <c r="M44" i="38"/>
  <c r="L44" i="38"/>
  <c r="K44" i="38"/>
  <c r="J44" i="38"/>
  <c r="I44" i="38"/>
  <c r="H44" i="38"/>
  <c r="G44" i="38"/>
  <c r="F44" i="38"/>
  <c r="E44" i="38"/>
  <c r="D44" i="38"/>
  <c r="AJ44" i="38" s="1"/>
  <c r="C44" i="38"/>
  <c r="AG43" i="38"/>
  <c r="AF43" i="38"/>
  <c r="AE43" i="38"/>
  <c r="AD43" i="38"/>
  <c r="AC43" i="38"/>
  <c r="AB43" i="38"/>
  <c r="AA43" i="38"/>
  <c r="Z43" i="38"/>
  <c r="Y43" i="38"/>
  <c r="X43" i="38"/>
  <c r="W43" i="38"/>
  <c r="V43" i="38"/>
  <c r="U43" i="38"/>
  <c r="T43" i="38"/>
  <c r="S43" i="38"/>
  <c r="R43" i="38"/>
  <c r="Q43" i="38"/>
  <c r="P43" i="38"/>
  <c r="O43" i="38"/>
  <c r="N43" i="38"/>
  <c r="M43" i="38"/>
  <c r="L43" i="38"/>
  <c r="K43" i="38"/>
  <c r="J43" i="38"/>
  <c r="I43" i="38"/>
  <c r="H43" i="38"/>
  <c r="G43" i="38"/>
  <c r="F43" i="38"/>
  <c r="E43" i="38"/>
  <c r="D43" i="38"/>
  <c r="C43" i="38"/>
  <c r="AI43" i="38" s="1"/>
  <c r="AG42" i="38"/>
  <c r="AF42" i="38"/>
  <c r="AE42" i="38"/>
  <c r="AD42" i="38"/>
  <c r="AC42" i="38"/>
  <c r="AB42" i="38"/>
  <c r="AA42" i="38"/>
  <c r="Z42" i="38"/>
  <c r="Y42" i="38"/>
  <c r="X42" i="38"/>
  <c r="W42" i="38"/>
  <c r="V42" i="38"/>
  <c r="U42" i="38"/>
  <c r="T42" i="38"/>
  <c r="S42" i="38"/>
  <c r="R42" i="38"/>
  <c r="Q42" i="38"/>
  <c r="P42" i="38"/>
  <c r="O42" i="38"/>
  <c r="N42" i="38"/>
  <c r="M42" i="38"/>
  <c r="L42" i="38"/>
  <c r="K42" i="38"/>
  <c r="J42" i="38"/>
  <c r="I42" i="38"/>
  <c r="H42" i="38"/>
  <c r="G42" i="38"/>
  <c r="F42" i="38"/>
  <c r="E42" i="38"/>
  <c r="AI42" i="38" s="1"/>
  <c r="D42" i="38"/>
  <c r="C42" i="38"/>
  <c r="AJ42" i="38" s="1"/>
  <c r="AG41" i="38"/>
  <c r="AF41" i="38"/>
  <c r="AE41" i="38"/>
  <c r="AD41" i="38"/>
  <c r="AC41" i="38"/>
  <c r="AB41" i="38"/>
  <c r="AA41" i="38"/>
  <c r="Z41" i="38"/>
  <c r="Y41" i="38"/>
  <c r="X41" i="38"/>
  <c r="W41" i="38"/>
  <c r="V41" i="38"/>
  <c r="U41" i="38"/>
  <c r="T41" i="38"/>
  <c r="S41" i="38"/>
  <c r="R41" i="38"/>
  <c r="Q41" i="38"/>
  <c r="P41" i="38"/>
  <c r="O41" i="38"/>
  <c r="N41" i="38"/>
  <c r="M41" i="38"/>
  <c r="L41" i="38"/>
  <c r="K41" i="38"/>
  <c r="J41" i="38"/>
  <c r="I41" i="38"/>
  <c r="H41" i="38"/>
  <c r="G41" i="38"/>
  <c r="F41" i="38"/>
  <c r="E41" i="38"/>
  <c r="D41" i="38"/>
  <c r="C41" i="38"/>
  <c r="AI41" i="38" s="1"/>
  <c r="AG40" i="38"/>
  <c r="AF40" i="38"/>
  <c r="AE40" i="38"/>
  <c r="AD40" i="38"/>
  <c r="AC40" i="38"/>
  <c r="AB40" i="38"/>
  <c r="AA40" i="38"/>
  <c r="Z40" i="38"/>
  <c r="Y40" i="38"/>
  <c r="X40" i="38"/>
  <c r="W40" i="38"/>
  <c r="V40" i="38"/>
  <c r="U40" i="38"/>
  <c r="T40" i="38"/>
  <c r="S40" i="38"/>
  <c r="R40" i="38"/>
  <c r="Q40" i="38"/>
  <c r="P40" i="38"/>
  <c r="O40" i="38"/>
  <c r="N40" i="38"/>
  <c r="M40" i="38"/>
  <c r="L40" i="38"/>
  <c r="K40" i="38"/>
  <c r="J40" i="38"/>
  <c r="I40" i="38"/>
  <c r="H40" i="38"/>
  <c r="G40" i="38"/>
  <c r="F40" i="38"/>
  <c r="E40" i="38"/>
  <c r="D40" i="38"/>
  <c r="AI40" i="38" s="1"/>
  <c r="C40" i="38"/>
  <c r="AJ40" i="38" s="1"/>
  <c r="AG39" i="38"/>
  <c r="AF39" i="38"/>
  <c r="AE39" i="38"/>
  <c r="AD39" i="38"/>
  <c r="AC39" i="38"/>
  <c r="AB39" i="38"/>
  <c r="AA39" i="38"/>
  <c r="Z39" i="38"/>
  <c r="Y39" i="38"/>
  <c r="X39" i="38"/>
  <c r="W39" i="38"/>
  <c r="V39" i="38"/>
  <c r="U39" i="38"/>
  <c r="T39" i="38"/>
  <c r="S39" i="38"/>
  <c r="R39" i="38"/>
  <c r="Q39" i="38"/>
  <c r="P39" i="38"/>
  <c r="O39" i="38"/>
  <c r="N39" i="38"/>
  <c r="M39" i="38"/>
  <c r="L39" i="38"/>
  <c r="K39" i="38"/>
  <c r="J39" i="38"/>
  <c r="I39" i="38"/>
  <c r="H39" i="38"/>
  <c r="G39" i="38"/>
  <c r="F39" i="38"/>
  <c r="E39" i="38"/>
  <c r="D39" i="38"/>
  <c r="C39" i="38"/>
  <c r="AJ39" i="38" s="1"/>
  <c r="AG38" i="38"/>
  <c r="AF38" i="38"/>
  <c r="AE38" i="38"/>
  <c r="AD38" i="38"/>
  <c r="AC38" i="38"/>
  <c r="AB38" i="38"/>
  <c r="AA38" i="38"/>
  <c r="Z38" i="38"/>
  <c r="Y38" i="38"/>
  <c r="X38" i="38"/>
  <c r="W38" i="38"/>
  <c r="V38" i="38"/>
  <c r="U38" i="38"/>
  <c r="T38" i="38"/>
  <c r="S38" i="38"/>
  <c r="R38" i="38"/>
  <c r="Q38" i="38"/>
  <c r="P38" i="38"/>
  <c r="O38" i="38"/>
  <c r="N38" i="38"/>
  <c r="M38" i="38"/>
  <c r="L38" i="38"/>
  <c r="K38" i="38"/>
  <c r="J38" i="38"/>
  <c r="I38" i="38"/>
  <c r="H38" i="38"/>
  <c r="G38" i="38"/>
  <c r="F38" i="38"/>
  <c r="E38" i="38"/>
  <c r="D38" i="38"/>
  <c r="AI38" i="38" s="1"/>
  <c r="C38" i="38"/>
  <c r="AJ38" i="38" s="1"/>
  <c r="AG37" i="38"/>
  <c r="AF37" i="38"/>
  <c r="AE37" i="38"/>
  <c r="AD37" i="38"/>
  <c r="AC37" i="38"/>
  <c r="AB37" i="38"/>
  <c r="AA37" i="38"/>
  <c r="Z37" i="38"/>
  <c r="Y37" i="38"/>
  <c r="X37" i="38"/>
  <c r="W37" i="38"/>
  <c r="V37" i="38"/>
  <c r="U37" i="38"/>
  <c r="T37" i="38"/>
  <c r="S37" i="38"/>
  <c r="R37" i="38"/>
  <c r="Q37" i="38"/>
  <c r="P37" i="38"/>
  <c r="O37" i="38"/>
  <c r="N37" i="38"/>
  <c r="M37" i="38"/>
  <c r="L37" i="38"/>
  <c r="K37" i="38"/>
  <c r="J37" i="38"/>
  <c r="I37" i="38"/>
  <c r="H37" i="38"/>
  <c r="G37" i="38"/>
  <c r="F37" i="38"/>
  <c r="E37" i="38"/>
  <c r="AI37" i="38" s="1"/>
  <c r="D37" i="38"/>
  <c r="C37" i="38"/>
  <c r="AJ37" i="38" s="1"/>
  <c r="AG36" i="38"/>
  <c r="AF36" i="38"/>
  <c r="AE36" i="38"/>
  <c r="AD36" i="38"/>
  <c r="AC36" i="38"/>
  <c r="AB36" i="38"/>
  <c r="AA36" i="38"/>
  <c r="Z36" i="38"/>
  <c r="Y36" i="38"/>
  <c r="X36" i="38"/>
  <c r="W36" i="38"/>
  <c r="V36" i="38"/>
  <c r="U36" i="38"/>
  <c r="T36" i="38"/>
  <c r="S36" i="38"/>
  <c r="R36" i="38"/>
  <c r="Q36" i="38"/>
  <c r="P36" i="38"/>
  <c r="O36" i="38"/>
  <c r="N36" i="38"/>
  <c r="M36" i="38"/>
  <c r="L36" i="38"/>
  <c r="K36" i="38"/>
  <c r="J36" i="38"/>
  <c r="I36" i="38"/>
  <c r="H36" i="38"/>
  <c r="G36" i="38"/>
  <c r="F36" i="38"/>
  <c r="E36" i="38"/>
  <c r="D36" i="38"/>
  <c r="AJ36" i="38" s="1"/>
  <c r="C36" i="38"/>
  <c r="AG35" i="38"/>
  <c r="AF35" i="38"/>
  <c r="AE35" i="38"/>
  <c r="AD35" i="38"/>
  <c r="AC35" i="38"/>
  <c r="AB35" i="38"/>
  <c r="AA35" i="38"/>
  <c r="Z35" i="38"/>
  <c r="Y35" i="38"/>
  <c r="X35" i="38"/>
  <c r="W35" i="38"/>
  <c r="V35" i="38"/>
  <c r="U35" i="38"/>
  <c r="T35" i="38"/>
  <c r="S35" i="38"/>
  <c r="R35" i="38"/>
  <c r="Q35" i="38"/>
  <c r="P35" i="38"/>
  <c r="O35" i="38"/>
  <c r="N35" i="38"/>
  <c r="M35" i="38"/>
  <c r="L35" i="38"/>
  <c r="K35" i="38"/>
  <c r="J35" i="38"/>
  <c r="I35" i="38"/>
  <c r="H35" i="38"/>
  <c r="G35" i="38"/>
  <c r="F35" i="38"/>
  <c r="E35" i="38"/>
  <c r="D35" i="38"/>
  <c r="C35" i="38"/>
  <c r="AI35" i="38" s="1"/>
  <c r="AG34" i="38"/>
  <c r="AF34" i="38"/>
  <c r="AE34" i="38"/>
  <c r="AD34" i="38"/>
  <c r="AC34" i="38"/>
  <c r="AB34" i="38"/>
  <c r="AA34" i="38"/>
  <c r="Z34" i="38"/>
  <c r="Y34" i="38"/>
  <c r="X34" i="38"/>
  <c r="W34" i="38"/>
  <c r="V34" i="38"/>
  <c r="U34" i="38"/>
  <c r="T34" i="38"/>
  <c r="S34" i="38"/>
  <c r="R34" i="38"/>
  <c r="Q34" i="38"/>
  <c r="P34" i="38"/>
  <c r="O34" i="38"/>
  <c r="N34" i="38"/>
  <c r="M34" i="38"/>
  <c r="L34" i="38"/>
  <c r="K34" i="38"/>
  <c r="J34" i="38"/>
  <c r="I34" i="38"/>
  <c r="H34" i="38"/>
  <c r="G34" i="38"/>
  <c r="F34" i="38"/>
  <c r="E34" i="38"/>
  <c r="AI34" i="38" s="1"/>
  <c r="D34" i="38"/>
  <c r="C34" i="38"/>
  <c r="AJ34" i="38" s="1"/>
  <c r="AG33" i="38"/>
  <c r="AF33" i="38"/>
  <c r="AE33" i="38"/>
  <c r="AD33" i="38"/>
  <c r="AC33" i="38"/>
  <c r="AB33" i="38"/>
  <c r="AA33" i="38"/>
  <c r="Z33" i="38"/>
  <c r="Y33" i="38"/>
  <c r="X33" i="38"/>
  <c r="W33" i="38"/>
  <c r="V33" i="38"/>
  <c r="U33" i="38"/>
  <c r="T33" i="38"/>
  <c r="S33" i="38"/>
  <c r="R33" i="38"/>
  <c r="Q33" i="38"/>
  <c r="P33" i="38"/>
  <c r="O33" i="38"/>
  <c r="N33" i="38"/>
  <c r="M33" i="38"/>
  <c r="L33" i="38"/>
  <c r="K33" i="38"/>
  <c r="J33" i="38"/>
  <c r="I33" i="38"/>
  <c r="H33" i="38"/>
  <c r="G33" i="38"/>
  <c r="F33" i="38"/>
  <c r="E33" i="38"/>
  <c r="D33" i="38"/>
  <c r="C33" i="38"/>
  <c r="AI33" i="38" s="1"/>
  <c r="AG32" i="38"/>
  <c r="AF32" i="38"/>
  <c r="AE32" i="38"/>
  <c r="AD32" i="38"/>
  <c r="AC32" i="38"/>
  <c r="AB32" i="38"/>
  <c r="AA32" i="38"/>
  <c r="Z32" i="38"/>
  <c r="Y32" i="38"/>
  <c r="X32" i="38"/>
  <c r="W32" i="38"/>
  <c r="V32" i="38"/>
  <c r="U32" i="38"/>
  <c r="T32" i="38"/>
  <c r="S32" i="38"/>
  <c r="R32" i="38"/>
  <c r="Q32" i="38"/>
  <c r="P32" i="38"/>
  <c r="O32" i="38"/>
  <c r="N32" i="38"/>
  <c r="M32" i="38"/>
  <c r="L32" i="38"/>
  <c r="K32" i="38"/>
  <c r="J32" i="38"/>
  <c r="I32" i="38"/>
  <c r="H32" i="38"/>
  <c r="G32" i="38"/>
  <c r="F32" i="38"/>
  <c r="E32" i="38"/>
  <c r="D32" i="38"/>
  <c r="AI32" i="38" s="1"/>
  <c r="C32" i="38"/>
  <c r="AJ32" i="38" s="1"/>
  <c r="AG31" i="38"/>
  <c r="AF31" i="38"/>
  <c r="AE31" i="38"/>
  <c r="AD31" i="38"/>
  <c r="AC31" i="38"/>
  <c r="AB31" i="38"/>
  <c r="AA31" i="38"/>
  <c r="Z31" i="38"/>
  <c r="Y31" i="38"/>
  <c r="X31" i="38"/>
  <c r="W31" i="38"/>
  <c r="V31" i="38"/>
  <c r="U31" i="38"/>
  <c r="T31" i="38"/>
  <c r="S31" i="38"/>
  <c r="R31" i="38"/>
  <c r="Q31" i="38"/>
  <c r="P31" i="38"/>
  <c r="O31" i="38"/>
  <c r="N31" i="38"/>
  <c r="M31" i="38"/>
  <c r="L31" i="38"/>
  <c r="K31" i="38"/>
  <c r="J31" i="38"/>
  <c r="I31" i="38"/>
  <c r="H31" i="38"/>
  <c r="G31" i="38"/>
  <c r="F31" i="38"/>
  <c r="E31" i="38"/>
  <c r="D31" i="38"/>
  <c r="C31" i="38"/>
  <c r="AI31" i="38" s="1"/>
  <c r="AG30" i="38"/>
  <c r="AF30" i="38"/>
  <c r="AE30" i="38"/>
  <c r="AD30" i="38"/>
  <c r="AC30" i="38"/>
  <c r="AB30" i="38"/>
  <c r="AA30" i="38"/>
  <c r="Z30" i="38"/>
  <c r="Y30" i="38"/>
  <c r="X30" i="38"/>
  <c r="W30" i="38"/>
  <c r="V30" i="38"/>
  <c r="U30" i="38"/>
  <c r="T30" i="38"/>
  <c r="S30" i="38"/>
  <c r="R30" i="38"/>
  <c r="Q30" i="38"/>
  <c r="P30" i="38"/>
  <c r="O30" i="38"/>
  <c r="N30" i="38"/>
  <c r="M30" i="38"/>
  <c r="L30" i="38"/>
  <c r="K30" i="38"/>
  <c r="J30" i="38"/>
  <c r="I30" i="38"/>
  <c r="H30" i="38"/>
  <c r="G30" i="38"/>
  <c r="F30" i="38"/>
  <c r="E30" i="38"/>
  <c r="D30" i="38"/>
  <c r="AI30" i="38" s="1"/>
  <c r="C30" i="38"/>
  <c r="AJ30" i="38" s="1"/>
  <c r="AG29" i="38"/>
  <c r="AF29" i="38"/>
  <c r="AE29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G29" i="38"/>
  <c r="F29" i="38"/>
  <c r="E29" i="38"/>
  <c r="AI29" i="38" s="1"/>
  <c r="D29" i="38"/>
  <c r="C29" i="38"/>
  <c r="AJ29" i="38" s="1"/>
  <c r="AG28" i="38"/>
  <c r="AF28" i="38"/>
  <c r="AE28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G28" i="38"/>
  <c r="F28" i="38"/>
  <c r="E28" i="38"/>
  <c r="D28" i="38"/>
  <c r="AJ28" i="38" s="1"/>
  <c r="C28" i="38"/>
  <c r="AG27" i="38"/>
  <c r="AF27" i="38"/>
  <c r="AE27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G27" i="38"/>
  <c r="F27" i="38"/>
  <c r="E27" i="38"/>
  <c r="D27" i="38"/>
  <c r="AI27" i="38" s="1"/>
  <c r="C27" i="38"/>
  <c r="AJ27" i="38" s="1"/>
  <c r="AG26" i="38"/>
  <c r="AF26" i="38"/>
  <c r="AE26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AI26" i="38" s="1"/>
  <c r="D26" i="38"/>
  <c r="C26" i="38"/>
  <c r="AJ26" i="38" s="1"/>
  <c r="AG25" i="38"/>
  <c r="AF25" i="38"/>
  <c r="AE25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F25" i="38"/>
  <c r="E25" i="38"/>
  <c r="D25" i="38"/>
  <c r="C25" i="38"/>
  <c r="AI25" i="38" s="1"/>
  <c r="AG24" i="38"/>
  <c r="AF24" i="38"/>
  <c r="AE24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F24" i="38"/>
  <c r="E24" i="38"/>
  <c r="D24" i="38"/>
  <c r="AI24" i="38" s="1"/>
  <c r="C24" i="38"/>
  <c r="AJ24" i="38" s="1"/>
  <c r="AG23" i="38"/>
  <c r="AF23" i="38"/>
  <c r="AE23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G23" i="38"/>
  <c r="F23" i="38"/>
  <c r="E23" i="38"/>
  <c r="D23" i="38"/>
  <c r="C23" i="38"/>
  <c r="AJ23" i="38" s="1"/>
  <c r="AG22" i="38"/>
  <c r="AF22" i="38"/>
  <c r="AE22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I22" i="38"/>
  <c r="H22" i="38"/>
  <c r="G22" i="38"/>
  <c r="F22" i="38"/>
  <c r="E22" i="38"/>
  <c r="D22" i="38"/>
  <c r="AI22" i="38" s="1"/>
  <c r="C22" i="38"/>
  <c r="AJ22" i="38" s="1"/>
  <c r="AG21" i="38"/>
  <c r="AF21" i="38"/>
  <c r="AE21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I21" i="38"/>
  <c r="H21" i="38"/>
  <c r="G21" i="38"/>
  <c r="F21" i="38"/>
  <c r="E21" i="38"/>
  <c r="AI21" i="38" s="1"/>
  <c r="D21" i="38"/>
  <c r="C21" i="38"/>
  <c r="AJ21" i="38" s="1"/>
  <c r="AG20" i="38"/>
  <c r="AF20" i="38"/>
  <c r="AE20" i="38"/>
  <c r="AD20" i="38"/>
  <c r="AC20" i="38"/>
  <c r="AB20" i="38"/>
  <c r="AA20" i="38"/>
  <c r="Z20" i="38"/>
  <c r="Y20" i="38"/>
  <c r="X20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K20" i="38"/>
  <c r="J20" i="38"/>
  <c r="I20" i="38"/>
  <c r="H20" i="38"/>
  <c r="H110" i="38" s="1"/>
  <c r="G20" i="38"/>
  <c r="F20" i="38"/>
  <c r="F110" i="38" s="1"/>
  <c r="E20" i="38"/>
  <c r="E110" i="38" s="1"/>
  <c r="D20" i="38"/>
  <c r="D110" i="38" s="1"/>
  <c r="C20" i="38"/>
  <c r="AG19" i="38"/>
  <c r="AF19" i="38"/>
  <c r="AE19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K19" i="38"/>
  <c r="J19" i="38"/>
  <c r="I19" i="38"/>
  <c r="H19" i="38"/>
  <c r="G19" i="38"/>
  <c r="F19" i="38"/>
  <c r="E19" i="38"/>
  <c r="D19" i="38"/>
  <c r="AI19" i="38" s="1"/>
  <c r="C19" i="38"/>
  <c r="AJ19" i="38" s="1"/>
  <c r="AG18" i="38"/>
  <c r="AF18" i="38"/>
  <c r="AE18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K18" i="38"/>
  <c r="J18" i="38"/>
  <c r="I18" i="38"/>
  <c r="H18" i="38"/>
  <c r="AI18" i="38" s="1"/>
  <c r="G18" i="38"/>
  <c r="F18" i="38"/>
  <c r="E18" i="38"/>
  <c r="D18" i="38"/>
  <c r="C18" i="38"/>
  <c r="AJ18" i="38" s="1"/>
  <c r="AG17" i="38"/>
  <c r="AF17" i="38"/>
  <c r="AE17" i="38"/>
  <c r="AD17" i="38"/>
  <c r="AC17" i="38"/>
  <c r="AB17" i="38"/>
  <c r="AA17" i="38"/>
  <c r="Z17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M17" i="38"/>
  <c r="L17" i="38"/>
  <c r="K17" i="38"/>
  <c r="J17" i="38"/>
  <c r="I17" i="38"/>
  <c r="H17" i="38"/>
  <c r="G17" i="38"/>
  <c r="F17" i="38"/>
  <c r="E17" i="38"/>
  <c r="D17" i="38"/>
  <c r="C17" i="38"/>
  <c r="AJ17" i="38" s="1"/>
  <c r="AG16" i="38"/>
  <c r="AF16" i="38"/>
  <c r="AE16" i="38"/>
  <c r="AD16" i="38"/>
  <c r="AC16" i="38"/>
  <c r="AB16" i="38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I16" i="38"/>
  <c r="H16" i="38"/>
  <c r="G16" i="38"/>
  <c r="F16" i="38"/>
  <c r="E16" i="38"/>
  <c r="D16" i="38"/>
  <c r="AI16" i="38" s="1"/>
  <c r="C16" i="38"/>
  <c r="AJ16" i="38" s="1"/>
  <c r="AG15" i="38"/>
  <c r="AF15" i="38"/>
  <c r="AE15" i="38"/>
  <c r="AD15" i="38"/>
  <c r="AC15" i="38"/>
  <c r="AB15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J15" i="38"/>
  <c r="I15" i="38"/>
  <c r="H15" i="38"/>
  <c r="G15" i="38"/>
  <c r="F15" i="38"/>
  <c r="E15" i="38"/>
  <c r="D15" i="38"/>
  <c r="C15" i="38"/>
  <c r="AJ15" i="38" s="1"/>
  <c r="AG14" i="38"/>
  <c r="AF14" i="38"/>
  <c r="AE14" i="38"/>
  <c r="AD14" i="38"/>
  <c r="AC14" i="38"/>
  <c r="AB14" i="38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J14" i="38"/>
  <c r="I14" i="38"/>
  <c r="H14" i="38"/>
  <c r="G14" i="38"/>
  <c r="F14" i="38"/>
  <c r="E14" i="38"/>
  <c r="D14" i="38"/>
  <c r="AI14" i="38" s="1"/>
  <c r="C14" i="38"/>
  <c r="AJ14" i="38" s="1"/>
  <c r="AG13" i="38"/>
  <c r="AF13" i="38"/>
  <c r="AE13" i="38"/>
  <c r="AD13" i="38"/>
  <c r="AC13" i="38"/>
  <c r="AB13" i="38"/>
  <c r="AA13" i="38"/>
  <c r="Z13" i="38"/>
  <c r="Z50" i="38" s="1"/>
  <c r="Z242" i="38" s="1"/>
  <c r="Y13" i="38"/>
  <c r="X13" i="38"/>
  <c r="W13" i="38"/>
  <c r="V13" i="38"/>
  <c r="U13" i="38"/>
  <c r="T13" i="38"/>
  <c r="S13" i="38"/>
  <c r="R13" i="38"/>
  <c r="R50" i="38" s="1"/>
  <c r="Q13" i="38"/>
  <c r="P13" i="38"/>
  <c r="O13" i="38"/>
  <c r="N13" i="38"/>
  <c r="M13" i="38"/>
  <c r="L13" i="38"/>
  <c r="K13" i="38"/>
  <c r="J13" i="38"/>
  <c r="J50" i="38" s="1"/>
  <c r="I13" i="38"/>
  <c r="H13" i="38"/>
  <c r="G13" i="38"/>
  <c r="F13" i="38"/>
  <c r="E13" i="38"/>
  <c r="AI13" i="38" s="1"/>
  <c r="D13" i="38"/>
  <c r="C13" i="38"/>
  <c r="AJ13" i="38" s="1"/>
  <c r="AG12" i="38"/>
  <c r="AF12" i="38"/>
  <c r="AE12" i="38"/>
  <c r="AD12" i="38"/>
  <c r="AD50" i="38" s="1"/>
  <c r="AD242" i="38" s="1"/>
  <c r="AC12" i="38"/>
  <c r="AB12" i="38"/>
  <c r="AA12" i="38"/>
  <c r="Z12" i="38"/>
  <c r="Y12" i="38"/>
  <c r="X12" i="38"/>
  <c r="W12" i="38"/>
  <c r="V12" i="38"/>
  <c r="V50" i="38" s="1"/>
  <c r="V242" i="38" s="1"/>
  <c r="U12" i="38"/>
  <c r="T12" i="38"/>
  <c r="S12" i="38"/>
  <c r="R12" i="38"/>
  <c r="Q12" i="38"/>
  <c r="P12" i="38"/>
  <c r="O12" i="38"/>
  <c r="N12" i="38"/>
  <c r="N50" i="38" s="1"/>
  <c r="M12" i="38"/>
  <c r="L12" i="38"/>
  <c r="K12" i="38"/>
  <c r="J12" i="38"/>
  <c r="I12" i="38"/>
  <c r="H12" i="38"/>
  <c r="G12" i="38"/>
  <c r="F12" i="38"/>
  <c r="F50" i="38" s="1"/>
  <c r="E12" i="38"/>
  <c r="D12" i="38"/>
  <c r="AJ12" i="38" s="1"/>
  <c r="C12" i="38"/>
  <c r="AG11" i="38"/>
  <c r="AG50" i="38" s="1"/>
  <c r="AG242" i="38" s="1"/>
  <c r="AF11" i="38"/>
  <c r="AF50" i="38" s="1"/>
  <c r="AE11" i="38"/>
  <c r="AE50" i="38" s="1"/>
  <c r="AD11" i="38"/>
  <c r="AC11" i="38"/>
  <c r="AB11" i="38"/>
  <c r="AB50" i="38" s="1"/>
  <c r="AA11" i="38"/>
  <c r="AA50" i="38" s="1"/>
  <c r="AA242" i="38" s="1"/>
  <c r="Z11" i="38"/>
  <c r="Y11" i="38"/>
  <c r="X11" i="38"/>
  <c r="X50" i="38" s="1"/>
  <c r="W11" i="38"/>
  <c r="W50" i="38" s="1"/>
  <c r="V11" i="38"/>
  <c r="U11" i="38"/>
  <c r="T11" i="38"/>
  <c r="T50" i="38" s="1"/>
  <c r="T242" i="38" s="1"/>
  <c r="S11" i="38"/>
  <c r="S50" i="38" s="1"/>
  <c r="R11" i="38"/>
  <c r="Q11" i="38"/>
  <c r="Q50" i="38" s="1"/>
  <c r="P11" i="38"/>
  <c r="P50" i="38" s="1"/>
  <c r="O11" i="38"/>
  <c r="O50" i="38" s="1"/>
  <c r="N11" i="38"/>
  <c r="M11" i="38"/>
  <c r="L11" i="38"/>
  <c r="L50" i="38" s="1"/>
  <c r="K11" i="38"/>
  <c r="K50" i="38" s="1"/>
  <c r="J11" i="38"/>
  <c r="I11" i="38"/>
  <c r="H11" i="38"/>
  <c r="H50" i="38" s="1"/>
  <c r="G11" i="38"/>
  <c r="G50" i="38" s="1"/>
  <c r="F11" i="38"/>
  <c r="E11" i="38"/>
  <c r="D11" i="38"/>
  <c r="AI11" i="38" s="1"/>
  <c r="C11" i="38"/>
  <c r="C50" i="38" s="1"/>
  <c r="AE7" i="38"/>
  <c r="AD7" i="38"/>
  <c r="AC7" i="38"/>
  <c r="AB7" i="38"/>
  <c r="AA7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AG5" i="38"/>
  <c r="AF5" i="38"/>
  <c r="AE5" i="38"/>
  <c r="AD5" i="38"/>
  <c r="AC5" i="38"/>
  <c r="AB5" i="38"/>
  <c r="AA5" i="38"/>
  <c r="Z5" i="38"/>
  <c r="Y5" i="38"/>
  <c r="X5" i="38"/>
  <c r="W5" i="38"/>
  <c r="V5" i="38"/>
  <c r="U5" i="38"/>
  <c r="T5" i="38"/>
  <c r="S5" i="38"/>
  <c r="R5" i="38"/>
  <c r="Q5" i="38"/>
  <c r="P5" i="38"/>
  <c r="O5" i="38"/>
  <c r="N5" i="38"/>
  <c r="M5" i="38"/>
  <c r="L5" i="38"/>
  <c r="K5" i="38"/>
  <c r="J5" i="38"/>
  <c r="I5" i="38"/>
  <c r="G5" i="38"/>
  <c r="F5" i="38"/>
  <c r="E5" i="38"/>
  <c r="D5" i="38"/>
  <c r="B5" i="38"/>
  <c r="L4" i="38"/>
  <c r="F4" i="38"/>
  <c r="I4" i="38" s="1"/>
  <c r="C4" i="38"/>
  <c r="T246" i="38" s="1"/>
  <c r="AG274" i="37"/>
  <c r="AF274" i="37"/>
  <c r="AE274" i="37"/>
  <c r="AD274" i="37"/>
  <c r="AC274" i="37"/>
  <c r="AB274" i="37"/>
  <c r="AA274" i="37"/>
  <c r="Z274" i="37"/>
  <c r="Y274" i="37"/>
  <c r="X274" i="37"/>
  <c r="W274" i="37"/>
  <c r="V274" i="37"/>
  <c r="U274" i="37"/>
  <c r="T274" i="37"/>
  <c r="S274" i="37"/>
  <c r="R274" i="37"/>
  <c r="Q274" i="37"/>
  <c r="P274" i="37"/>
  <c r="O274" i="37"/>
  <c r="N274" i="37"/>
  <c r="M274" i="37"/>
  <c r="L274" i="37"/>
  <c r="K274" i="37"/>
  <c r="J274" i="37"/>
  <c r="I274" i="37"/>
  <c r="H274" i="37"/>
  <c r="G274" i="37"/>
  <c r="F274" i="37"/>
  <c r="E274" i="37"/>
  <c r="D274" i="37"/>
  <c r="C274" i="37"/>
  <c r="B274" i="37"/>
  <c r="A274" i="37"/>
  <c r="AG273" i="37"/>
  <c r="AF273" i="37"/>
  <c r="AE273" i="37"/>
  <c r="AD273" i="37"/>
  <c r="AC273" i="37"/>
  <c r="AB273" i="37"/>
  <c r="AA273" i="37"/>
  <c r="Z273" i="37"/>
  <c r="Y273" i="37"/>
  <c r="X273" i="37"/>
  <c r="W273" i="37"/>
  <c r="V273" i="37"/>
  <c r="U273" i="37"/>
  <c r="T273" i="37"/>
  <c r="S273" i="37"/>
  <c r="R273" i="37"/>
  <c r="Q273" i="37"/>
  <c r="P273" i="37"/>
  <c r="O273" i="37"/>
  <c r="N273" i="37"/>
  <c r="M273" i="37"/>
  <c r="L273" i="37"/>
  <c r="K273" i="37"/>
  <c r="J273" i="37"/>
  <c r="I273" i="37"/>
  <c r="H273" i="37"/>
  <c r="G273" i="37"/>
  <c r="F273" i="37"/>
  <c r="E273" i="37"/>
  <c r="D273" i="37"/>
  <c r="C273" i="37"/>
  <c r="B273" i="37"/>
  <c r="A273" i="37"/>
  <c r="AG272" i="37"/>
  <c r="AF272" i="37"/>
  <c r="AE272" i="37"/>
  <c r="AD272" i="37"/>
  <c r="AC272" i="37"/>
  <c r="AB272" i="37"/>
  <c r="AA272" i="37"/>
  <c r="Z272" i="37"/>
  <c r="Y272" i="37"/>
  <c r="X272" i="37"/>
  <c r="W272" i="37"/>
  <c r="V272" i="37"/>
  <c r="U272" i="37"/>
  <c r="T272" i="37"/>
  <c r="S272" i="37"/>
  <c r="R272" i="37"/>
  <c r="Q272" i="37"/>
  <c r="P272" i="37"/>
  <c r="O272" i="37"/>
  <c r="N272" i="37"/>
  <c r="M272" i="37"/>
  <c r="L272" i="37"/>
  <c r="K272" i="37"/>
  <c r="J272" i="37"/>
  <c r="I272" i="37"/>
  <c r="H272" i="37"/>
  <c r="G272" i="37"/>
  <c r="F272" i="37"/>
  <c r="E272" i="37"/>
  <c r="D272" i="37"/>
  <c r="C272" i="37"/>
  <c r="B272" i="37"/>
  <c r="A272" i="37"/>
  <c r="AG271" i="37"/>
  <c r="AF271" i="37"/>
  <c r="AE271" i="37"/>
  <c r="AD271" i="37"/>
  <c r="AC271" i="37"/>
  <c r="AB271" i="37"/>
  <c r="AA271" i="37"/>
  <c r="Z271" i="37"/>
  <c r="Y271" i="37"/>
  <c r="X271" i="37"/>
  <c r="W271" i="37"/>
  <c r="V271" i="37"/>
  <c r="U271" i="37"/>
  <c r="T271" i="37"/>
  <c r="S271" i="37"/>
  <c r="R271" i="37"/>
  <c r="Q271" i="37"/>
  <c r="P271" i="37"/>
  <c r="O271" i="37"/>
  <c r="N271" i="37"/>
  <c r="M271" i="37"/>
  <c r="L271" i="37"/>
  <c r="K271" i="37"/>
  <c r="J271" i="37"/>
  <c r="I271" i="37"/>
  <c r="H271" i="37"/>
  <c r="G271" i="37"/>
  <c r="F271" i="37"/>
  <c r="E271" i="37"/>
  <c r="D271" i="37"/>
  <c r="C271" i="37"/>
  <c r="B271" i="37"/>
  <c r="A271" i="37"/>
  <c r="AF270" i="37"/>
  <c r="AE270" i="37"/>
  <c r="AD270" i="37"/>
  <c r="AC270" i="37"/>
  <c r="AB270" i="37"/>
  <c r="AA270" i="37"/>
  <c r="Z270" i="37"/>
  <c r="Y270" i="37"/>
  <c r="X270" i="37"/>
  <c r="W270" i="37"/>
  <c r="V270" i="37"/>
  <c r="U270" i="37"/>
  <c r="T270" i="37"/>
  <c r="S270" i="37"/>
  <c r="R270" i="37"/>
  <c r="Q270" i="37"/>
  <c r="P270" i="37"/>
  <c r="O270" i="37"/>
  <c r="N270" i="37"/>
  <c r="M270" i="37"/>
  <c r="L270" i="37"/>
  <c r="K270" i="37"/>
  <c r="J270" i="37"/>
  <c r="I270" i="37"/>
  <c r="H270" i="37"/>
  <c r="G270" i="37"/>
  <c r="E270" i="37"/>
  <c r="D270" i="37"/>
  <c r="B270" i="37"/>
  <c r="AY249" i="37"/>
  <c r="AX249" i="37"/>
  <c r="AW249" i="37"/>
  <c r="AV249" i="37"/>
  <c r="AU249" i="37"/>
  <c r="AT249" i="37"/>
  <c r="AS249" i="37"/>
  <c r="AR249" i="37"/>
  <c r="AQ249" i="37"/>
  <c r="AP249" i="37"/>
  <c r="AO249" i="37"/>
  <c r="AN249" i="37"/>
  <c r="AM249" i="37"/>
  <c r="AL249" i="37"/>
  <c r="AK249" i="37"/>
  <c r="AJ249" i="37"/>
  <c r="AI249" i="37"/>
  <c r="AH249" i="37"/>
  <c r="AG249" i="37"/>
  <c r="AF249" i="37"/>
  <c r="AE249" i="37"/>
  <c r="AD249" i="37"/>
  <c r="T245" i="37"/>
  <c r="AN242" i="37"/>
  <c r="AM242" i="37"/>
  <c r="AH235" i="37"/>
  <c r="E235" i="37"/>
  <c r="K234" i="37"/>
  <c r="J234" i="37"/>
  <c r="I234" i="37"/>
  <c r="H234" i="37"/>
  <c r="G234" i="37"/>
  <c r="F270" i="37" s="1"/>
  <c r="F234" i="37"/>
  <c r="E234" i="37"/>
  <c r="D234" i="37"/>
  <c r="C270" i="37" s="1"/>
  <c r="C234" i="37"/>
  <c r="AG270" i="37" s="1"/>
  <c r="B234" i="37"/>
  <c r="K233" i="37"/>
  <c r="J233" i="37"/>
  <c r="I233" i="37"/>
  <c r="H233" i="37"/>
  <c r="G233" i="37"/>
  <c r="F233" i="37"/>
  <c r="E233" i="37"/>
  <c r="D233" i="37"/>
  <c r="C233" i="37"/>
  <c r="B233" i="37"/>
  <c r="K232" i="37"/>
  <c r="J232" i="37"/>
  <c r="I232" i="37"/>
  <c r="H232" i="37"/>
  <c r="H235" i="37" s="1"/>
  <c r="G232" i="37"/>
  <c r="F232" i="37"/>
  <c r="E232" i="37"/>
  <c r="D232" i="37"/>
  <c r="C232" i="37"/>
  <c r="B232" i="37"/>
  <c r="K231" i="37"/>
  <c r="J231" i="37"/>
  <c r="J235" i="37" s="1"/>
  <c r="I231" i="37"/>
  <c r="H231" i="37"/>
  <c r="G231" i="37"/>
  <c r="F231" i="37"/>
  <c r="E231" i="37"/>
  <c r="D231" i="37"/>
  <c r="C231" i="37"/>
  <c r="B231" i="37"/>
  <c r="B235" i="37" s="1"/>
  <c r="K230" i="37"/>
  <c r="K235" i="37" s="1"/>
  <c r="J230" i="37"/>
  <c r="I230" i="37"/>
  <c r="H230" i="37"/>
  <c r="G230" i="37"/>
  <c r="F230" i="37"/>
  <c r="E230" i="37"/>
  <c r="D230" i="37"/>
  <c r="C230" i="37"/>
  <c r="C235" i="37" s="1"/>
  <c r="B230" i="37"/>
  <c r="K229" i="37"/>
  <c r="J229" i="37"/>
  <c r="I229" i="37"/>
  <c r="I235" i="37" s="1"/>
  <c r="H229" i="37"/>
  <c r="G229" i="37"/>
  <c r="F229" i="37"/>
  <c r="F235" i="37" s="1"/>
  <c r="E229" i="37"/>
  <c r="D229" i="37"/>
  <c r="C229" i="37"/>
  <c r="B229" i="37"/>
  <c r="AH227" i="37"/>
  <c r="K227" i="37"/>
  <c r="J227" i="37"/>
  <c r="I227" i="37"/>
  <c r="H227" i="37"/>
  <c r="G227" i="37"/>
  <c r="F227" i="37"/>
  <c r="E227" i="37"/>
  <c r="D227" i="37"/>
  <c r="C227" i="37"/>
  <c r="B227" i="37"/>
  <c r="AJ120" i="37"/>
  <c r="AI120" i="37"/>
  <c r="AJ119" i="37"/>
  <c r="AI119" i="37"/>
  <c r="AJ118" i="37"/>
  <c r="AI118" i="37"/>
  <c r="AJ117" i="37"/>
  <c r="AI117" i="37"/>
  <c r="AJ116" i="37"/>
  <c r="AI116" i="37"/>
  <c r="AJ115" i="37"/>
  <c r="AI115" i="37"/>
  <c r="AJ114" i="37"/>
  <c r="AI114" i="37"/>
  <c r="AJ113" i="37"/>
  <c r="AI113" i="37"/>
  <c r="AJ112" i="37"/>
  <c r="AI112" i="37"/>
  <c r="AJ111" i="37"/>
  <c r="AI111" i="37"/>
  <c r="B110" i="37"/>
  <c r="AJ109" i="37"/>
  <c r="AI109" i="37"/>
  <c r="AJ108" i="37"/>
  <c r="AI108" i="37"/>
  <c r="AJ107" i="37"/>
  <c r="AI107" i="37"/>
  <c r="AJ106" i="37"/>
  <c r="AI106" i="37"/>
  <c r="AJ105" i="37"/>
  <c r="AI105" i="37"/>
  <c r="AJ104" i="37"/>
  <c r="AI104" i="37"/>
  <c r="AJ103" i="37"/>
  <c r="AI103" i="37"/>
  <c r="AJ102" i="37"/>
  <c r="AI102" i="37"/>
  <c r="AJ101" i="37"/>
  <c r="AI101" i="37"/>
  <c r="G100" i="37"/>
  <c r="F100" i="37"/>
  <c r="K99" i="37"/>
  <c r="J99" i="37"/>
  <c r="J100" i="37" s="1"/>
  <c r="I99" i="37"/>
  <c r="H99" i="37"/>
  <c r="G99" i="37"/>
  <c r="F99" i="37"/>
  <c r="E99" i="37"/>
  <c r="D99" i="37"/>
  <c r="C99" i="37"/>
  <c r="AI99" i="37" s="1"/>
  <c r="B99" i="37"/>
  <c r="B100" i="37" s="1"/>
  <c r="AJ98" i="37"/>
  <c r="AI98" i="37"/>
  <c r="AJ97" i="37"/>
  <c r="AI97" i="37"/>
  <c r="AJ96" i="37"/>
  <c r="AI96" i="37"/>
  <c r="AJ95" i="37"/>
  <c r="AI95" i="37"/>
  <c r="AJ94" i="37"/>
  <c r="AI94" i="37"/>
  <c r="AJ93" i="37"/>
  <c r="AI93" i="37"/>
  <c r="AJ90" i="37"/>
  <c r="AI90" i="37"/>
  <c r="AJ88" i="37"/>
  <c r="AI88" i="37"/>
  <c r="AH88" i="37"/>
  <c r="AJ87" i="37"/>
  <c r="AI87" i="37"/>
  <c r="AJ86" i="37"/>
  <c r="AI86" i="37"/>
  <c r="AJ85" i="37"/>
  <c r="AI85" i="37"/>
  <c r="AH84" i="37"/>
  <c r="K84" i="37"/>
  <c r="K100" i="37" s="1"/>
  <c r="J84" i="37"/>
  <c r="I84" i="37"/>
  <c r="I100" i="37" s="1"/>
  <c r="H84" i="37"/>
  <c r="H100" i="37" s="1"/>
  <c r="G84" i="37"/>
  <c r="F84" i="37"/>
  <c r="E84" i="37"/>
  <c r="E100" i="37" s="1"/>
  <c r="D84" i="37"/>
  <c r="D100" i="37" s="1"/>
  <c r="C84" i="37"/>
  <c r="C100" i="37" s="1"/>
  <c r="AJ100" i="37" s="1"/>
  <c r="B84" i="37"/>
  <c r="AJ83" i="37"/>
  <c r="AI83" i="37"/>
  <c r="AJ82" i="37"/>
  <c r="AI82" i="37"/>
  <c r="AJ81" i="37"/>
  <c r="AI81" i="37"/>
  <c r="AJ80" i="37"/>
  <c r="AI80" i="37"/>
  <c r="AJ79" i="37"/>
  <c r="AI79" i="37"/>
  <c r="AJ78" i="37"/>
  <c r="AI78" i="37"/>
  <c r="AJ77" i="37"/>
  <c r="AI77" i="37"/>
  <c r="AJ76" i="37"/>
  <c r="AI76" i="37"/>
  <c r="AJ75" i="37"/>
  <c r="AI75" i="37"/>
  <c r="AJ74" i="37"/>
  <c r="AI74" i="37"/>
  <c r="AJ73" i="37"/>
  <c r="AI73" i="37"/>
  <c r="AJ72" i="37"/>
  <c r="AI72" i="37"/>
  <c r="AH72" i="37"/>
  <c r="B72" i="37"/>
  <c r="AJ71" i="37"/>
  <c r="AI71" i="37"/>
  <c r="AJ70" i="37"/>
  <c r="AI70" i="37"/>
  <c r="AJ69" i="37"/>
  <c r="AI69" i="37"/>
  <c r="AA68" i="37"/>
  <c r="L68" i="37"/>
  <c r="AJ67" i="37"/>
  <c r="AI67" i="37"/>
  <c r="AH67" i="37"/>
  <c r="AJ66" i="37"/>
  <c r="AI66" i="37"/>
  <c r="AJ65" i="37"/>
  <c r="AI65" i="37"/>
  <c r="AG64" i="37"/>
  <c r="AF64" i="37"/>
  <c r="AE64" i="37"/>
  <c r="AD64" i="37"/>
  <c r="AC64" i="37"/>
  <c r="AB64" i="37"/>
  <c r="AA64" i="37"/>
  <c r="Z64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AI64" i="37" s="1"/>
  <c r="C64" i="37"/>
  <c r="AG63" i="37"/>
  <c r="AF63" i="37"/>
  <c r="AE63" i="37"/>
  <c r="AD63" i="37"/>
  <c r="AC63" i="37"/>
  <c r="AB63" i="37"/>
  <c r="AA63" i="37"/>
  <c r="Z63" i="37"/>
  <c r="Y63" i="37"/>
  <c r="X63" i="37"/>
  <c r="W63" i="37"/>
  <c r="V63" i="37"/>
  <c r="U63" i="37"/>
  <c r="T63" i="37"/>
  <c r="S63" i="37"/>
  <c r="R63" i="37"/>
  <c r="Q63" i="37"/>
  <c r="P63" i="37"/>
  <c r="O63" i="37"/>
  <c r="N63" i="37"/>
  <c r="M63" i="37"/>
  <c r="L63" i="37"/>
  <c r="K63" i="37"/>
  <c r="J63" i="37"/>
  <c r="I63" i="37"/>
  <c r="H63" i="37"/>
  <c r="G63" i="37"/>
  <c r="F63" i="37"/>
  <c r="E63" i="37"/>
  <c r="D63" i="37"/>
  <c r="C63" i="37"/>
  <c r="AI63" i="37" s="1"/>
  <c r="AG62" i="37"/>
  <c r="AF62" i="37"/>
  <c r="AE62" i="37"/>
  <c r="AD62" i="37"/>
  <c r="AC62" i="37"/>
  <c r="AB62" i="37"/>
  <c r="AA62" i="37"/>
  <c r="Z62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AG61" i="37"/>
  <c r="AF61" i="37"/>
  <c r="AE61" i="37"/>
  <c r="AD61" i="37"/>
  <c r="AC61" i="37"/>
  <c r="AB61" i="37"/>
  <c r="AA61" i="37"/>
  <c r="Z61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G110" i="37" s="1"/>
  <c r="F61" i="37"/>
  <c r="E61" i="37"/>
  <c r="D61" i="37"/>
  <c r="C61" i="37"/>
  <c r="AG60" i="37"/>
  <c r="AF60" i="37"/>
  <c r="AE60" i="37"/>
  <c r="AD60" i="37"/>
  <c r="AC60" i="37"/>
  <c r="AB60" i="37"/>
  <c r="AA60" i="37"/>
  <c r="Z60" i="37"/>
  <c r="Y60" i="37"/>
  <c r="X60" i="37"/>
  <c r="W60" i="37"/>
  <c r="V60" i="37"/>
  <c r="U60" i="37"/>
  <c r="T60" i="37"/>
  <c r="S60" i="37"/>
  <c r="R60" i="37"/>
  <c r="Q60" i="37"/>
  <c r="P60" i="37"/>
  <c r="O60" i="37"/>
  <c r="N60" i="37"/>
  <c r="M60" i="37"/>
  <c r="L60" i="37"/>
  <c r="K60" i="37"/>
  <c r="J60" i="37"/>
  <c r="I60" i="37"/>
  <c r="H60" i="37"/>
  <c r="G60" i="37"/>
  <c r="F60" i="37"/>
  <c r="E60" i="37"/>
  <c r="D60" i="37"/>
  <c r="C60" i="37"/>
  <c r="AJ60" i="37" s="1"/>
  <c r="AG59" i="37"/>
  <c r="AF59" i="37"/>
  <c r="AE59" i="37"/>
  <c r="AD59" i="37"/>
  <c r="AC59" i="37"/>
  <c r="AB59" i="37"/>
  <c r="AB68" i="37" s="1"/>
  <c r="AA59" i="37"/>
  <c r="Z59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AG58" i="37"/>
  <c r="AG68" i="37" s="1"/>
  <c r="AF58" i="37"/>
  <c r="AE58" i="37"/>
  <c r="AD58" i="37"/>
  <c r="AD68" i="37" s="1"/>
  <c r="AC58" i="37"/>
  <c r="AB58" i="37"/>
  <c r="AA58" i="37"/>
  <c r="Z58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AJ58" i="37" s="1"/>
  <c r="E58" i="37"/>
  <c r="D58" i="37"/>
  <c r="C58" i="37"/>
  <c r="AK57" i="37"/>
  <c r="AG57" i="37"/>
  <c r="AF57" i="37"/>
  <c r="AF68" i="37" s="1"/>
  <c r="AE57" i="37"/>
  <c r="AD57" i="37"/>
  <c r="AC57" i="37"/>
  <c r="AB57" i="37"/>
  <c r="AA57" i="37"/>
  <c r="Z57" i="37"/>
  <c r="Z68" i="37" s="1"/>
  <c r="Y57" i="37"/>
  <c r="Y68" i="37" s="1"/>
  <c r="X57" i="37"/>
  <c r="X68" i="37" s="1"/>
  <c r="W57" i="37"/>
  <c r="V57" i="37"/>
  <c r="V68" i="37" s="1"/>
  <c r="U57" i="37"/>
  <c r="T57" i="37"/>
  <c r="S57" i="37"/>
  <c r="R57" i="37"/>
  <c r="Q57" i="37"/>
  <c r="P57" i="37"/>
  <c r="O57" i="37"/>
  <c r="N57" i="37"/>
  <c r="M57" i="37"/>
  <c r="L57" i="37"/>
  <c r="K57" i="37"/>
  <c r="J57" i="37"/>
  <c r="AI57" i="37" s="1"/>
  <c r="I57" i="37"/>
  <c r="H57" i="37"/>
  <c r="G57" i="37"/>
  <c r="F57" i="37"/>
  <c r="E57" i="37"/>
  <c r="D57" i="37"/>
  <c r="C57" i="37"/>
  <c r="AJ56" i="37"/>
  <c r="C56" i="37"/>
  <c r="AI56" i="37" s="1"/>
  <c r="AK55" i="37"/>
  <c r="AJ55" i="37"/>
  <c r="AI55" i="37"/>
  <c r="AH54" i="37"/>
  <c r="AD54" i="37"/>
  <c r="AC54" i="37"/>
  <c r="X54" i="37"/>
  <c r="U54" i="37"/>
  <c r="N54" i="37"/>
  <c r="N68" i="37" s="1"/>
  <c r="M54" i="37"/>
  <c r="M68" i="37" s="1"/>
  <c r="J54" i="37"/>
  <c r="J68" i="37" s="1"/>
  <c r="E54" i="37"/>
  <c r="E68" i="37" s="1"/>
  <c r="B54" i="37"/>
  <c r="B68" i="37" s="1"/>
  <c r="AJ53" i="37"/>
  <c r="AI53" i="37"/>
  <c r="AG52" i="37"/>
  <c r="AG54" i="37" s="1"/>
  <c r="AF52" i="37"/>
  <c r="AF54" i="37" s="1"/>
  <c r="AE52" i="37"/>
  <c r="AE54" i="37" s="1"/>
  <c r="AD52" i="37"/>
  <c r="AC52" i="37"/>
  <c r="AB52" i="37"/>
  <c r="AB54" i="37" s="1"/>
  <c r="AA52" i="37"/>
  <c r="AA54" i="37" s="1"/>
  <c r="Z52" i="37"/>
  <c r="Z54" i="37" s="1"/>
  <c r="Y52" i="37"/>
  <c r="Y54" i="37" s="1"/>
  <c r="X52" i="37"/>
  <c r="W52" i="37"/>
  <c r="W54" i="37" s="1"/>
  <c r="V52" i="37"/>
  <c r="V54" i="37" s="1"/>
  <c r="U52" i="37"/>
  <c r="T52" i="37"/>
  <c r="T54" i="37" s="1"/>
  <c r="T68" i="37" s="1"/>
  <c r="S52" i="37"/>
  <c r="S54" i="37" s="1"/>
  <c r="S68" i="37" s="1"/>
  <c r="R52" i="37"/>
  <c r="R54" i="37" s="1"/>
  <c r="R68" i="37" s="1"/>
  <c r="Q52" i="37"/>
  <c r="Q54" i="37" s="1"/>
  <c r="Q68" i="37" s="1"/>
  <c r="P52" i="37"/>
  <c r="P54" i="37" s="1"/>
  <c r="P68" i="37" s="1"/>
  <c r="O52" i="37"/>
  <c r="O54" i="37" s="1"/>
  <c r="O68" i="37" s="1"/>
  <c r="N52" i="37"/>
  <c r="M52" i="37"/>
  <c r="L52" i="37"/>
  <c r="L54" i="37" s="1"/>
  <c r="K52" i="37"/>
  <c r="K54" i="37" s="1"/>
  <c r="K68" i="37" s="1"/>
  <c r="J52" i="37"/>
  <c r="I52" i="37"/>
  <c r="I54" i="37" s="1"/>
  <c r="I68" i="37" s="1"/>
  <c r="H52" i="37"/>
  <c r="H54" i="37" s="1"/>
  <c r="H68" i="37" s="1"/>
  <c r="G52" i="37"/>
  <c r="G54" i="37" s="1"/>
  <c r="G68" i="37" s="1"/>
  <c r="F52" i="37"/>
  <c r="F54" i="37" s="1"/>
  <c r="F68" i="37" s="1"/>
  <c r="E52" i="37"/>
  <c r="D52" i="37"/>
  <c r="D54" i="37" s="1"/>
  <c r="D68" i="37" s="1"/>
  <c r="C52" i="37"/>
  <c r="AJ52" i="37" s="1"/>
  <c r="AJ51" i="37"/>
  <c r="AI51" i="37"/>
  <c r="K50" i="37"/>
  <c r="B50" i="37"/>
  <c r="B89" i="37" s="1"/>
  <c r="B91" i="37" s="1"/>
  <c r="B92" i="37" s="1"/>
  <c r="C49" i="37"/>
  <c r="AJ49" i="37" s="1"/>
  <c r="B49" i="37"/>
  <c r="C48" i="37"/>
  <c r="AJ48" i="37" s="1"/>
  <c r="AJ47" i="37"/>
  <c r="AG47" i="37"/>
  <c r="AF47" i="37"/>
  <c r="AE47" i="37"/>
  <c r="AD47" i="37"/>
  <c r="AC47" i="37"/>
  <c r="AB47" i="37"/>
  <c r="AA47" i="37"/>
  <c r="Z47" i="37"/>
  <c r="Y47" i="37"/>
  <c r="X47" i="37"/>
  <c r="W47" i="37"/>
  <c r="V47" i="37"/>
  <c r="U47" i="37"/>
  <c r="T47" i="37"/>
  <c r="S47" i="37"/>
  <c r="R47" i="37"/>
  <c r="Q47" i="37"/>
  <c r="P47" i="37"/>
  <c r="O47" i="37"/>
  <c r="N47" i="37"/>
  <c r="M47" i="37"/>
  <c r="L47" i="37"/>
  <c r="K47" i="37"/>
  <c r="J47" i="37"/>
  <c r="I47" i="37"/>
  <c r="H47" i="37"/>
  <c r="G47" i="37"/>
  <c r="F47" i="37"/>
  <c r="E47" i="37"/>
  <c r="D47" i="37"/>
  <c r="C47" i="37"/>
  <c r="AI47" i="37" s="1"/>
  <c r="AG46" i="37"/>
  <c r="AF46" i="37"/>
  <c r="AE46" i="37"/>
  <c r="AD46" i="37"/>
  <c r="AC46" i="37"/>
  <c r="AB46" i="37"/>
  <c r="AA46" i="37"/>
  <c r="Z46" i="37"/>
  <c r="Y46" i="37"/>
  <c r="X46" i="37"/>
  <c r="W46" i="37"/>
  <c r="V46" i="37"/>
  <c r="U46" i="37"/>
  <c r="T46" i="37"/>
  <c r="S46" i="37"/>
  <c r="R46" i="37"/>
  <c r="Q46" i="37"/>
  <c r="P46" i="37"/>
  <c r="O46" i="37"/>
  <c r="N46" i="37"/>
  <c r="M46" i="37"/>
  <c r="L46" i="37"/>
  <c r="K46" i="37"/>
  <c r="J46" i="37"/>
  <c r="I46" i="37"/>
  <c r="H46" i="37"/>
  <c r="G46" i="37"/>
  <c r="F46" i="37"/>
  <c r="E46" i="37"/>
  <c r="D46" i="37"/>
  <c r="AI46" i="37" s="1"/>
  <c r="C46" i="37"/>
  <c r="AJ46" i="37" s="1"/>
  <c r="AG45" i="37"/>
  <c r="AF45" i="37"/>
  <c r="AE45" i="37"/>
  <c r="AD45" i="37"/>
  <c r="AC45" i="37"/>
  <c r="AB45" i="37"/>
  <c r="AA45" i="37"/>
  <c r="Z45" i="37"/>
  <c r="Y45" i="37"/>
  <c r="X45" i="37"/>
  <c r="W45" i="37"/>
  <c r="V45" i="37"/>
  <c r="U45" i="37"/>
  <c r="T45" i="37"/>
  <c r="S45" i="37"/>
  <c r="R45" i="37"/>
  <c r="Q45" i="37"/>
  <c r="P45" i="37"/>
  <c r="O45" i="37"/>
  <c r="N45" i="37"/>
  <c r="M45" i="37"/>
  <c r="L45" i="37"/>
  <c r="K45" i="37"/>
  <c r="J45" i="37"/>
  <c r="I45" i="37"/>
  <c r="H45" i="37"/>
  <c r="G45" i="37"/>
  <c r="F45" i="37"/>
  <c r="E45" i="37"/>
  <c r="AI45" i="37" s="1"/>
  <c r="D45" i="37"/>
  <c r="C45" i="37"/>
  <c r="AG44" i="37"/>
  <c r="AF44" i="37"/>
  <c r="AE44" i="37"/>
  <c r="AD44" i="37"/>
  <c r="AC44" i="37"/>
  <c r="AB44" i="37"/>
  <c r="AA44" i="37"/>
  <c r="Z44" i="37"/>
  <c r="Y44" i="37"/>
  <c r="X44" i="37"/>
  <c r="W44" i="37"/>
  <c r="V44" i="37"/>
  <c r="U44" i="37"/>
  <c r="T44" i="37"/>
  <c r="S44" i="37"/>
  <c r="R44" i="37"/>
  <c r="Q44" i="37"/>
  <c r="P44" i="37"/>
  <c r="O44" i="37"/>
  <c r="N44" i="37"/>
  <c r="M44" i="37"/>
  <c r="L44" i="37"/>
  <c r="K44" i="37"/>
  <c r="J44" i="37"/>
  <c r="I44" i="37"/>
  <c r="H44" i="37"/>
  <c r="G44" i="37"/>
  <c r="F44" i="37"/>
  <c r="E44" i="37"/>
  <c r="D44" i="37"/>
  <c r="C44" i="37"/>
  <c r="AG43" i="37"/>
  <c r="AF43" i="37"/>
  <c r="AE43" i="37"/>
  <c r="AD43" i="37"/>
  <c r="AC43" i="37"/>
  <c r="AB43" i="37"/>
  <c r="AA43" i="37"/>
  <c r="Z43" i="37"/>
  <c r="Y43" i="37"/>
  <c r="X43" i="37"/>
  <c r="W43" i="37"/>
  <c r="V43" i="37"/>
  <c r="U43" i="37"/>
  <c r="T43" i="37"/>
  <c r="S43" i="37"/>
  <c r="R43" i="37"/>
  <c r="Q43" i="37"/>
  <c r="P43" i="37"/>
  <c r="O43" i="37"/>
  <c r="N43" i="37"/>
  <c r="M43" i="37"/>
  <c r="L43" i="37"/>
  <c r="K43" i="37"/>
  <c r="J43" i="37"/>
  <c r="I43" i="37"/>
  <c r="H43" i="37"/>
  <c r="G43" i="37"/>
  <c r="F43" i="37"/>
  <c r="E43" i="37"/>
  <c r="D43" i="37"/>
  <c r="AI43" i="37" s="1"/>
  <c r="C43" i="37"/>
  <c r="AJ43" i="37" s="1"/>
  <c r="AG42" i="37"/>
  <c r="AF42" i="37"/>
  <c r="AE42" i="37"/>
  <c r="AD42" i="37"/>
  <c r="AC42" i="37"/>
  <c r="AB42" i="37"/>
  <c r="AA42" i="37"/>
  <c r="Z42" i="37"/>
  <c r="Y42" i="37"/>
  <c r="X42" i="37"/>
  <c r="W42" i="37"/>
  <c r="V42" i="37"/>
  <c r="U42" i="37"/>
  <c r="T42" i="37"/>
  <c r="S42" i="37"/>
  <c r="R42" i="37"/>
  <c r="Q42" i="37"/>
  <c r="P42" i="37"/>
  <c r="O42" i="37"/>
  <c r="N42" i="37"/>
  <c r="M42" i="37"/>
  <c r="L42" i="37"/>
  <c r="K42" i="37"/>
  <c r="J42" i="37"/>
  <c r="I42" i="37"/>
  <c r="H42" i="37"/>
  <c r="G42" i="37"/>
  <c r="F42" i="37"/>
  <c r="E42" i="37"/>
  <c r="AI42" i="37" s="1"/>
  <c r="D42" i="37"/>
  <c r="C42" i="37"/>
  <c r="AJ42" i="37" s="1"/>
  <c r="AG41" i="37"/>
  <c r="AF41" i="37"/>
  <c r="AE41" i="37"/>
  <c r="AD41" i="37"/>
  <c r="AC41" i="37"/>
  <c r="AB41" i="37"/>
  <c r="AA41" i="37"/>
  <c r="Z41" i="37"/>
  <c r="Y41" i="37"/>
  <c r="X41" i="37"/>
  <c r="W41" i="37"/>
  <c r="V41" i="37"/>
  <c r="U41" i="37"/>
  <c r="T41" i="37"/>
  <c r="S41" i="37"/>
  <c r="R41" i="37"/>
  <c r="Q41" i="37"/>
  <c r="P41" i="37"/>
  <c r="O41" i="37"/>
  <c r="N41" i="37"/>
  <c r="M41" i="37"/>
  <c r="L41" i="37"/>
  <c r="K41" i="37"/>
  <c r="J41" i="37"/>
  <c r="I41" i="37"/>
  <c r="H41" i="37"/>
  <c r="G41" i="37"/>
  <c r="F41" i="37"/>
  <c r="E41" i="37"/>
  <c r="D41" i="37"/>
  <c r="C41" i="37"/>
  <c r="AG40" i="37"/>
  <c r="AF40" i="37"/>
  <c r="AE40" i="37"/>
  <c r="AD40" i="37"/>
  <c r="AC40" i="37"/>
  <c r="AB40" i="37"/>
  <c r="AA40" i="37"/>
  <c r="Z40" i="37"/>
  <c r="Y40" i="37"/>
  <c r="X40" i="37"/>
  <c r="W40" i="37"/>
  <c r="V40" i="37"/>
  <c r="U40" i="37"/>
  <c r="T40" i="37"/>
  <c r="S40" i="37"/>
  <c r="R40" i="37"/>
  <c r="Q40" i="37"/>
  <c r="P40" i="37"/>
  <c r="O40" i="37"/>
  <c r="N40" i="37"/>
  <c r="M40" i="37"/>
  <c r="L40" i="37"/>
  <c r="K40" i="37"/>
  <c r="J40" i="37"/>
  <c r="AI40" i="37" s="1"/>
  <c r="I40" i="37"/>
  <c r="H40" i="37"/>
  <c r="G40" i="37"/>
  <c r="F40" i="37"/>
  <c r="E40" i="37"/>
  <c r="D40" i="37"/>
  <c r="C40" i="37"/>
  <c r="AJ39" i="37"/>
  <c r="AG39" i="37"/>
  <c r="AF39" i="37"/>
  <c r="AE39" i="37"/>
  <c r="AD39" i="37"/>
  <c r="AC39" i="37"/>
  <c r="AB39" i="37"/>
  <c r="AA39" i="37"/>
  <c r="Z39" i="37"/>
  <c r="Y39" i="37"/>
  <c r="X39" i="37"/>
  <c r="W39" i="37"/>
  <c r="V39" i="37"/>
  <c r="U39" i="37"/>
  <c r="T39" i="37"/>
  <c r="S39" i="37"/>
  <c r="R39" i="37"/>
  <c r="Q39" i="37"/>
  <c r="P39" i="37"/>
  <c r="O39" i="37"/>
  <c r="N39" i="37"/>
  <c r="M39" i="37"/>
  <c r="L39" i="37"/>
  <c r="K39" i="37"/>
  <c r="J39" i="37"/>
  <c r="I39" i="37"/>
  <c r="H39" i="37"/>
  <c r="G39" i="37"/>
  <c r="F39" i="37"/>
  <c r="E39" i="37"/>
  <c r="D39" i="37"/>
  <c r="C39" i="37"/>
  <c r="AI39" i="37" s="1"/>
  <c r="AG38" i="37"/>
  <c r="AF38" i="37"/>
  <c r="AE38" i="37"/>
  <c r="AD38" i="37"/>
  <c r="AC38" i="37"/>
  <c r="AB38" i="37"/>
  <c r="AA38" i="37"/>
  <c r="Z38" i="37"/>
  <c r="Y38" i="37"/>
  <c r="X38" i="37"/>
  <c r="W38" i="37"/>
  <c r="V38" i="37"/>
  <c r="U38" i="37"/>
  <c r="T38" i="37"/>
  <c r="S38" i="37"/>
  <c r="R38" i="37"/>
  <c r="Q38" i="37"/>
  <c r="P38" i="37"/>
  <c r="O38" i="37"/>
  <c r="N38" i="37"/>
  <c r="M38" i="37"/>
  <c r="L38" i="37"/>
  <c r="K38" i="37"/>
  <c r="J38" i="37"/>
  <c r="I38" i="37"/>
  <c r="H38" i="37"/>
  <c r="G38" i="37"/>
  <c r="F38" i="37"/>
  <c r="E38" i="37"/>
  <c r="D38" i="37"/>
  <c r="C38" i="37"/>
  <c r="AG37" i="37"/>
  <c r="AF37" i="37"/>
  <c r="AE37" i="37"/>
  <c r="AD37" i="37"/>
  <c r="AC37" i="37"/>
  <c r="AB37" i="37"/>
  <c r="AA37" i="37"/>
  <c r="Z37" i="37"/>
  <c r="Y37" i="37"/>
  <c r="X37" i="37"/>
  <c r="W37" i="37"/>
  <c r="V37" i="37"/>
  <c r="U37" i="37"/>
  <c r="T37" i="37"/>
  <c r="S37" i="37"/>
  <c r="R37" i="37"/>
  <c r="Q37" i="37"/>
  <c r="P37" i="37"/>
  <c r="O37" i="37"/>
  <c r="N37" i="37"/>
  <c r="M37" i="37"/>
  <c r="L37" i="37"/>
  <c r="K37" i="37"/>
  <c r="J37" i="37"/>
  <c r="AI37" i="37" s="1"/>
  <c r="I37" i="37"/>
  <c r="H37" i="37"/>
  <c r="G37" i="37"/>
  <c r="F37" i="37"/>
  <c r="E37" i="37"/>
  <c r="D37" i="37"/>
  <c r="C37" i="37"/>
  <c r="AJ36" i="37"/>
  <c r="AG36" i="37"/>
  <c r="AF36" i="37"/>
  <c r="AE36" i="37"/>
  <c r="AD36" i="37"/>
  <c r="AC36" i="37"/>
  <c r="AB36" i="37"/>
  <c r="AA36" i="37"/>
  <c r="Z36" i="37"/>
  <c r="Y36" i="37"/>
  <c r="X36" i="37"/>
  <c r="W36" i="37"/>
  <c r="V36" i="37"/>
  <c r="U36" i="37"/>
  <c r="T36" i="37"/>
  <c r="S36" i="37"/>
  <c r="R36" i="37"/>
  <c r="Q36" i="37"/>
  <c r="P36" i="37"/>
  <c r="O36" i="37"/>
  <c r="N36" i="37"/>
  <c r="M36" i="37"/>
  <c r="L36" i="37"/>
  <c r="K36" i="37"/>
  <c r="J36" i="37"/>
  <c r="I36" i="37"/>
  <c r="H36" i="37"/>
  <c r="G36" i="37"/>
  <c r="F36" i="37"/>
  <c r="E36" i="37"/>
  <c r="D36" i="37"/>
  <c r="C36" i="37"/>
  <c r="AI36" i="37" s="1"/>
  <c r="AG35" i="37"/>
  <c r="AF35" i="37"/>
  <c r="AE35" i="37"/>
  <c r="AD35" i="37"/>
  <c r="AC35" i="37"/>
  <c r="AB35" i="37"/>
  <c r="AA35" i="37"/>
  <c r="Z35" i="37"/>
  <c r="Y35" i="37"/>
  <c r="X35" i="37"/>
  <c r="W35" i="37"/>
  <c r="V35" i="37"/>
  <c r="U35" i="37"/>
  <c r="T35" i="37"/>
  <c r="S35" i="37"/>
  <c r="R35" i="37"/>
  <c r="Q35" i="37"/>
  <c r="P35" i="37"/>
  <c r="O35" i="37"/>
  <c r="N35" i="37"/>
  <c r="M35" i="37"/>
  <c r="L35" i="37"/>
  <c r="K35" i="37"/>
  <c r="J35" i="37"/>
  <c r="I35" i="37"/>
  <c r="H35" i="37"/>
  <c r="G35" i="37"/>
  <c r="F35" i="37"/>
  <c r="E35" i="37"/>
  <c r="D35" i="37"/>
  <c r="C35" i="37"/>
  <c r="AG34" i="37"/>
  <c r="AF34" i="37"/>
  <c r="AE34" i="37"/>
  <c r="AD34" i="37"/>
  <c r="AC34" i="37"/>
  <c r="AB34" i="37"/>
  <c r="AA34" i="37"/>
  <c r="Z34" i="37"/>
  <c r="Y34" i="37"/>
  <c r="X34" i="37"/>
  <c r="W34" i="37"/>
  <c r="V34" i="37"/>
  <c r="U34" i="37"/>
  <c r="T34" i="37"/>
  <c r="S34" i="37"/>
  <c r="R34" i="37"/>
  <c r="Q34" i="37"/>
  <c r="P34" i="37"/>
  <c r="O34" i="37"/>
  <c r="N34" i="37"/>
  <c r="M34" i="37"/>
  <c r="L34" i="37"/>
  <c r="K34" i="37"/>
  <c r="J34" i="37"/>
  <c r="I34" i="37"/>
  <c r="H34" i="37"/>
  <c r="G34" i="37"/>
  <c r="F34" i="37"/>
  <c r="E34" i="37"/>
  <c r="D34" i="37"/>
  <c r="C34" i="37"/>
  <c r="AG33" i="37"/>
  <c r="AF33" i="37"/>
  <c r="AE33" i="37"/>
  <c r="AD33" i="37"/>
  <c r="AC33" i="37"/>
  <c r="AB33" i="37"/>
  <c r="AA33" i="37"/>
  <c r="Z33" i="37"/>
  <c r="Y33" i="37"/>
  <c r="X33" i="37"/>
  <c r="W33" i="37"/>
  <c r="V33" i="37"/>
  <c r="U33" i="37"/>
  <c r="T33" i="37"/>
  <c r="S33" i="37"/>
  <c r="R33" i="37"/>
  <c r="Q33" i="37"/>
  <c r="P33" i="37"/>
  <c r="O33" i="37"/>
  <c r="N33" i="37"/>
  <c r="M33" i="37"/>
  <c r="L33" i="37"/>
  <c r="K33" i="37"/>
  <c r="J33" i="37"/>
  <c r="I33" i="37"/>
  <c r="H33" i="37"/>
  <c r="G33" i="37"/>
  <c r="F33" i="37"/>
  <c r="AI33" i="37" s="1"/>
  <c r="E33" i="37"/>
  <c r="D33" i="37"/>
  <c r="C33" i="37"/>
  <c r="AG32" i="37"/>
  <c r="AF32" i="37"/>
  <c r="AE32" i="37"/>
  <c r="AD32" i="37"/>
  <c r="AC32" i="37"/>
  <c r="AB32" i="37"/>
  <c r="AA32" i="37"/>
  <c r="Z32" i="37"/>
  <c r="Y32" i="37"/>
  <c r="X32" i="37"/>
  <c r="W32" i="37"/>
  <c r="V32" i="37"/>
  <c r="U32" i="37"/>
  <c r="T32" i="37"/>
  <c r="S32" i="37"/>
  <c r="R32" i="37"/>
  <c r="Q32" i="37"/>
  <c r="P32" i="37"/>
  <c r="O32" i="37"/>
  <c r="N32" i="37"/>
  <c r="M32" i="37"/>
  <c r="L32" i="37"/>
  <c r="K32" i="37"/>
  <c r="J32" i="37"/>
  <c r="I32" i="37"/>
  <c r="H32" i="37"/>
  <c r="G32" i="37"/>
  <c r="AI32" i="37" s="1"/>
  <c r="F32" i="37"/>
  <c r="E32" i="37"/>
  <c r="D32" i="37"/>
  <c r="C32" i="37"/>
  <c r="AG31" i="37"/>
  <c r="AF31" i="37"/>
  <c r="AE31" i="37"/>
  <c r="AD31" i="37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AJ31" i="37" s="1"/>
  <c r="G31" i="37"/>
  <c r="F31" i="37"/>
  <c r="E31" i="37"/>
  <c r="D31" i="37"/>
  <c r="C31" i="37"/>
  <c r="AG30" i="37"/>
  <c r="AF30" i="37"/>
  <c r="AE30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I110" i="37" s="1"/>
  <c r="H30" i="37"/>
  <c r="G30" i="37"/>
  <c r="F30" i="37"/>
  <c r="E30" i="37"/>
  <c r="D30" i="37"/>
  <c r="AI30" i="37" s="1"/>
  <c r="C30" i="37"/>
  <c r="AG29" i="37"/>
  <c r="AF29" i="37"/>
  <c r="AE29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J110" i="37" s="1"/>
  <c r="I29" i="37"/>
  <c r="H29" i="37"/>
  <c r="G29" i="37"/>
  <c r="F29" i="37"/>
  <c r="E29" i="37"/>
  <c r="D29" i="37"/>
  <c r="C29" i="37"/>
  <c r="AI29" i="37" s="1"/>
  <c r="AG28" i="37"/>
  <c r="AF28" i="37"/>
  <c r="AE28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AJ28" i="37" s="1"/>
  <c r="AG27" i="37"/>
  <c r="AF27" i="37"/>
  <c r="AE27" i="37"/>
  <c r="AD27" i="37"/>
  <c r="AC27" i="37"/>
  <c r="AC50" i="37" s="1"/>
  <c r="AB27" i="37"/>
  <c r="AA27" i="37"/>
  <c r="Z27" i="37"/>
  <c r="Y27" i="37"/>
  <c r="X27" i="37"/>
  <c r="W27" i="37"/>
  <c r="V27" i="37"/>
  <c r="U27" i="37"/>
  <c r="T27" i="37"/>
  <c r="T50" i="37" s="1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AJ27" i="37" s="1"/>
  <c r="AG26" i="37"/>
  <c r="AF26" i="37"/>
  <c r="AE26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AJ26" i="37" s="1"/>
  <c r="AG25" i="37"/>
  <c r="AF25" i="37"/>
  <c r="AE25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AG24" i="37"/>
  <c r="AF24" i="37"/>
  <c r="AE24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AI24" i="37" s="1"/>
  <c r="I24" i="37"/>
  <c r="H24" i="37"/>
  <c r="G24" i="37"/>
  <c r="F24" i="37"/>
  <c r="E24" i="37"/>
  <c r="D24" i="37"/>
  <c r="C24" i="37"/>
  <c r="AG23" i="37"/>
  <c r="AF23" i="37"/>
  <c r="AE23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AJ23" i="37" s="1"/>
  <c r="H23" i="37"/>
  <c r="G23" i="37"/>
  <c r="F23" i="37"/>
  <c r="E23" i="37"/>
  <c r="D23" i="37"/>
  <c r="C23" i="37"/>
  <c r="AG22" i="37"/>
  <c r="AF22" i="37"/>
  <c r="AE22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AI22" i="37" s="1"/>
  <c r="H22" i="37"/>
  <c r="G22" i="37"/>
  <c r="F22" i="37"/>
  <c r="E22" i="37"/>
  <c r="D22" i="37"/>
  <c r="C22" i="37"/>
  <c r="AG21" i="37"/>
  <c r="AF21" i="37"/>
  <c r="AE21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AI21" i="37" s="1"/>
  <c r="I21" i="37"/>
  <c r="H21" i="37"/>
  <c r="G21" i="37"/>
  <c r="F21" i="37"/>
  <c r="E21" i="37"/>
  <c r="D21" i="37"/>
  <c r="C21" i="37"/>
  <c r="AJ21" i="37" s="1"/>
  <c r="AJ20" i="37"/>
  <c r="AG20" i="37"/>
  <c r="AF20" i="37"/>
  <c r="AE20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K110" i="37" s="1"/>
  <c r="J20" i="37"/>
  <c r="I20" i="37"/>
  <c r="H20" i="37"/>
  <c r="H110" i="37" s="1"/>
  <c r="G20" i="37"/>
  <c r="F20" i="37"/>
  <c r="F110" i="37" s="1"/>
  <c r="E20" i="37"/>
  <c r="D20" i="37"/>
  <c r="C20" i="37"/>
  <c r="AG19" i="37"/>
  <c r="AF19" i="37"/>
  <c r="AE19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AJ19" i="37" s="1"/>
  <c r="AG18" i="37"/>
  <c r="AF18" i="37"/>
  <c r="AE18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AG17" i="37"/>
  <c r="AF17" i="37"/>
  <c r="AE17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AG16" i="37"/>
  <c r="AF16" i="37"/>
  <c r="AE16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AI16" i="37" s="1"/>
  <c r="F16" i="37"/>
  <c r="E16" i="37"/>
  <c r="D16" i="37"/>
  <c r="C16" i="37"/>
  <c r="AG15" i="37"/>
  <c r="AF15" i="37"/>
  <c r="AE15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AJ15" i="37" s="1"/>
  <c r="G15" i="37"/>
  <c r="F15" i="37"/>
  <c r="E15" i="37"/>
  <c r="D15" i="37"/>
  <c r="C15" i="37"/>
  <c r="AG14" i="37"/>
  <c r="AF14" i="37"/>
  <c r="AE14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AI14" i="37" s="1"/>
  <c r="H14" i="37"/>
  <c r="G14" i="37"/>
  <c r="F14" i="37"/>
  <c r="E14" i="37"/>
  <c r="D14" i="37"/>
  <c r="C14" i="37"/>
  <c r="AG13" i="37"/>
  <c r="AF13" i="37"/>
  <c r="AE13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AI13" i="37" s="1"/>
  <c r="I13" i="37"/>
  <c r="H13" i="37"/>
  <c r="G13" i="37"/>
  <c r="F13" i="37"/>
  <c r="E13" i="37"/>
  <c r="D13" i="37"/>
  <c r="C13" i="37"/>
  <c r="AJ13" i="37" s="1"/>
  <c r="AJ12" i="37"/>
  <c r="AG12" i="37"/>
  <c r="AF12" i="37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AG11" i="37"/>
  <c r="AF11" i="37"/>
  <c r="AE11" i="37"/>
  <c r="AD11" i="37"/>
  <c r="AC11" i="37"/>
  <c r="AB11" i="37"/>
  <c r="AA11" i="37"/>
  <c r="Z11" i="37"/>
  <c r="Y11" i="37"/>
  <c r="X11" i="37"/>
  <c r="W11" i="37"/>
  <c r="W50" i="37" s="1"/>
  <c r="V11" i="37"/>
  <c r="U11" i="37"/>
  <c r="T11" i="37"/>
  <c r="S11" i="37"/>
  <c r="R11" i="37"/>
  <c r="Q11" i="37"/>
  <c r="P11" i="37"/>
  <c r="O11" i="37"/>
  <c r="O50" i="37" s="1"/>
  <c r="N11" i="37"/>
  <c r="M11" i="37"/>
  <c r="L11" i="37"/>
  <c r="K11" i="37"/>
  <c r="J11" i="37"/>
  <c r="I11" i="37"/>
  <c r="H11" i="37"/>
  <c r="G11" i="37"/>
  <c r="G50" i="37" s="1"/>
  <c r="F11" i="37"/>
  <c r="E11" i="37"/>
  <c r="D11" i="37"/>
  <c r="C11" i="37"/>
  <c r="AE7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AF5" i="37"/>
  <c r="AE5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I5" i="37"/>
  <c r="H5" i="37"/>
  <c r="G5" i="37"/>
  <c r="F5" i="37"/>
  <c r="E5" i="37"/>
  <c r="D5" i="37"/>
  <c r="C5" i="37"/>
  <c r="AH4" i="37"/>
  <c r="L4" i="37"/>
  <c r="F4" i="37"/>
  <c r="I4" i="37" s="1"/>
  <c r="C4" i="37"/>
  <c r="AF103" i="35"/>
  <c r="AF39" i="35"/>
  <c r="AE103" i="35"/>
  <c r="AE39" i="35"/>
  <c r="AD103" i="35"/>
  <c r="AD39" i="35"/>
  <c r="AC39" i="35"/>
  <c r="AB39" i="35"/>
  <c r="AA103" i="35"/>
  <c r="AA39" i="35"/>
  <c r="Z103" i="35"/>
  <c r="Z39" i="35"/>
  <c r="Y103" i="35"/>
  <c r="X103" i="35"/>
  <c r="W103" i="35"/>
  <c r="W39" i="35"/>
  <c r="V103" i="35"/>
  <c r="V39" i="35"/>
  <c r="U39" i="35"/>
  <c r="T103" i="35"/>
  <c r="T39" i="35"/>
  <c r="S39" i="35"/>
  <c r="R39" i="35"/>
  <c r="J242" i="39" l="1"/>
  <c r="J89" i="39"/>
  <c r="J91" i="39" s="1"/>
  <c r="Q242" i="40"/>
  <c r="AG242" i="40"/>
  <c r="S242" i="38"/>
  <c r="N242" i="38"/>
  <c r="AI52" i="37"/>
  <c r="V242" i="39"/>
  <c r="AD242" i="39"/>
  <c r="AI56" i="39"/>
  <c r="AI57" i="39"/>
  <c r="I242" i="40"/>
  <c r="Y242" i="40"/>
  <c r="AI12" i="40"/>
  <c r="AJ13" i="40"/>
  <c r="AI14" i="40"/>
  <c r="AI15" i="40"/>
  <c r="AJ16" i="40"/>
  <c r="AI17" i="40"/>
  <c r="AI18" i="40"/>
  <c r="AI46" i="40"/>
  <c r="AI47" i="40"/>
  <c r="AI52" i="40"/>
  <c r="AI53" i="40"/>
  <c r="AI15" i="39"/>
  <c r="AJ16" i="39"/>
  <c r="AI17" i="39"/>
  <c r="AI18" i="39"/>
  <c r="AJ19" i="39"/>
  <c r="AI20" i="39"/>
  <c r="AJ21" i="39"/>
  <c r="AI22" i="39"/>
  <c r="AI44" i="39"/>
  <c r="AI58" i="39"/>
  <c r="R242" i="40"/>
  <c r="AJ35" i="40"/>
  <c r="AI36" i="40"/>
  <c r="AJ37" i="40"/>
  <c r="AI38" i="40"/>
  <c r="AI39" i="40"/>
  <c r="AJ40" i="40"/>
  <c r="AI41" i="40"/>
  <c r="AJ42" i="40"/>
  <c r="AI43" i="40"/>
  <c r="AI44" i="40"/>
  <c r="AJ60" i="40"/>
  <c r="AI61" i="40"/>
  <c r="P242" i="38"/>
  <c r="R242" i="38"/>
  <c r="R242" i="39"/>
  <c r="AH89" i="40"/>
  <c r="S242" i="40"/>
  <c r="AA242" i="40"/>
  <c r="Y242" i="39"/>
  <c r="D242" i="40"/>
  <c r="L242" i="40"/>
  <c r="T242" i="40"/>
  <c r="AB242" i="40"/>
  <c r="AI71" i="40"/>
  <c r="P242" i="39"/>
  <c r="Q242" i="38"/>
  <c r="AG242" i="39"/>
  <c r="C54" i="37"/>
  <c r="AI31" i="39"/>
  <c r="AI66" i="39"/>
  <c r="AI28" i="40"/>
  <c r="L242" i="38"/>
  <c r="AI28" i="39"/>
  <c r="AI25" i="40"/>
  <c r="AH68" i="40"/>
  <c r="AH3" i="40" s="1"/>
  <c r="E246" i="40"/>
  <c r="E246" i="38"/>
  <c r="J89" i="38"/>
  <c r="J91" i="38" s="1"/>
  <c r="J242" i="38"/>
  <c r="X50" i="37"/>
  <c r="J50" i="37"/>
  <c r="AA50" i="37"/>
  <c r="AJ18" i="37"/>
  <c r="AI26" i="37"/>
  <c r="AJ37" i="37"/>
  <c r="AJ38" i="37"/>
  <c r="AE68" i="37"/>
  <c r="W68" i="37"/>
  <c r="AE50" i="37"/>
  <c r="Y50" i="37"/>
  <c r="R50" i="37"/>
  <c r="Q50" i="37"/>
  <c r="D110" i="37"/>
  <c r="AI23" i="37"/>
  <c r="AJ24" i="37"/>
  <c r="AJ40" i="37"/>
  <c r="AI12" i="37"/>
  <c r="C50" i="37"/>
  <c r="B7" i="37"/>
  <c r="AJ11" i="37"/>
  <c r="S50" i="37"/>
  <c r="AJ14" i="37"/>
  <c r="AI15" i="37"/>
  <c r="AJ16" i="37"/>
  <c r="AJ17" i="37"/>
  <c r="AJ35" i="37"/>
  <c r="AI38" i="37"/>
  <c r="AJ62" i="37"/>
  <c r="D50" i="37"/>
  <c r="L50" i="37"/>
  <c r="L242" i="37" s="1"/>
  <c r="AB50" i="37"/>
  <c r="AI18" i="37"/>
  <c r="AI25" i="37"/>
  <c r="AJ34" i="37"/>
  <c r="AI41" i="37"/>
  <c r="AJ61" i="37"/>
  <c r="G242" i="37"/>
  <c r="G89" i="37"/>
  <c r="G91" i="37" s="1"/>
  <c r="K89" i="37"/>
  <c r="K91" i="37" s="1"/>
  <c r="K242" i="37"/>
  <c r="T246" i="37"/>
  <c r="E246" i="37"/>
  <c r="H50" i="37"/>
  <c r="P50" i="37"/>
  <c r="AF50" i="37"/>
  <c r="C110" i="37"/>
  <c r="AI20" i="37"/>
  <c r="AE242" i="38"/>
  <c r="AG50" i="37"/>
  <c r="Z50" i="37"/>
  <c r="I50" i="37"/>
  <c r="AJ22" i="37"/>
  <c r="AJ25" i="37"/>
  <c r="AJ41" i="37"/>
  <c r="E50" i="37"/>
  <c r="M50" i="37"/>
  <c r="U50" i="37"/>
  <c r="AI31" i="37"/>
  <c r="AJ32" i="37"/>
  <c r="AJ33" i="37"/>
  <c r="AJ45" i="37"/>
  <c r="AJ57" i="37"/>
  <c r="AB242" i="38"/>
  <c r="AI17" i="37"/>
  <c r="AI28" i="37"/>
  <c r="AJ29" i="37"/>
  <c r="AJ30" i="37"/>
  <c r="AI34" i="37"/>
  <c r="AJ44" i="37"/>
  <c r="AI44" i="37"/>
  <c r="F89" i="38"/>
  <c r="F91" i="38" s="1"/>
  <c r="F242" i="38"/>
  <c r="AI49" i="37"/>
  <c r="AJ63" i="37"/>
  <c r="F50" i="37"/>
  <c r="N50" i="37"/>
  <c r="V50" i="37"/>
  <c r="AD50" i="37"/>
  <c r="E110" i="37"/>
  <c r="AJ64" i="37"/>
  <c r="G235" i="37"/>
  <c r="AI12" i="38"/>
  <c r="AI20" i="38"/>
  <c r="K110" i="38"/>
  <c r="AJ25" i="38"/>
  <c r="AI28" i="38"/>
  <c r="AJ31" i="38"/>
  <c r="AJ33" i="38"/>
  <c r="AI36" i="38"/>
  <c r="AJ41" i="38"/>
  <c r="AI44" i="38"/>
  <c r="AJ47" i="38"/>
  <c r="AJ57" i="38"/>
  <c r="I89" i="38"/>
  <c r="I91" i="38" s="1"/>
  <c r="I242" i="39"/>
  <c r="I89" i="39"/>
  <c r="I91" i="39" s="1"/>
  <c r="D89" i="39"/>
  <c r="D91" i="39" s="1"/>
  <c r="D242" i="39"/>
  <c r="AI29" i="40"/>
  <c r="AJ29" i="40"/>
  <c r="AJ110" i="38"/>
  <c r="K89" i="39"/>
  <c r="K91" i="39" s="1"/>
  <c r="K242" i="39"/>
  <c r="H242" i="40"/>
  <c r="K242" i="38"/>
  <c r="K89" i="38"/>
  <c r="K91" i="38" s="1"/>
  <c r="AG5" i="37"/>
  <c r="AI48" i="37"/>
  <c r="E50" i="38"/>
  <c r="M50" i="38"/>
  <c r="M242" i="38" s="1"/>
  <c r="U50" i="38"/>
  <c r="AC50" i="38"/>
  <c r="AJ100" i="38"/>
  <c r="AI17" i="38"/>
  <c r="E89" i="39"/>
  <c r="E91" i="39" s="1"/>
  <c r="E242" i="39"/>
  <c r="AB249" i="39"/>
  <c r="J92" i="39"/>
  <c r="B5" i="37"/>
  <c r="J5" i="37"/>
  <c r="AI11" i="37"/>
  <c r="AI19" i="37"/>
  <c r="AI27" i="37"/>
  <c r="AI35" i="37"/>
  <c r="U68" i="37"/>
  <c r="AC68" i="37"/>
  <c r="AI58" i="37"/>
  <c r="AJ59" i="37"/>
  <c r="AI59" i="37"/>
  <c r="AI61" i="37"/>
  <c r="AI84" i="37"/>
  <c r="G110" i="38"/>
  <c r="AJ55" i="38"/>
  <c r="AI55" i="38"/>
  <c r="AI58" i="38"/>
  <c r="U68" i="38"/>
  <c r="AC68" i="38"/>
  <c r="AJ64" i="38"/>
  <c r="AJ99" i="38"/>
  <c r="M242" i="39"/>
  <c r="G68" i="39"/>
  <c r="G89" i="39" s="1"/>
  <c r="G91" i="39" s="1"/>
  <c r="AJ56" i="40"/>
  <c r="AI56" i="40"/>
  <c r="AL50" i="38"/>
  <c r="AL52" i="38" s="1"/>
  <c r="AI50" i="38"/>
  <c r="AI15" i="38"/>
  <c r="AI23" i="38"/>
  <c r="AI39" i="38"/>
  <c r="AI100" i="37"/>
  <c r="AJ99" i="37"/>
  <c r="AI60" i="37"/>
  <c r="AI62" i="37"/>
  <c r="AJ84" i="37"/>
  <c r="D235" i="37"/>
  <c r="G89" i="38"/>
  <c r="G91" i="38" s="1"/>
  <c r="G242" i="38"/>
  <c r="W242" i="38"/>
  <c r="AE68" i="38"/>
  <c r="AI59" i="38"/>
  <c r="AI63" i="38"/>
  <c r="AJ63" i="38"/>
  <c r="AI64" i="38"/>
  <c r="AI66" i="38"/>
  <c r="J7" i="39"/>
  <c r="AJ24" i="39"/>
  <c r="AJ27" i="39"/>
  <c r="AJ29" i="39"/>
  <c r="AI30" i="39"/>
  <c r="AI52" i="39"/>
  <c r="C54" i="39"/>
  <c r="AJ52" i="39"/>
  <c r="H89" i="38"/>
  <c r="H91" i="38" s="1"/>
  <c r="H242" i="38"/>
  <c r="AF242" i="38"/>
  <c r="B89" i="38"/>
  <c r="B91" i="38" s="1"/>
  <c r="AI60" i="38"/>
  <c r="I100" i="38"/>
  <c r="AI34" i="40"/>
  <c r="AJ34" i="40"/>
  <c r="AJ20" i="38"/>
  <c r="D50" i="38"/>
  <c r="AJ50" i="38" s="1"/>
  <c r="H242" i="39"/>
  <c r="H89" i="39"/>
  <c r="H91" i="39" s="1"/>
  <c r="D100" i="39"/>
  <c r="AJ100" i="39" s="1"/>
  <c r="AJ84" i="39"/>
  <c r="AI84" i="39"/>
  <c r="C5" i="39"/>
  <c r="AI32" i="40"/>
  <c r="AJ32" i="40"/>
  <c r="AJ11" i="38"/>
  <c r="J110" i="38"/>
  <c r="AJ35" i="38"/>
  <c r="AJ43" i="38"/>
  <c r="AJ52" i="38"/>
  <c r="AJ58" i="38"/>
  <c r="AJ66" i="38"/>
  <c r="H100" i="38"/>
  <c r="B110" i="38"/>
  <c r="B235" i="38"/>
  <c r="J235" i="38"/>
  <c r="G242" i="39"/>
  <c r="O242" i="39"/>
  <c r="AJ23" i="39"/>
  <c r="AJ46" i="39"/>
  <c r="C50" i="39"/>
  <c r="J242" i="40"/>
  <c r="X68" i="38"/>
  <c r="X242" i="38" s="1"/>
  <c r="AF68" i="38"/>
  <c r="AJ84" i="38"/>
  <c r="AI84" i="38"/>
  <c r="E235" i="38"/>
  <c r="AJ11" i="39"/>
  <c r="AJ13" i="39"/>
  <c r="AI14" i="39"/>
  <c r="AI32" i="39"/>
  <c r="E100" i="39"/>
  <c r="D5" i="39"/>
  <c r="B270" i="39"/>
  <c r="AG270" i="39"/>
  <c r="AJ19" i="40"/>
  <c r="AI99" i="39"/>
  <c r="F235" i="39"/>
  <c r="E246" i="39"/>
  <c r="AJ110" i="40"/>
  <c r="AI110" i="40"/>
  <c r="C54" i="38"/>
  <c r="AI39" i="39"/>
  <c r="AI55" i="39"/>
  <c r="AJ55" i="39"/>
  <c r="G235" i="39"/>
  <c r="AI99" i="40"/>
  <c r="H100" i="39"/>
  <c r="AJ99" i="39"/>
  <c r="E242" i="40"/>
  <c r="I110" i="38"/>
  <c r="AI110" i="38" s="1"/>
  <c r="AJ61" i="38"/>
  <c r="AJ62" i="38"/>
  <c r="G100" i="38"/>
  <c r="AI100" i="38" s="1"/>
  <c r="AI99" i="38"/>
  <c r="F242" i="39"/>
  <c r="F89" i="39"/>
  <c r="F91" i="39" s="1"/>
  <c r="N242" i="39"/>
  <c r="AJ43" i="39"/>
  <c r="AJ45" i="39"/>
  <c r="B89" i="39"/>
  <c r="B91" i="39" s="1"/>
  <c r="I235" i="39"/>
  <c r="F242" i="40"/>
  <c r="AI62" i="38"/>
  <c r="I5" i="39"/>
  <c r="C110" i="39"/>
  <c r="AJ20" i="40"/>
  <c r="B89" i="40"/>
  <c r="B91" i="40" s="1"/>
  <c r="H100" i="40"/>
  <c r="AI11" i="40"/>
  <c r="AJ24" i="40"/>
  <c r="AJ26" i="40"/>
  <c r="AI27" i="40"/>
  <c r="AI45" i="40"/>
  <c r="G242" i="40"/>
  <c r="AJ64" i="40"/>
  <c r="AJ100" i="40"/>
  <c r="AL50" i="40"/>
  <c r="AL52" i="40" s="1"/>
  <c r="AJ50" i="40"/>
  <c r="AI50" i="40"/>
  <c r="C89" i="40"/>
  <c r="C242" i="40"/>
  <c r="AH242" i="40" s="1"/>
  <c r="K242" i="40"/>
  <c r="AJ11" i="40"/>
  <c r="AJ72" i="40"/>
  <c r="D72" i="40"/>
  <c r="E72" i="40" s="1"/>
  <c r="F72" i="40" s="1"/>
  <c r="G72" i="40" s="1"/>
  <c r="H72" i="40" s="1"/>
  <c r="I72" i="40" s="1"/>
  <c r="J72" i="40" s="1"/>
  <c r="K72" i="40" s="1"/>
  <c r="L72" i="40" s="1"/>
  <c r="M72" i="40" s="1"/>
  <c r="N72" i="40" s="1"/>
  <c r="O72" i="40" s="1"/>
  <c r="P72" i="40" s="1"/>
  <c r="Q72" i="40" s="1"/>
  <c r="R72" i="40" s="1"/>
  <c r="S72" i="40" s="1"/>
  <c r="T72" i="40" s="1"/>
  <c r="U72" i="40" s="1"/>
  <c r="V72" i="40" s="1"/>
  <c r="W72" i="40" s="1"/>
  <c r="X72" i="40" s="1"/>
  <c r="Y72" i="40" s="1"/>
  <c r="Z72" i="40" s="1"/>
  <c r="AA72" i="40" s="1"/>
  <c r="AB72" i="40" s="1"/>
  <c r="AC72" i="40" s="1"/>
  <c r="AD72" i="40" s="1"/>
  <c r="AE72" i="40" s="1"/>
  <c r="AF72" i="40" s="1"/>
  <c r="AG72" i="40" s="1"/>
  <c r="AH91" i="40"/>
  <c r="AJ54" i="40"/>
  <c r="AI54" i="40"/>
  <c r="AJ52" i="40"/>
  <c r="AJ65" i="40"/>
  <c r="D69" i="40"/>
  <c r="E69" i="40" s="1"/>
  <c r="F69" i="40" s="1"/>
  <c r="G69" i="40" s="1"/>
  <c r="H69" i="40" s="1"/>
  <c r="I69" i="40" s="1"/>
  <c r="J69" i="40" s="1"/>
  <c r="K69" i="40" s="1"/>
  <c r="L69" i="40" s="1"/>
  <c r="M69" i="40" s="1"/>
  <c r="N69" i="40" s="1"/>
  <c r="O69" i="40" s="1"/>
  <c r="P69" i="40" s="1"/>
  <c r="Q69" i="40" s="1"/>
  <c r="R69" i="40" s="1"/>
  <c r="S69" i="40" s="1"/>
  <c r="T69" i="40" s="1"/>
  <c r="U69" i="40" s="1"/>
  <c r="V69" i="40" s="1"/>
  <c r="W69" i="40" s="1"/>
  <c r="X69" i="40" s="1"/>
  <c r="Y69" i="40" s="1"/>
  <c r="Z69" i="40" s="1"/>
  <c r="AA69" i="40" s="1"/>
  <c r="AB69" i="40" s="1"/>
  <c r="AC69" i="40" s="1"/>
  <c r="AD69" i="40" s="1"/>
  <c r="AE69" i="40" s="1"/>
  <c r="AF69" i="40" s="1"/>
  <c r="AG69" i="40" s="1"/>
  <c r="AI69" i="40"/>
  <c r="AJ69" i="40"/>
  <c r="AI72" i="40"/>
  <c r="AI68" i="40"/>
  <c r="E100" i="40"/>
  <c r="G5" i="40"/>
  <c r="AI57" i="40"/>
  <c r="AI84" i="40"/>
  <c r="B235" i="40"/>
  <c r="Q39" i="35"/>
  <c r="AJ54" i="37" l="1"/>
  <c r="C68" i="37"/>
  <c r="D89" i="40"/>
  <c r="D91" i="40" s="1"/>
  <c r="V249" i="40" s="1"/>
  <c r="E89" i="40"/>
  <c r="E91" i="40" s="1"/>
  <c r="AI54" i="37"/>
  <c r="F89" i="40"/>
  <c r="F91" i="40" s="1"/>
  <c r="X249" i="40" s="1"/>
  <c r="I89" i="40"/>
  <c r="I91" i="40" s="1"/>
  <c r="I92" i="40" s="1"/>
  <c r="K89" i="40"/>
  <c r="K91" i="40" s="1"/>
  <c r="K7" i="40" s="1"/>
  <c r="G89" i="40"/>
  <c r="G91" i="40" s="1"/>
  <c r="J89" i="40"/>
  <c r="J91" i="40" s="1"/>
  <c r="Y249" i="39"/>
  <c r="G7" i="39"/>
  <c r="G92" i="39"/>
  <c r="B244" i="39"/>
  <c r="K92" i="40"/>
  <c r="AC249" i="40"/>
  <c r="B92" i="40"/>
  <c r="B7" i="40"/>
  <c r="I92" i="38"/>
  <c r="AA249" i="38"/>
  <c r="I7" i="38"/>
  <c r="F92" i="38"/>
  <c r="X249" i="38"/>
  <c r="F7" i="38"/>
  <c r="E242" i="37"/>
  <c r="E89" i="37"/>
  <c r="E91" i="37" s="1"/>
  <c r="AC249" i="37"/>
  <c r="K92" i="37"/>
  <c r="K7" i="37"/>
  <c r="C242" i="37"/>
  <c r="AH242" i="37" s="1"/>
  <c r="AI50" i="37"/>
  <c r="AH50" i="37"/>
  <c r="C89" i="37"/>
  <c r="AL50" i="37"/>
  <c r="AL52" i="37" s="1"/>
  <c r="AJ50" i="37"/>
  <c r="C68" i="38"/>
  <c r="AI54" i="38"/>
  <c r="AJ54" i="38"/>
  <c r="I92" i="39"/>
  <c r="AA249" i="39"/>
  <c r="I7" i="39"/>
  <c r="B92" i="39"/>
  <c r="B7" i="39"/>
  <c r="K92" i="38"/>
  <c r="AC249" i="38"/>
  <c r="K7" i="38"/>
  <c r="AJ110" i="37"/>
  <c r="AI110" i="37"/>
  <c r="Y249" i="37"/>
  <c r="G7" i="37"/>
  <c r="B244" i="37"/>
  <c r="G92" i="37"/>
  <c r="AJ89" i="40"/>
  <c r="AI89" i="40"/>
  <c r="C91" i="40"/>
  <c r="AJ110" i="39"/>
  <c r="AI110" i="39"/>
  <c r="Z249" i="39"/>
  <c r="D244" i="39"/>
  <c r="C244" i="39"/>
  <c r="L6" i="39" s="1"/>
  <c r="H92" i="39"/>
  <c r="H7" i="39"/>
  <c r="C244" i="38"/>
  <c r="L6" i="38" s="1"/>
  <c r="H92" i="38"/>
  <c r="Z249" i="38"/>
  <c r="H7" i="38"/>
  <c r="D244" i="38"/>
  <c r="AC242" i="38"/>
  <c r="D242" i="37"/>
  <c r="D89" i="37"/>
  <c r="D91" i="37" s="1"/>
  <c r="J242" i="37"/>
  <c r="J89" i="37"/>
  <c r="J91" i="37" s="1"/>
  <c r="J92" i="40"/>
  <c r="AB249" i="40"/>
  <c r="J7" i="40"/>
  <c r="K92" i="39"/>
  <c r="K7" i="39"/>
  <c r="AC249" i="39"/>
  <c r="F92" i="40"/>
  <c r="F7" i="40"/>
  <c r="E92" i="39"/>
  <c r="W249" i="39"/>
  <c r="E7" i="39"/>
  <c r="B244" i="40"/>
  <c r="G92" i="40"/>
  <c r="Y249" i="40"/>
  <c r="G7" i="40"/>
  <c r="AI100" i="39"/>
  <c r="I7" i="40"/>
  <c r="AA249" i="40"/>
  <c r="Y249" i="38"/>
  <c r="B244" i="38"/>
  <c r="G7" i="38"/>
  <c r="G92" i="38"/>
  <c r="U242" i="38"/>
  <c r="AL50" i="39"/>
  <c r="AL52" i="39" s="1"/>
  <c r="AJ50" i="39"/>
  <c r="AI50" i="39"/>
  <c r="AH50" i="39"/>
  <c r="C242" i="39"/>
  <c r="AH242" i="39" s="1"/>
  <c r="AJ54" i="39"/>
  <c r="AI54" i="39"/>
  <c r="C68" i="39"/>
  <c r="H89" i="40"/>
  <c r="H91" i="40" s="1"/>
  <c r="F89" i="37"/>
  <c r="F91" i="37" s="1"/>
  <c r="F242" i="37"/>
  <c r="I89" i="37"/>
  <c r="I91" i="37" s="1"/>
  <c r="I242" i="37"/>
  <c r="H89" i="37"/>
  <c r="H91" i="37" s="1"/>
  <c r="H242" i="37"/>
  <c r="B92" i="38"/>
  <c r="B7" i="38"/>
  <c r="AI100" i="40"/>
  <c r="AH243" i="40"/>
  <c r="AH244" i="40"/>
  <c r="AL242" i="40"/>
  <c r="AO242" i="40" s="1"/>
  <c r="C89" i="38"/>
  <c r="D92" i="40"/>
  <c r="D7" i="40"/>
  <c r="X249" i="39"/>
  <c r="F7" i="39"/>
  <c r="F92" i="39"/>
  <c r="W249" i="40"/>
  <c r="E92" i="40"/>
  <c r="E7" i="40"/>
  <c r="D89" i="38"/>
  <c r="D91" i="38" s="1"/>
  <c r="D242" i="38"/>
  <c r="AH50" i="38"/>
  <c r="E242" i="38"/>
  <c r="E89" i="38"/>
  <c r="E91" i="38" s="1"/>
  <c r="D92" i="39"/>
  <c r="V249" i="39"/>
  <c r="D7" i="39"/>
  <c r="J92" i="38"/>
  <c r="AB249" i="38"/>
  <c r="J7" i="38"/>
  <c r="P39" i="35"/>
  <c r="O39" i="35"/>
  <c r="N39" i="35"/>
  <c r="AH68" i="37" l="1"/>
  <c r="AH3" i="37" s="1"/>
  <c r="AI68" i="37"/>
  <c r="AJ68" i="37"/>
  <c r="J92" i="37"/>
  <c r="AB249" i="37"/>
  <c r="J7" i="37"/>
  <c r="C92" i="40"/>
  <c r="U249" i="40"/>
  <c r="AJ91" i="40"/>
  <c r="AI91" i="40"/>
  <c r="C7" i="40"/>
  <c r="A7" i="40" s="1"/>
  <c r="W249" i="38"/>
  <c r="E7" i="38"/>
  <c r="E92" i="38"/>
  <c r="AA249" i="37"/>
  <c r="I92" i="37"/>
  <c r="I7" i="37"/>
  <c r="AH2" i="39"/>
  <c r="AH6" i="39" s="1"/>
  <c r="V249" i="37"/>
  <c r="D92" i="37"/>
  <c r="D7" i="37"/>
  <c r="AH243" i="37"/>
  <c r="AL242" i="37"/>
  <c r="AO242" i="37" s="1"/>
  <c r="AH244" i="37"/>
  <c r="C91" i="37"/>
  <c r="AJ89" i="37"/>
  <c r="AI89" i="37"/>
  <c r="C244" i="37"/>
  <c r="D244" i="37"/>
  <c r="H92" i="37"/>
  <c r="H7" i="37"/>
  <c r="Z249" i="37"/>
  <c r="AL242" i="39"/>
  <c r="AO242" i="39" s="1"/>
  <c r="AH244" i="39"/>
  <c r="AH243" i="39"/>
  <c r="X249" i="37"/>
  <c r="F92" i="37"/>
  <c r="F7" i="37"/>
  <c r="AI68" i="38"/>
  <c r="AH68" i="38"/>
  <c r="AJ68" i="38"/>
  <c r="C242" i="38"/>
  <c r="AH242" i="38" s="1"/>
  <c r="C91" i="38"/>
  <c r="AI89" i="38"/>
  <c r="AJ89" i="38"/>
  <c r="AH2" i="38"/>
  <c r="C244" i="40"/>
  <c r="Z249" i="40"/>
  <c r="D244" i="40"/>
  <c r="H7" i="40"/>
  <c r="H92" i="40"/>
  <c r="AH89" i="37"/>
  <c r="AH2" i="37"/>
  <c r="AH6" i="37" s="1"/>
  <c r="D92" i="38"/>
  <c r="V249" i="38"/>
  <c r="D7" i="38"/>
  <c r="AJ68" i="39"/>
  <c r="AI68" i="39"/>
  <c r="AH68" i="39"/>
  <c r="AH89" i="39" s="1"/>
  <c r="C89" i="39"/>
  <c r="W249" i="37"/>
  <c r="E92" i="37"/>
  <c r="E7" i="37"/>
  <c r="J39" i="35"/>
  <c r="I39" i="35"/>
  <c r="H39" i="35"/>
  <c r="G39" i="35"/>
  <c r="F39" i="35"/>
  <c r="B74" i="35"/>
  <c r="B44" i="35"/>
  <c r="AF263" i="35"/>
  <c r="AE263" i="35"/>
  <c r="AD263" i="35"/>
  <c r="AC263" i="35"/>
  <c r="AB263" i="35"/>
  <c r="AA263" i="35"/>
  <c r="Z263" i="35"/>
  <c r="Y263" i="35"/>
  <c r="X263" i="35"/>
  <c r="W263" i="35"/>
  <c r="V263" i="35"/>
  <c r="U263" i="35"/>
  <c r="T263" i="35"/>
  <c r="S263" i="35"/>
  <c r="R263" i="35"/>
  <c r="Q263" i="35"/>
  <c r="P263" i="35"/>
  <c r="O263" i="35"/>
  <c r="N263" i="35"/>
  <c r="M263" i="35"/>
  <c r="L263" i="35"/>
  <c r="K263" i="35"/>
  <c r="J263" i="35"/>
  <c r="I263" i="35"/>
  <c r="H263" i="35"/>
  <c r="G263" i="35"/>
  <c r="F263" i="35"/>
  <c r="E263" i="35"/>
  <c r="D263" i="35"/>
  <c r="C263" i="35"/>
  <c r="B263" i="35"/>
  <c r="A263" i="35"/>
  <c r="AF262" i="35"/>
  <c r="AE262" i="35"/>
  <c r="AD262" i="35"/>
  <c r="AC262" i="35"/>
  <c r="AB262" i="35"/>
  <c r="AA262" i="35"/>
  <c r="Z262" i="35"/>
  <c r="Y262" i="35"/>
  <c r="X262" i="35"/>
  <c r="W262" i="35"/>
  <c r="V262" i="35"/>
  <c r="U262" i="35"/>
  <c r="T262" i="35"/>
  <c r="S262" i="35"/>
  <c r="R262" i="35"/>
  <c r="Q262" i="35"/>
  <c r="P262" i="35"/>
  <c r="O262" i="35"/>
  <c r="N262" i="35"/>
  <c r="M262" i="35"/>
  <c r="L262" i="35"/>
  <c r="K262" i="35"/>
  <c r="J262" i="35"/>
  <c r="I262" i="35"/>
  <c r="H262" i="35"/>
  <c r="G262" i="35"/>
  <c r="F262" i="35"/>
  <c r="E262" i="35"/>
  <c r="D262" i="35"/>
  <c r="C262" i="35"/>
  <c r="B262" i="35"/>
  <c r="A262" i="35"/>
  <c r="AF261" i="35"/>
  <c r="AE261" i="35"/>
  <c r="AD261" i="35"/>
  <c r="AC261" i="35"/>
  <c r="AB261" i="35"/>
  <c r="AA261" i="35"/>
  <c r="Z261" i="35"/>
  <c r="Y261" i="35"/>
  <c r="X261" i="35"/>
  <c r="W261" i="35"/>
  <c r="V261" i="35"/>
  <c r="U261" i="35"/>
  <c r="T261" i="35"/>
  <c r="S261" i="35"/>
  <c r="R261" i="35"/>
  <c r="Q261" i="35"/>
  <c r="P261" i="35"/>
  <c r="O261" i="35"/>
  <c r="N261" i="35"/>
  <c r="M261" i="35"/>
  <c r="L261" i="35"/>
  <c r="K261" i="35"/>
  <c r="J261" i="35"/>
  <c r="I261" i="35"/>
  <c r="H261" i="35"/>
  <c r="G261" i="35"/>
  <c r="F261" i="35"/>
  <c r="E261" i="35"/>
  <c r="D261" i="35"/>
  <c r="C261" i="35"/>
  <c r="B261" i="35"/>
  <c r="A261" i="35"/>
  <c r="AF260" i="35"/>
  <c r="AE260" i="35"/>
  <c r="AD260" i="35"/>
  <c r="AC260" i="35"/>
  <c r="AB260" i="35"/>
  <c r="AA260" i="35"/>
  <c r="Z260" i="35"/>
  <c r="Y260" i="35"/>
  <c r="X260" i="35"/>
  <c r="W260" i="35"/>
  <c r="V260" i="35"/>
  <c r="U260" i="35"/>
  <c r="T260" i="35"/>
  <c r="S260" i="35"/>
  <c r="R260" i="35"/>
  <c r="Q260" i="35"/>
  <c r="P260" i="35"/>
  <c r="O260" i="35"/>
  <c r="N260" i="35"/>
  <c r="M260" i="35"/>
  <c r="L260" i="35"/>
  <c r="K260" i="35"/>
  <c r="J260" i="35"/>
  <c r="I260" i="35"/>
  <c r="H260" i="35"/>
  <c r="G260" i="35"/>
  <c r="F260" i="35"/>
  <c r="E260" i="35"/>
  <c r="D260" i="35"/>
  <c r="C260" i="35"/>
  <c r="B260" i="35"/>
  <c r="A260" i="35"/>
  <c r="AE259" i="35"/>
  <c r="AD259" i="35"/>
  <c r="AC259" i="35"/>
  <c r="AB259" i="35"/>
  <c r="AA259" i="35"/>
  <c r="Z259" i="35"/>
  <c r="Y259" i="35"/>
  <c r="X259" i="35"/>
  <c r="W259" i="35"/>
  <c r="V259" i="35"/>
  <c r="U259" i="35"/>
  <c r="T259" i="35"/>
  <c r="S259" i="35"/>
  <c r="R259" i="35"/>
  <c r="Q259" i="35"/>
  <c r="P259" i="35"/>
  <c r="B259" i="35"/>
  <c r="S234" i="35"/>
  <c r="AG224" i="35"/>
  <c r="AF224" i="35"/>
  <c r="AE224" i="35"/>
  <c r="AD224" i="35"/>
  <c r="AC224" i="35"/>
  <c r="AB224" i="35"/>
  <c r="AA224" i="35"/>
  <c r="Z224" i="35"/>
  <c r="Y224" i="35"/>
  <c r="X224" i="35"/>
  <c r="W224" i="35"/>
  <c r="V224" i="35"/>
  <c r="U224" i="35"/>
  <c r="T224" i="35"/>
  <c r="S224" i="35"/>
  <c r="R224" i="35"/>
  <c r="Q224" i="35"/>
  <c r="C224" i="35"/>
  <c r="D223" i="35"/>
  <c r="C259" i="35" s="1"/>
  <c r="B223" i="35"/>
  <c r="AF259" i="35" s="1"/>
  <c r="E222" i="35"/>
  <c r="F222" i="35" s="1"/>
  <c r="G222" i="35" s="1"/>
  <c r="H222" i="35" s="1"/>
  <c r="I222" i="35" s="1"/>
  <c r="J222" i="35" s="1"/>
  <c r="K222" i="35" s="1"/>
  <c r="L222" i="35" s="1"/>
  <c r="M222" i="35" s="1"/>
  <c r="N222" i="35" s="1"/>
  <c r="O222" i="35" s="1"/>
  <c r="P222" i="35" s="1"/>
  <c r="D222" i="35"/>
  <c r="B222" i="35"/>
  <c r="D221" i="35"/>
  <c r="E221" i="35" s="1"/>
  <c r="F221" i="35" s="1"/>
  <c r="G221" i="35" s="1"/>
  <c r="H221" i="35" s="1"/>
  <c r="I221" i="35" s="1"/>
  <c r="J221" i="35" s="1"/>
  <c r="K221" i="35" s="1"/>
  <c r="L221" i="35" s="1"/>
  <c r="M221" i="35" s="1"/>
  <c r="N221" i="35" s="1"/>
  <c r="O221" i="35" s="1"/>
  <c r="P221" i="35" s="1"/>
  <c r="B221" i="35"/>
  <c r="D220" i="35"/>
  <c r="E220" i="35" s="1"/>
  <c r="F220" i="35" s="1"/>
  <c r="G220" i="35" s="1"/>
  <c r="H220" i="35" s="1"/>
  <c r="I220" i="35" s="1"/>
  <c r="J220" i="35" s="1"/>
  <c r="K220" i="35" s="1"/>
  <c r="L220" i="35" s="1"/>
  <c r="M220" i="35" s="1"/>
  <c r="N220" i="35" s="1"/>
  <c r="O220" i="35" s="1"/>
  <c r="P220" i="35" s="1"/>
  <c r="B220" i="35"/>
  <c r="E219" i="35"/>
  <c r="F219" i="35" s="1"/>
  <c r="G219" i="35" s="1"/>
  <c r="H219" i="35" s="1"/>
  <c r="I219" i="35" s="1"/>
  <c r="J219" i="35" s="1"/>
  <c r="K219" i="35" s="1"/>
  <c r="L219" i="35" s="1"/>
  <c r="M219" i="35" s="1"/>
  <c r="N219" i="35" s="1"/>
  <c r="O219" i="35" s="1"/>
  <c r="P219" i="35" s="1"/>
  <c r="D219" i="35"/>
  <c r="B219" i="35"/>
  <c r="E218" i="35"/>
  <c r="F218" i="35" s="1"/>
  <c r="D218" i="35"/>
  <c r="D224" i="35" s="1"/>
  <c r="B218" i="35"/>
  <c r="AG216" i="35"/>
  <c r="AF216" i="35"/>
  <c r="AE216" i="35"/>
  <c r="AD216" i="35"/>
  <c r="AC216" i="35"/>
  <c r="AB216" i="35"/>
  <c r="AA216" i="35"/>
  <c r="Z216" i="35"/>
  <c r="Y216" i="35"/>
  <c r="X216" i="35"/>
  <c r="W216" i="35"/>
  <c r="V216" i="35"/>
  <c r="U216" i="35"/>
  <c r="T216" i="35"/>
  <c r="S216" i="35"/>
  <c r="R216" i="35"/>
  <c r="Q216" i="35"/>
  <c r="P216" i="35"/>
  <c r="O216" i="35"/>
  <c r="N216" i="35"/>
  <c r="M216" i="35"/>
  <c r="L216" i="35"/>
  <c r="K216" i="35"/>
  <c r="J216" i="35"/>
  <c r="I216" i="35"/>
  <c r="H216" i="35"/>
  <c r="G216" i="35"/>
  <c r="F216" i="35"/>
  <c r="E216" i="35"/>
  <c r="D216" i="35"/>
  <c r="C216" i="35"/>
  <c r="B216" i="35"/>
  <c r="AI109" i="35"/>
  <c r="AH109" i="35"/>
  <c r="AI108" i="35"/>
  <c r="AH108" i="35"/>
  <c r="AI107" i="35"/>
  <c r="AH107" i="35"/>
  <c r="AI106" i="35"/>
  <c r="AH106" i="35"/>
  <c r="AI105" i="35"/>
  <c r="AH105" i="35"/>
  <c r="AI104" i="35"/>
  <c r="AH104" i="35"/>
  <c r="AI103" i="35"/>
  <c r="AH103" i="35"/>
  <c r="AI102" i="35"/>
  <c r="AH102" i="35"/>
  <c r="AI101" i="35"/>
  <c r="AH101" i="35"/>
  <c r="AF100" i="35"/>
  <c r="AE100" i="35"/>
  <c r="AD100" i="35"/>
  <c r="AC100" i="35"/>
  <c r="AB100" i="35"/>
  <c r="AA100" i="35"/>
  <c r="Z100" i="35"/>
  <c r="Y100" i="35"/>
  <c r="X100" i="35"/>
  <c r="W100" i="35"/>
  <c r="V100" i="35"/>
  <c r="U100" i="35"/>
  <c r="T100" i="35"/>
  <c r="S100" i="35"/>
  <c r="R100" i="35"/>
  <c r="Q100" i="35"/>
  <c r="D100" i="35"/>
  <c r="C100" i="35"/>
  <c r="AI99" i="35"/>
  <c r="AH99" i="35"/>
  <c r="AI98" i="35"/>
  <c r="AH98" i="35"/>
  <c r="AI97" i="35"/>
  <c r="AH97" i="35"/>
  <c r="AI96" i="35"/>
  <c r="AH96" i="35"/>
  <c r="AI95" i="35"/>
  <c r="AH95" i="35"/>
  <c r="AI94" i="35"/>
  <c r="AH94" i="35"/>
  <c r="AI93" i="35"/>
  <c r="AH93" i="35"/>
  <c r="AI92" i="35"/>
  <c r="AH92" i="35"/>
  <c r="AI91" i="35"/>
  <c r="AH91" i="35"/>
  <c r="AI88" i="35"/>
  <c r="AH88" i="35"/>
  <c r="AF87" i="35"/>
  <c r="AE87" i="35"/>
  <c r="AD87" i="35"/>
  <c r="AC87" i="35"/>
  <c r="AB87" i="35"/>
  <c r="AA87" i="35"/>
  <c r="Z87" i="35"/>
  <c r="Y87" i="35"/>
  <c r="X87" i="35"/>
  <c r="W87" i="35"/>
  <c r="V87" i="35"/>
  <c r="U87" i="35"/>
  <c r="T87" i="35"/>
  <c r="S87" i="35"/>
  <c r="R87" i="35"/>
  <c r="Q87" i="35"/>
  <c r="P87" i="35"/>
  <c r="O87" i="35"/>
  <c r="N87" i="35"/>
  <c r="M87" i="35"/>
  <c r="L87" i="35"/>
  <c r="K87" i="35"/>
  <c r="J87" i="35"/>
  <c r="I87" i="35"/>
  <c r="H87" i="35"/>
  <c r="G87" i="35"/>
  <c r="F87" i="35"/>
  <c r="E87" i="35"/>
  <c r="D87" i="35"/>
  <c r="C87" i="35"/>
  <c r="B87" i="35"/>
  <c r="AF86" i="35"/>
  <c r="AE86" i="35"/>
  <c r="AD86" i="35"/>
  <c r="AC86" i="35"/>
  <c r="AB86" i="35"/>
  <c r="AA86" i="35"/>
  <c r="Z86" i="35"/>
  <c r="Y86" i="35"/>
  <c r="X86" i="35"/>
  <c r="W86" i="35"/>
  <c r="V86" i="35"/>
  <c r="U86" i="35"/>
  <c r="T86" i="35"/>
  <c r="S86" i="35"/>
  <c r="R86" i="35"/>
  <c r="Q86" i="35"/>
  <c r="P86" i="35"/>
  <c r="O86" i="35"/>
  <c r="N86" i="35"/>
  <c r="M86" i="35"/>
  <c r="L86" i="35"/>
  <c r="K86" i="35"/>
  <c r="J86" i="35"/>
  <c r="I86" i="35"/>
  <c r="H86" i="35"/>
  <c r="G86" i="35"/>
  <c r="F86" i="35"/>
  <c r="E86" i="35"/>
  <c r="D86" i="35"/>
  <c r="C86" i="35"/>
  <c r="B86" i="35"/>
  <c r="AF85" i="35"/>
  <c r="AE85" i="35"/>
  <c r="AD85" i="35"/>
  <c r="AC85" i="35"/>
  <c r="AB85" i="35"/>
  <c r="AA85" i="35"/>
  <c r="Z85" i="35"/>
  <c r="Y85" i="35"/>
  <c r="X85" i="35"/>
  <c r="W85" i="35"/>
  <c r="V85" i="35"/>
  <c r="U85" i="35"/>
  <c r="T85" i="35"/>
  <c r="S85" i="35"/>
  <c r="R85" i="35"/>
  <c r="Q85" i="35"/>
  <c r="P85" i="35"/>
  <c r="O85" i="35"/>
  <c r="N85" i="35"/>
  <c r="M85" i="35"/>
  <c r="L85" i="35"/>
  <c r="K85" i="35"/>
  <c r="J85" i="35"/>
  <c r="I85" i="35"/>
  <c r="H85" i="35"/>
  <c r="G85" i="35"/>
  <c r="F85" i="35"/>
  <c r="E85" i="35"/>
  <c r="D85" i="35"/>
  <c r="C85" i="35"/>
  <c r="B85" i="35"/>
  <c r="AF84" i="35"/>
  <c r="AE84" i="35"/>
  <c r="AD84" i="35"/>
  <c r="AC84" i="35"/>
  <c r="AB84" i="35"/>
  <c r="AA84" i="35"/>
  <c r="Z84" i="35"/>
  <c r="Y84" i="35"/>
  <c r="X84" i="35"/>
  <c r="W84" i="35"/>
  <c r="V84" i="35"/>
  <c r="U84" i="35"/>
  <c r="T84" i="35"/>
  <c r="S84" i="35"/>
  <c r="R84" i="35"/>
  <c r="Q84" i="35"/>
  <c r="P84" i="35"/>
  <c r="O84" i="35"/>
  <c r="N84" i="35"/>
  <c r="M84" i="35"/>
  <c r="L84" i="35"/>
  <c r="K84" i="35"/>
  <c r="J84" i="35"/>
  <c r="I84" i="35"/>
  <c r="H84" i="35"/>
  <c r="G84" i="35"/>
  <c r="F84" i="35"/>
  <c r="E84" i="35"/>
  <c r="D84" i="35"/>
  <c r="C84" i="35"/>
  <c r="B84" i="35"/>
  <c r="AF83" i="35"/>
  <c r="AE83" i="35"/>
  <c r="AD83" i="35"/>
  <c r="AC83" i="35"/>
  <c r="AB83" i="35"/>
  <c r="AA83" i="35"/>
  <c r="Z83" i="35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I89" i="35" s="1"/>
  <c r="H83" i="35"/>
  <c r="G83" i="35"/>
  <c r="F83" i="35"/>
  <c r="E83" i="35"/>
  <c r="D83" i="35"/>
  <c r="C83" i="35"/>
  <c r="B83" i="35"/>
  <c r="AI80" i="35"/>
  <c r="AH80" i="35"/>
  <c r="AI78" i="35"/>
  <c r="AH78" i="35"/>
  <c r="AG78" i="35"/>
  <c r="AI77" i="35"/>
  <c r="AH77" i="35"/>
  <c r="AI76" i="35"/>
  <c r="AH76" i="35"/>
  <c r="AI75" i="35"/>
  <c r="AH75" i="35"/>
  <c r="AG74" i="35"/>
  <c r="AF74" i="35"/>
  <c r="AE74" i="35"/>
  <c r="AD5" i="35" s="1"/>
  <c r="AD74" i="35"/>
  <c r="AC5" i="35" s="1"/>
  <c r="AC74" i="35"/>
  <c r="AB74" i="35"/>
  <c r="AA74" i="35"/>
  <c r="Z5" i="35" s="1"/>
  <c r="Z74" i="35"/>
  <c r="Y74" i="35"/>
  <c r="X5" i="35" s="1"/>
  <c r="X74" i="35"/>
  <c r="W5" i="35" s="1"/>
  <c r="W74" i="35"/>
  <c r="V5" i="35" s="1"/>
  <c r="V74" i="35"/>
  <c r="U74" i="35"/>
  <c r="T74" i="35"/>
  <c r="S5" i="35" s="1"/>
  <c r="S74" i="35"/>
  <c r="R5" i="35" s="1"/>
  <c r="R74" i="35"/>
  <c r="Q74" i="35"/>
  <c r="P5" i="35" s="1"/>
  <c r="P74" i="35"/>
  <c r="O5" i="35" s="1"/>
  <c r="O74" i="35"/>
  <c r="N5" i="35" s="1"/>
  <c r="N74" i="35"/>
  <c r="M5" i="35" s="1"/>
  <c r="M74" i="35"/>
  <c r="L5" i="35" s="1"/>
  <c r="L74" i="35"/>
  <c r="K74" i="35"/>
  <c r="J74" i="35"/>
  <c r="I74" i="35"/>
  <c r="H5" i="35" s="1"/>
  <c r="H74" i="35"/>
  <c r="G5" i="35" s="1"/>
  <c r="G74" i="35"/>
  <c r="F5" i="35" s="1"/>
  <c r="F74" i="35"/>
  <c r="E5" i="35" s="1"/>
  <c r="E74" i="35"/>
  <c r="D74" i="35"/>
  <c r="C74" i="35"/>
  <c r="AF5" i="35"/>
  <c r="AI73" i="35"/>
  <c r="AH73" i="35"/>
  <c r="AI72" i="35"/>
  <c r="AH72" i="35"/>
  <c r="AI71" i="35"/>
  <c r="AH71" i="35"/>
  <c r="AI70" i="35"/>
  <c r="AH70" i="35"/>
  <c r="AI69" i="35"/>
  <c r="AH69" i="35"/>
  <c r="AI68" i="35"/>
  <c r="AH68" i="35"/>
  <c r="AI67" i="35"/>
  <c r="AH67" i="35"/>
  <c r="AI66" i="35"/>
  <c r="AH66" i="35"/>
  <c r="AI65" i="35"/>
  <c r="AH65" i="35"/>
  <c r="AI64" i="35"/>
  <c r="AH64" i="35"/>
  <c r="AI63" i="35"/>
  <c r="AH63" i="35"/>
  <c r="AG62" i="35"/>
  <c r="AF62" i="35"/>
  <c r="AE62" i="35"/>
  <c r="AD62" i="35"/>
  <c r="AC62" i="35"/>
  <c r="AB62" i="35"/>
  <c r="AA62" i="35"/>
  <c r="Z62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AI61" i="35"/>
  <c r="AH61" i="35"/>
  <c r="AI60" i="35"/>
  <c r="AH60" i="35"/>
  <c r="AI59" i="35"/>
  <c r="AH59" i="35"/>
  <c r="AF58" i="35"/>
  <c r="AE58" i="35"/>
  <c r="AD58" i="35"/>
  <c r="AC58" i="35"/>
  <c r="AB58" i="35"/>
  <c r="AA58" i="35"/>
  <c r="Z58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AI57" i="35"/>
  <c r="AH57" i="35"/>
  <c r="AG57" i="35"/>
  <c r="AG58" i="35" s="1"/>
  <c r="AG3" i="35" s="1"/>
  <c r="AI56" i="35"/>
  <c r="AH56" i="35"/>
  <c r="AI55" i="35"/>
  <c r="AH55" i="35"/>
  <c r="AI54" i="35"/>
  <c r="AH54" i="35"/>
  <c r="AI53" i="35"/>
  <c r="AH53" i="35"/>
  <c r="AI52" i="35"/>
  <c r="AH52" i="35"/>
  <c r="AI51" i="35"/>
  <c r="AH51" i="35"/>
  <c r="AI50" i="35"/>
  <c r="AH50" i="35"/>
  <c r="AI49" i="35"/>
  <c r="AH49" i="35"/>
  <c r="AI48" i="35"/>
  <c r="AH48" i="35"/>
  <c r="AI47" i="35"/>
  <c r="AH47" i="35"/>
  <c r="AI46" i="35"/>
  <c r="AH46" i="35"/>
  <c r="AI45" i="35"/>
  <c r="AH45" i="35"/>
  <c r="AG44" i="35"/>
  <c r="AF44" i="35"/>
  <c r="AE44" i="35"/>
  <c r="AD44" i="35"/>
  <c r="AC44" i="35"/>
  <c r="AB44" i="35"/>
  <c r="AA44" i="35"/>
  <c r="Z44" i="35"/>
  <c r="Y44" i="35"/>
  <c r="X44" i="35"/>
  <c r="W44" i="35"/>
  <c r="V44" i="35"/>
  <c r="U44" i="35"/>
  <c r="T44" i="35"/>
  <c r="S44" i="35"/>
  <c r="R44" i="35"/>
  <c r="Q44" i="35"/>
  <c r="P44" i="35"/>
  <c r="O44" i="35"/>
  <c r="N44" i="35"/>
  <c r="M44" i="35"/>
  <c r="L44" i="35"/>
  <c r="K44" i="35"/>
  <c r="J44" i="35"/>
  <c r="I44" i="35"/>
  <c r="H44" i="35"/>
  <c r="G44" i="35"/>
  <c r="F44" i="35"/>
  <c r="E44" i="35"/>
  <c r="D44" i="35"/>
  <c r="C44" i="35"/>
  <c r="AI43" i="35"/>
  <c r="AH43" i="35"/>
  <c r="AI42" i="35"/>
  <c r="AH42" i="35"/>
  <c r="AI41" i="35"/>
  <c r="AH41" i="35"/>
  <c r="AG40" i="35"/>
  <c r="AG2" i="35" s="1"/>
  <c r="AF40" i="35"/>
  <c r="AE40" i="35"/>
  <c r="AD40" i="35"/>
  <c r="AC40" i="35"/>
  <c r="AB40" i="35"/>
  <c r="AA40" i="35"/>
  <c r="Z40" i="35"/>
  <c r="Y40" i="35"/>
  <c r="X40" i="35"/>
  <c r="W40" i="35"/>
  <c r="V40" i="35"/>
  <c r="U40" i="35"/>
  <c r="T40" i="35"/>
  <c r="S40" i="35"/>
  <c r="R40" i="35"/>
  <c r="Q40" i="35"/>
  <c r="P40" i="35"/>
  <c r="O40" i="35"/>
  <c r="N40" i="35"/>
  <c r="M40" i="35"/>
  <c r="L40" i="35"/>
  <c r="K40" i="35"/>
  <c r="J40" i="35"/>
  <c r="I40" i="35"/>
  <c r="H40" i="35"/>
  <c r="G40" i="35"/>
  <c r="F40" i="35"/>
  <c r="E40" i="35"/>
  <c r="D40" i="35"/>
  <c r="C40" i="35"/>
  <c r="AI39" i="35"/>
  <c r="AH39" i="35"/>
  <c r="AI38" i="35"/>
  <c r="AH38" i="35"/>
  <c r="AI37" i="35"/>
  <c r="AH37" i="35"/>
  <c r="AI36" i="35"/>
  <c r="AH36" i="35"/>
  <c r="AI35" i="35"/>
  <c r="AH35" i="35"/>
  <c r="AI34" i="35"/>
  <c r="AH34" i="35"/>
  <c r="AI33" i="35"/>
  <c r="AH33" i="35"/>
  <c r="AI32" i="35"/>
  <c r="AH32" i="35"/>
  <c r="AI31" i="35"/>
  <c r="AH31" i="35"/>
  <c r="AI30" i="35"/>
  <c r="AH30" i="35"/>
  <c r="AI29" i="35"/>
  <c r="AH29" i="35"/>
  <c r="AI28" i="35"/>
  <c r="AH28" i="35"/>
  <c r="AI27" i="35"/>
  <c r="AH27" i="35"/>
  <c r="AI26" i="35"/>
  <c r="AH26" i="35"/>
  <c r="AI25" i="35"/>
  <c r="AH25" i="35"/>
  <c r="AI24" i="35"/>
  <c r="AH24" i="35"/>
  <c r="AI23" i="35"/>
  <c r="AH23" i="35"/>
  <c r="AI22" i="35"/>
  <c r="AH22" i="35"/>
  <c r="AI21" i="35"/>
  <c r="AH21" i="35"/>
  <c r="AI20" i="35"/>
  <c r="AH20" i="35"/>
  <c r="AI19" i="35"/>
  <c r="AH19" i="35"/>
  <c r="AI18" i="35"/>
  <c r="AH18" i="35"/>
  <c r="AI17" i="35"/>
  <c r="AH17" i="35"/>
  <c r="AI16" i="35"/>
  <c r="AH16" i="35"/>
  <c r="AI15" i="35"/>
  <c r="AH15" i="35"/>
  <c r="AI14" i="35"/>
  <c r="AH14" i="35"/>
  <c r="AI13" i="35"/>
  <c r="AH13" i="35"/>
  <c r="AI12" i="35"/>
  <c r="AH12" i="35"/>
  <c r="AI11" i="35"/>
  <c r="AH11" i="35"/>
  <c r="AE5" i="35"/>
  <c r="J5" i="35"/>
  <c r="AG4" i="35"/>
  <c r="K4" i="35"/>
  <c r="B4" i="35"/>
  <c r="S235" i="35" s="1"/>
  <c r="AA103" i="34"/>
  <c r="AA39" i="34"/>
  <c r="Z39" i="34"/>
  <c r="Y39" i="34"/>
  <c r="X39" i="34"/>
  <c r="W39" i="34"/>
  <c r="V103" i="34"/>
  <c r="V39" i="34"/>
  <c r="T39" i="34"/>
  <c r="E4" i="35"/>
  <c r="AH91" i="37" l="1"/>
  <c r="AI92" i="40"/>
  <c r="AJ92" i="40"/>
  <c r="U249" i="37"/>
  <c r="AI91" i="37"/>
  <c r="C92" i="37"/>
  <c r="AJ91" i="37"/>
  <c r="C7" i="37"/>
  <c r="A7" i="37" s="1"/>
  <c r="AI89" i="39"/>
  <c r="AJ89" i="39"/>
  <c r="C91" i="39"/>
  <c r="AH3" i="39"/>
  <c r="AH91" i="39"/>
  <c r="AH244" i="38"/>
  <c r="AL242" i="38"/>
  <c r="AO242" i="38" s="1"/>
  <c r="AH243" i="38"/>
  <c r="L6" i="40"/>
  <c r="AH3" i="38"/>
  <c r="AH6" i="38" s="1"/>
  <c r="AH91" i="38"/>
  <c r="AH89" i="38"/>
  <c r="L6" i="37"/>
  <c r="C92" i="38"/>
  <c r="C7" i="38"/>
  <c r="A7" i="38" s="1"/>
  <c r="AI91" i="38"/>
  <c r="AJ91" i="38"/>
  <c r="U249" i="38"/>
  <c r="L89" i="35"/>
  <c r="K79" i="35"/>
  <c r="K81" i="35" s="1"/>
  <c r="B100" i="35"/>
  <c r="E223" i="35"/>
  <c r="Q89" i="35"/>
  <c r="Q82" i="35" s="1"/>
  <c r="AG6" i="35"/>
  <c r="L90" i="35"/>
  <c r="AF89" i="35"/>
  <c r="AF90" i="35" s="1"/>
  <c r="AF79" i="35"/>
  <c r="AF81" i="35" s="1"/>
  <c r="AE89" i="35"/>
  <c r="AE79" i="35"/>
  <c r="AE81" i="35" s="1"/>
  <c r="AD89" i="35"/>
  <c r="AD90" i="35"/>
  <c r="AD79" i="35"/>
  <c r="AD81" i="35" s="1"/>
  <c r="AC89" i="35"/>
  <c r="AC90" i="35" s="1"/>
  <c r="AB5" i="35"/>
  <c r="AC79" i="35"/>
  <c r="AC81" i="35" s="1"/>
  <c r="AB89" i="35"/>
  <c r="AB90" i="35" s="1"/>
  <c r="AA5" i="35"/>
  <c r="AB79" i="35"/>
  <c r="AB81" i="35" s="1"/>
  <c r="AA89" i="35"/>
  <c r="AA82" i="35" s="1"/>
  <c r="AA79" i="35"/>
  <c r="AA81" i="35" s="1"/>
  <c r="Z89" i="35"/>
  <c r="Z90" i="35" s="1"/>
  <c r="Y89" i="35"/>
  <c r="Y82" i="35" s="1"/>
  <c r="Y79" i="35"/>
  <c r="Y81" i="35" s="1"/>
  <c r="X89" i="35"/>
  <c r="X79" i="35"/>
  <c r="X81" i="35" s="1"/>
  <c r="W89" i="35"/>
  <c r="W79" i="35"/>
  <c r="W81" i="35" s="1"/>
  <c r="W7" i="35" s="1"/>
  <c r="V89" i="35"/>
  <c r="V90" i="35" s="1"/>
  <c r="Z79" i="35"/>
  <c r="Z81" i="35" s="1"/>
  <c r="AR238" i="35" s="1"/>
  <c r="Y90" i="35"/>
  <c r="V79" i="35"/>
  <c r="V81" i="35" s="1"/>
  <c r="V7" i="35" s="1"/>
  <c r="X90" i="35"/>
  <c r="U5" i="35"/>
  <c r="U89" i="35"/>
  <c r="U90" i="35" s="1"/>
  <c r="T5" i="35"/>
  <c r="U79" i="35"/>
  <c r="U81" i="35" s="1"/>
  <c r="U7" i="35" s="1"/>
  <c r="T89" i="35"/>
  <c r="T90" i="35" s="1"/>
  <c r="T79" i="35"/>
  <c r="T81" i="35" s="1"/>
  <c r="S89" i="35"/>
  <c r="S90" i="35" s="1"/>
  <c r="S79" i="35"/>
  <c r="S81" i="35" s="1"/>
  <c r="S7" i="35" s="1"/>
  <c r="R89" i="35"/>
  <c r="R90" i="35" s="1"/>
  <c r="R79" i="35"/>
  <c r="R81" i="35" s="1"/>
  <c r="Q79" i="35"/>
  <c r="Q81" i="35" s="1"/>
  <c r="P89" i="35"/>
  <c r="P90" i="35" s="1"/>
  <c r="P79" i="35"/>
  <c r="P81" i="35" s="1"/>
  <c r="O89" i="35"/>
  <c r="O79" i="35"/>
  <c r="O81" i="35" s="1"/>
  <c r="AG238" i="35" s="1"/>
  <c r="N89" i="35"/>
  <c r="N90" i="35"/>
  <c r="N79" i="35"/>
  <c r="N81" i="35" s="1"/>
  <c r="AF238" i="35" s="1"/>
  <c r="M89" i="35"/>
  <c r="M90" i="35" s="1"/>
  <c r="M79" i="35"/>
  <c r="M81" i="35" s="1"/>
  <c r="M82" i="35" s="1"/>
  <c r="AI44" i="35"/>
  <c r="I79" i="35"/>
  <c r="I81" i="35" s="1"/>
  <c r="I7" i="35" s="1"/>
  <c r="E89" i="35"/>
  <c r="E90" i="35" s="1"/>
  <c r="D5" i="35"/>
  <c r="K5" i="35"/>
  <c r="H79" i="35"/>
  <c r="H81" i="35" s="1"/>
  <c r="H7" i="35" s="1"/>
  <c r="G79" i="35"/>
  <c r="G81" i="35" s="1"/>
  <c r="Y238" i="35" s="1"/>
  <c r="K89" i="35"/>
  <c r="K90" i="35" s="1"/>
  <c r="L79" i="35"/>
  <c r="L81" i="35" s="1"/>
  <c r="L7" i="35" s="1"/>
  <c r="AH85" i="35"/>
  <c r="AI83" i="35"/>
  <c r="J89" i="35"/>
  <c r="J90" i="35" s="1"/>
  <c r="I90" i="35"/>
  <c r="F89" i="35"/>
  <c r="F90" i="35" s="1"/>
  <c r="AI87" i="35"/>
  <c r="G89" i="35"/>
  <c r="G90" i="35" s="1"/>
  <c r="H89" i="35"/>
  <c r="H90" i="35" s="1"/>
  <c r="J79" i="35"/>
  <c r="J81" i="35" s="1"/>
  <c r="F79" i="35"/>
  <c r="F81" i="35" s="1"/>
  <c r="F7" i="35" s="1"/>
  <c r="E79" i="35"/>
  <c r="E81" i="35" s="1"/>
  <c r="AI86" i="35"/>
  <c r="D89" i="35"/>
  <c r="D90" i="35" s="1"/>
  <c r="C5" i="35"/>
  <c r="D79" i="35"/>
  <c r="D81" i="35" s="1"/>
  <c r="D82" i="35" s="1"/>
  <c r="AI85" i="35"/>
  <c r="AI84" i="35"/>
  <c r="C89" i="35"/>
  <c r="C90" i="35" s="1"/>
  <c r="B5" i="35"/>
  <c r="AH62" i="35"/>
  <c r="AH58" i="35"/>
  <c r="C79" i="35"/>
  <c r="C81" i="35" s="1"/>
  <c r="U238" i="35" s="1"/>
  <c r="AI40" i="35"/>
  <c r="H4" i="35"/>
  <c r="AP238" i="35"/>
  <c r="X82" i="35"/>
  <c r="X7" i="35"/>
  <c r="I82" i="35"/>
  <c r="AA238" i="35"/>
  <c r="Q7" i="35"/>
  <c r="AI238" i="35"/>
  <c r="Y7" i="35"/>
  <c r="AQ238" i="35"/>
  <c r="AG79" i="35"/>
  <c r="AD7" i="35"/>
  <c r="AV238" i="35"/>
  <c r="AD82" i="35"/>
  <c r="AB238" i="35"/>
  <c r="R7" i="35"/>
  <c r="AJ238" i="35"/>
  <c r="R82" i="35"/>
  <c r="Z7" i="35"/>
  <c r="Z82" i="35"/>
  <c r="G218" i="35"/>
  <c r="O82" i="35"/>
  <c r="P7" i="35"/>
  <c r="AH238" i="35"/>
  <c r="P82" i="35"/>
  <c r="K7" i="35"/>
  <c r="AC238" i="35"/>
  <c r="AK238" i="35"/>
  <c r="AA7" i="35"/>
  <c r="AS238" i="35"/>
  <c r="O90" i="35"/>
  <c r="W90" i="35"/>
  <c r="AE90" i="35"/>
  <c r="AW238" i="35"/>
  <c r="AE82" i="35"/>
  <c r="AE7" i="35"/>
  <c r="T7" i="35"/>
  <c r="AL238" i="35"/>
  <c r="T82" i="35"/>
  <c r="AB7" i="35"/>
  <c r="AT238" i="35"/>
  <c r="AB82" i="35"/>
  <c r="AG81" i="35"/>
  <c r="W82" i="35"/>
  <c r="AF7" i="35"/>
  <c r="AX238" i="35"/>
  <c r="AF82" i="35"/>
  <c r="E7" i="35"/>
  <c r="W238" i="35"/>
  <c r="M7" i="35"/>
  <c r="AC7" i="35"/>
  <c r="AU238" i="35"/>
  <c r="AC82" i="35"/>
  <c r="I5" i="35"/>
  <c r="Q5" i="35"/>
  <c r="Y5" i="35"/>
  <c r="E224" i="35"/>
  <c r="D235" i="35"/>
  <c r="AH74" i="35"/>
  <c r="AI58" i="35"/>
  <c r="AI62" i="35"/>
  <c r="AI74" i="35"/>
  <c r="AH83" i="35"/>
  <c r="B89" i="35"/>
  <c r="B90" i="35" s="1"/>
  <c r="F223" i="35"/>
  <c r="F224" i="35" s="1"/>
  <c r="AH84" i="35"/>
  <c r="AH40" i="35"/>
  <c r="AH44" i="35"/>
  <c r="B79" i="35"/>
  <c r="AH86" i="35"/>
  <c r="B224" i="35"/>
  <c r="AH87" i="35"/>
  <c r="AI92" i="38" l="1"/>
  <c r="AJ92" i="38"/>
  <c r="AJ91" i="39"/>
  <c r="C92" i="39"/>
  <c r="U249" i="39"/>
  <c r="AI91" i="39"/>
  <c r="C7" i="39"/>
  <c r="A7" i="39" s="1"/>
  <c r="AJ92" i="37"/>
  <c r="AI92" i="37"/>
  <c r="AO238" i="35"/>
  <c r="E82" i="35"/>
  <c r="Q90" i="35"/>
  <c r="S82" i="35"/>
  <c r="O7" i="35"/>
  <c r="D259" i="35"/>
  <c r="E100" i="35"/>
  <c r="AM238" i="35"/>
  <c r="Z238" i="35"/>
  <c r="AA90" i="35"/>
  <c r="U82" i="35"/>
  <c r="V82" i="35"/>
  <c r="AN238" i="35"/>
  <c r="AE238" i="35"/>
  <c r="N82" i="35"/>
  <c r="N7" i="35"/>
  <c r="L82" i="35"/>
  <c r="AD238" i="35"/>
  <c r="G7" i="35"/>
  <c r="B233" i="35"/>
  <c r="D7" i="35"/>
  <c r="V238" i="35"/>
  <c r="F82" i="35"/>
  <c r="X238" i="35"/>
  <c r="C233" i="35"/>
  <c r="H82" i="35"/>
  <c r="K82" i="35"/>
  <c r="G82" i="35"/>
  <c r="J7" i="35"/>
  <c r="J82" i="35"/>
  <c r="C7" i="35"/>
  <c r="C82" i="35"/>
  <c r="E259" i="35"/>
  <c r="G223" i="35"/>
  <c r="F100" i="35"/>
  <c r="AH89" i="35"/>
  <c r="AI89" i="35"/>
  <c r="H218" i="35"/>
  <c r="G100" i="35"/>
  <c r="G224" i="35"/>
  <c r="AI90" i="35"/>
  <c r="AH90" i="35"/>
  <c r="AI79" i="35"/>
  <c r="AH79" i="35"/>
  <c r="B81" i="35"/>
  <c r="AJ92" i="39" l="1"/>
  <c r="AI92" i="39"/>
  <c r="K6" i="35"/>
  <c r="I218" i="35"/>
  <c r="H100" i="35"/>
  <c r="H224" i="35"/>
  <c r="AI81" i="35"/>
  <c r="B7" i="35"/>
  <c r="A7" i="35" s="1"/>
  <c r="T238" i="35"/>
  <c r="B82" i="35"/>
  <c r="AH81" i="35"/>
  <c r="F259" i="35"/>
  <c r="H223" i="35"/>
  <c r="AI82" i="35" l="1"/>
  <c r="AH82" i="35"/>
  <c r="G259" i="35"/>
  <c r="I223" i="35"/>
  <c r="I100" i="35"/>
  <c r="I224" i="35"/>
  <c r="J218" i="35"/>
  <c r="H259" i="35" l="1"/>
  <c r="J223" i="35"/>
  <c r="K218" i="35"/>
  <c r="J100" i="35"/>
  <c r="J224" i="35"/>
  <c r="L218" i="35" l="1"/>
  <c r="K223" i="35"/>
  <c r="K100" i="35" s="1"/>
  <c r="I259" i="35"/>
  <c r="J259" i="35" l="1"/>
  <c r="L223" i="35"/>
  <c r="L224" i="35"/>
  <c r="M218" i="35"/>
  <c r="L100" i="35"/>
  <c r="K224" i="35"/>
  <c r="N218" i="35" l="1"/>
  <c r="K259" i="35"/>
  <c r="M223" i="35"/>
  <c r="M224" i="35" s="1"/>
  <c r="L259" i="35" l="1"/>
  <c r="N223" i="35"/>
  <c r="M100" i="35"/>
  <c r="O218" i="35"/>
  <c r="N224" i="35"/>
  <c r="N100" i="35"/>
  <c r="P218" i="35" l="1"/>
  <c r="M259" i="35"/>
  <c r="O223" i="35"/>
  <c r="O224" i="35" s="1"/>
  <c r="N259" i="35" l="1"/>
  <c r="P223" i="35"/>
  <c r="O259" i="35" s="1"/>
  <c r="O100" i="35"/>
  <c r="P100" i="35"/>
  <c r="P224" i="35"/>
  <c r="AI100" i="35" l="1"/>
  <c r="AH100" i="35"/>
  <c r="S103" i="34" l="1"/>
  <c r="S39" i="34"/>
  <c r="R103" i="34"/>
  <c r="R39" i="34"/>
  <c r="Q103" i="34"/>
  <c r="Q39" i="34"/>
  <c r="P39" i="34"/>
  <c r="O39" i="34"/>
  <c r="N39" i="34"/>
  <c r="M39" i="34"/>
  <c r="L39" i="34"/>
  <c r="K39" i="34"/>
  <c r="J39" i="34"/>
  <c r="I39" i="34"/>
  <c r="H39" i="34"/>
  <c r="G39" i="34"/>
  <c r="F39" i="34"/>
  <c r="E103" i="34"/>
  <c r="E39" i="34"/>
  <c r="D103" i="34"/>
  <c r="D39" i="34"/>
  <c r="C103" i="34"/>
  <c r="C39" i="34"/>
  <c r="B58" i="34"/>
  <c r="B44" i="34"/>
  <c r="B40" i="34"/>
  <c r="B39" i="34"/>
  <c r="AF263" i="34"/>
  <c r="AE263" i="34"/>
  <c r="AD263" i="34"/>
  <c r="AC263" i="34"/>
  <c r="AB263" i="34"/>
  <c r="AA263" i="34"/>
  <c r="Z263" i="34"/>
  <c r="Y263" i="34"/>
  <c r="X263" i="34"/>
  <c r="W263" i="34"/>
  <c r="V263" i="34"/>
  <c r="U263" i="34"/>
  <c r="T263" i="34"/>
  <c r="S263" i="34"/>
  <c r="R263" i="34"/>
  <c r="Q263" i="34"/>
  <c r="P263" i="34"/>
  <c r="O263" i="34"/>
  <c r="N263" i="34"/>
  <c r="M263" i="34"/>
  <c r="L263" i="34"/>
  <c r="K263" i="34"/>
  <c r="J263" i="34"/>
  <c r="I263" i="34"/>
  <c r="H263" i="34"/>
  <c r="G263" i="34"/>
  <c r="F263" i="34"/>
  <c r="E263" i="34"/>
  <c r="D263" i="34"/>
  <c r="C263" i="34"/>
  <c r="B263" i="34"/>
  <c r="A263" i="34"/>
  <c r="AF262" i="34"/>
  <c r="AE262" i="34"/>
  <c r="AD262" i="34"/>
  <c r="AC262" i="34"/>
  <c r="AB262" i="34"/>
  <c r="AA262" i="34"/>
  <c r="Z262" i="34"/>
  <c r="Y262" i="34"/>
  <c r="X262" i="34"/>
  <c r="W262" i="34"/>
  <c r="V262" i="34"/>
  <c r="U262" i="34"/>
  <c r="T262" i="34"/>
  <c r="S262" i="34"/>
  <c r="R262" i="34"/>
  <c r="Q262" i="34"/>
  <c r="P262" i="34"/>
  <c r="O262" i="34"/>
  <c r="N262" i="34"/>
  <c r="M262" i="34"/>
  <c r="L262" i="34"/>
  <c r="K262" i="34"/>
  <c r="J262" i="34"/>
  <c r="I262" i="34"/>
  <c r="H262" i="34"/>
  <c r="G262" i="34"/>
  <c r="F262" i="34"/>
  <c r="E262" i="34"/>
  <c r="D262" i="34"/>
  <c r="C262" i="34"/>
  <c r="B262" i="34"/>
  <c r="A262" i="34"/>
  <c r="AF261" i="34"/>
  <c r="AE261" i="34"/>
  <c r="AD261" i="34"/>
  <c r="AC261" i="34"/>
  <c r="AB261" i="34"/>
  <c r="AA261" i="34"/>
  <c r="Z261" i="34"/>
  <c r="Y261" i="34"/>
  <c r="X261" i="34"/>
  <c r="W261" i="34"/>
  <c r="V261" i="34"/>
  <c r="U261" i="34"/>
  <c r="T261" i="34"/>
  <c r="S261" i="34"/>
  <c r="R261" i="34"/>
  <c r="Q261" i="34"/>
  <c r="P261" i="34"/>
  <c r="O261" i="34"/>
  <c r="N261" i="34"/>
  <c r="M261" i="34"/>
  <c r="L261" i="34"/>
  <c r="K261" i="34"/>
  <c r="J261" i="34"/>
  <c r="I261" i="34"/>
  <c r="H261" i="34"/>
  <c r="G261" i="34"/>
  <c r="F261" i="34"/>
  <c r="E261" i="34"/>
  <c r="D261" i="34"/>
  <c r="C261" i="34"/>
  <c r="B261" i="34"/>
  <c r="A261" i="34"/>
  <c r="AF260" i="34"/>
  <c r="AE260" i="34"/>
  <c r="AD260" i="34"/>
  <c r="AC260" i="34"/>
  <c r="AB260" i="34"/>
  <c r="AA260" i="34"/>
  <c r="Z260" i="34"/>
  <c r="Y260" i="34"/>
  <c r="X260" i="34"/>
  <c r="W260" i="34"/>
  <c r="V260" i="34"/>
  <c r="U260" i="34"/>
  <c r="T260" i="34"/>
  <c r="S260" i="34"/>
  <c r="R260" i="34"/>
  <c r="Q260" i="34"/>
  <c r="P260" i="34"/>
  <c r="O260" i="34"/>
  <c r="N260" i="34"/>
  <c r="M260" i="34"/>
  <c r="L260" i="34"/>
  <c r="K260" i="34"/>
  <c r="J260" i="34"/>
  <c r="I260" i="34"/>
  <c r="H260" i="34"/>
  <c r="G260" i="34"/>
  <c r="F260" i="34"/>
  <c r="E260" i="34"/>
  <c r="D260" i="34"/>
  <c r="C260" i="34"/>
  <c r="B260" i="34"/>
  <c r="A260" i="34"/>
  <c r="AE259" i="34"/>
  <c r="AD259" i="34"/>
  <c r="AC259" i="34"/>
  <c r="AB259" i="34"/>
  <c r="AA259" i="34"/>
  <c r="Z259" i="34"/>
  <c r="Y259" i="34"/>
  <c r="X259" i="34"/>
  <c r="W259" i="34"/>
  <c r="V259" i="34"/>
  <c r="U259" i="34"/>
  <c r="T259" i="34"/>
  <c r="S259" i="34"/>
  <c r="R259" i="34"/>
  <c r="Q259" i="34"/>
  <c r="P259" i="34"/>
  <c r="B259" i="34"/>
  <c r="S234" i="34"/>
  <c r="AG224" i="34"/>
  <c r="AF224" i="34"/>
  <c r="AE224" i="34"/>
  <c r="AD224" i="34"/>
  <c r="AC224" i="34"/>
  <c r="AB224" i="34"/>
  <c r="AA224" i="34"/>
  <c r="Z224" i="34"/>
  <c r="Y224" i="34"/>
  <c r="X224" i="34"/>
  <c r="W224" i="34"/>
  <c r="V224" i="34"/>
  <c r="U224" i="34"/>
  <c r="T224" i="34"/>
  <c r="S224" i="34"/>
  <c r="R224" i="34"/>
  <c r="Q224" i="34"/>
  <c r="C224" i="34"/>
  <c r="D223" i="34"/>
  <c r="C259" i="34" s="1"/>
  <c r="B223" i="34"/>
  <c r="AF259" i="34" s="1"/>
  <c r="D222" i="34"/>
  <c r="E222" i="34" s="1"/>
  <c r="F222" i="34" s="1"/>
  <c r="G222" i="34" s="1"/>
  <c r="H222" i="34" s="1"/>
  <c r="I222" i="34" s="1"/>
  <c r="J222" i="34" s="1"/>
  <c r="K222" i="34" s="1"/>
  <c r="L222" i="34" s="1"/>
  <c r="M222" i="34" s="1"/>
  <c r="N222" i="34" s="1"/>
  <c r="O222" i="34" s="1"/>
  <c r="P222" i="34" s="1"/>
  <c r="B222" i="34"/>
  <c r="D221" i="34"/>
  <c r="E221" i="34" s="1"/>
  <c r="F221" i="34" s="1"/>
  <c r="G221" i="34" s="1"/>
  <c r="H221" i="34" s="1"/>
  <c r="I221" i="34" s="1"/>
  <c r="J221" i="34" s="1"/>
  <c r="K221" i="34" s="1"/>
  <c r="L221" i="34" s="1"/>
  <c r="M221" i="34" s="1"/>
  <c r="N221" i="34" s="1"/>
  <c r="O221" i="34" s="1"/>
  <c r="P221" i="34" s="1"/>
  <c r="B221" i="34"/>
  <c r="D220" i="34"/>
  <c r="E220" i="34" s="1"/>
  <c r="F220" i="34" s="1"/>
  <c r="G220" i="34" s="1"/>
  <c r="H220" i="34" s="1"/>
  <c r="I220" i="34" s="1"/>
  <c r="J220" i="34" s="1"/>
  <c r="K220" i="34" s="1"/>
  <c r="L220" i="34" s="1"/>
  <c r="M220" i="34" s="1"/>
  <c r="N220" i="34" s="1"/>
  <c r="O220" i="34" s="1"/>
  <c r="P220" i="34" s="1"/>
  <c r="B220" i="34"/>
  <c r="D219" i="34"/>
  <c r="E219" i="34" s="1"/>
  <c r="F219" i="34" s="1"/>
  <c r="G219" i="34" s="1"/>
  <c r="H219" i="34" s="1"/>
  <c r="I219" i="34" s="1"/>
  <c r="J219" i="34" s="1"/>
  <c r="K219" i="34" s="1"/>
  <c r="L219" i="34" s="1"/>
  <c r="M219" i="34" s="1"/>
  <c r="N219" i="34" s="1"/>
  <c r="O219" i="34" s="1"/>
  <c r="P219" i="34" s="1"/>
  <c r="B219" i="34"/>
  <c r="E218" i="34"/>
  <c r="F218" i="34" s="1"/>
  <c r="D218" i="34"/>
  <c r="B218" i="34"/>
  <c r="AG216" i="34"/>
  <c r="AF216" i="34"/>
  <c r="AE216" i="34"/>
  <c r="AD216" i="34"/>
  <c r="AC216" i="34"/>
  <c r="AB216" i="34"/>
  <c r="AA216" i="34"/>
  <c r="Z216" i="34"/>
  <c r="Y216" i="34"/>
  <c r="X216" i="34"/>
  <c r="W216" i="34"/>
  <c r="V216" i="34"/>
  <c r="U216" i="34"/>
  <c r="T216" i="34"/>
  <c r="S216" i="34"/>
  <c r="R216" i="34"/>
  <c r="Q216" i="34"/>
  <c r="P216" i="34"/>
  <c r="O216" i="34"/>
  <c r="N216" i="34"/>
  <c r="M216" i="34"/>
  <c r="L216" i="34"/>
  <c r="K216" i="34"/>
  <c r="J216" i="34"/>
  <c r="I216" i="34"/>
  <c r="H216" i="34"/>
  <c r="G216" i="34"/>
  <c r="F216" i="34"/>
  <c r="E216" i="34"/>
  <c r="D216" i="34"/>
  <c r="C216" i="34"/>
  <c r="B216" i="34"/>
  <c r="AI109" i="34"/>
  <c r="AH109" i="34"/>
  <c r="AI108" i="34"/>
  <c r="AH108" i="34"/>
  <c r="AI107" i="34"/>
  <c r="AH107" i="34"/>
  <c r="AI106" i="34"/>
  <c r="AH106" i="34"/>
  <c r="AI105" i="34"/>
  <c r="AH105" i="34"/>
  <c r="AI104" i="34"/>
  <c r="AH104" i="34"/>
  <c r="AI102" i="34"/>
  <c r="AH102" i="34"/>
  <c r="AI101" i="34"/>
  <c r="AH101" i="34"/>
  <c r="AF100" i="34"/>
  <c r="AE100" i="34"/>
  <c r="AD100" i="34"/>
  <c r="AC100" i="34"/>
  <c r="AB100" i="34"/>
  <c r="AA100" i="34"/>
  <c r="Z100" i="34"/>
  <c r="Y100" i="34"/>
  <c r="X100" i="34"/>
  <c r="W100" i="34"/>
  <c r="V100" i="34"/>
  <c r="U100" i="34"/>
  <c r="T100" i="34"/>
  <c r="S100" i="34"/>
  <c r="R100" i="34"/>
  <c r="Q100" i="34"/>
  <c r="C100" i="34"/>
  <c r="AI99" i="34"/>
  <c r="AH99" i="34"/>
  <c r="AI98" i="34"/>
  <c r="AH98" i="34"/>
  <c r="AI97" i="34"/>
  <c r="AH97" i="34"/>
  <c r="AI96" i="34"/>
  <c r="AH96" i="34"/>
  <c r="AI95" i="34"/>
  <c r="AH95" i="34"/>
  <c r="AI94" i="34"/>
  <c r="AH94" i="34"/>
  <c r="AI93" i="34"/>
  <c r="AH93" i="34"/>
  <c r="AI92" i="34"/>
  <c r="AH92" i="34"/>
  <c r="AI91" i="34"/>
  <c r="AH91" i="34"/>
  <c r="AI88" i="34"/>
  <c r="AH88" i="34"/>
  <c r="AF87" i="34"/>
  <c r="AE87" i="34"/>
  <c r="AD87" i="34"/>
  <c r="AC87" i="34"/>
  <c r="AB87" i="34"/>
  <c r="AA87" i="34"/>
  <c r="Z87" i="34"/>
  <c r="Y87" i="34"/>
  <c r="X87" i="34"/>
  <c r="W87" i="34"/>
  <c r="V87" i="34"/>
  <c r="U87" i="34"/>
  <c r="T87" i="34"/>
  <c r="S87" i="34"/>
  <c r="R87" i="34"/>
  <c r="Q87" i="34"/>
  <c r="P87" i="34"/>
  <c r="O87" i="34"/>
  <c r="N87" i="34"/>
  <c r="M87" i="34"/>
  <c r="L87" i="34"/>
  <c r="K87" i="34"/>
  <c r="J87" i="34"/>
  <c r="I87" i="34"/>
  <c r="H87" i="34"/>
  <c r="G87" i="34"/>
  <c r="F87" i="34"/>
  <c r="E87" i="34"/>
  <c r="D87" i="34"/>
  <c r="C87" i="34"/>
  <c r="B87" i="34"/>
  <c r="AF86" i="34"/>
  <c r="AE86" i="34"/>
  <c r="AD86" i="34"/>
  <c r="AC86" i="34"/>
  <c r="AB86" i="34"/>
  <c r="AA86" i="34"/>
  <c r="Z86" i="34"/>
  <c r="Y86" i="34"/>
  <c r="X86" i="34"/>
  <c r="W86" i="34"/>
  <c r="V86" i="34"/>
  <c r="U86" i="34"/>
  <c r="T86" i="34"/>
  <c r="S86" i="34"/>
  <c r="R86" i="34"/>
  <c r="Q86" i="34"/>
  <c r="P86" i="34"/>
  <c r="O86" i="34"/>
  <c r="N86" i="34"/>
  <c r="M86" i="34"/>
  <c r="L86" i="34"/>
  <c r="K86" i="34"/>
  <c r="J86" i="34"/>
  <c r="I86" i="34"/>
  <c r="H86" i="34"/>
  <c r="G86" i="34"/>
  <c r="F86" i="34"/>
  <c r="E86" i="34"/>
  <c r="D86" i="34"/>
  <c r="C86" i="34"/>
  <c r="B86" i="34"/>
  <c r="AF85" i="34"/>
  <c r="AE85" i="34"/>
  <c r="AD85" i="34"/>
  <c r="AC85" i="34"/>
  <c r="AB85" i="34"/>
  <c r="AA85" i="34"/>
  <c r="Z85" i="34"/>
  <c r="Y85" i="34"/>
  <c r="X85" i="34"/>
  <c r="W85" i="34"/>
  <c r="V85" i="34"/>
  <c r="U85" i="34"/>
  <c r="T85" i="34"/>
  <c r="S85" i="34"/>
  <c r="R85" i="34"/>
  <c r="Q85" i="34"/>
  <c r="P85" i="34"/>
  <c r="O85" i="34"/>
  <c r="N85" i="34"/>
  <c r="M85" i="34"/>
  <c r="L85" i="34"/>
  <c r="K85" i="34"/>
  <c r="J85" i="34"/>
  <c r="I85" i="34"/>
  <c r="H85" i="34"/>
  <c r="G85" i="34"/>
  <c r="F85" i="34"/>
  <c r="E85" i="34"/>
  <c r="D85" i="34"/>
  <c r="C85" i="34"/>
  <c r="B85" i="34"/>
  <c r="AF84" i="34"/>
  <c r="AE84" i="34"/>
  <c r="AD84" i="34"/>
  <c r="AC84" i="34"/>
  <c r="AB84" i="34"/>
  <c r="AA84" i="34"/>
  <c r="Z84" i="34"/>
  <c r="Y84" i="34"/>
  <c r="X84" i="34"/>
  <c r="W84" i="34"/>
  <c r="V84" i="34"/>
  <c r="U84" i="34"/>
  <c r="T84" i="34"/>
  <c r="S84" i="34"/>
  <c r="R84" i="34"/>
  <c r="Q84" i="34"/>
  <c r="P84" i="34"/>
  <c r="O84" i="34"/>
  <c r="N84" i="34"/>
  <c r="M84" i="34"/>
  <c r="L84" i="34"/>
  <c r="K84" i="34"/>
  <c r="J84" i="34"/>
  <c r="I84" i="34"/>
  <c r="H84" i="34"/>
  <c r="G84" i="34"/>
  <c r="F84" i="34"/>
  <c r="E84" i="34"/>
  <c r="D84" i="34"/>
  <c r="C84" i="34"/>
  <c r="B84" i="34"/>
  <c r="AF83" i="34"/>
  <c r="AE83" i="34"/>
  <c r="AD83" i="34"/>
  <c r="AC83" i="34"/>
  <c r="AB83" i="34"/>
  <c r="AA83" i="34"/>
  <c r="Z83" i="34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AI80" i="34"/>
  <c r="AH80" i="34"/>
  <c r="AI78" i="34"/>
  <c r="AH78" i="34"/>
  <c r="AG78" i="34"/>
  <c r="AI77" i="34"/>
  <c r="AH77" i="34"/>
  <c r="AI76" i="34"/>
  <c r="AH76" i="34"/>
  <c r="AI75" i="34"/>
  <c r="AH75" i="34"/>
  <c r="AG74" i="34"/>
  <c r="AF74" i="34"/>
  <c r="AE5" i="34" s="1"/>
  <c r="AE74" i="34"/>
  <c r="AD5" i="34" s="1"/>
  <c r="AD74" i="34"/>
  <c r="AC74" i="34"/>
  <c r="AB5" i="34" s="1"/>
  <c r="AB74" i="34"/>
  <c r="AA5" i="34" s="1"/>
  <c r="AA74" i="34"/>
  <c r="Z74" i="34"/>
  <c r="Y74" i="34"/>
  <c r="X5" i="34" s="1"/>
  <c r="X74" i="34"/>
  <c r="W5" i="34" s="1"/>
  <c r="W74" i="34"/>
  <c r="V5" i="34" s="1"/>
  <c r="V74" i="34"/>
  <c r="U74" i="34"/>
  <c r="T5" i="34" s="1"/>
  <c r="T74" i="34"/>
  <c r="S5" i="34" s="1"/>
  <c r="S74" i="34"/>
  <c r="R74" i="34"/>
  <c r="Q74" i="34"/>
  <c r="P5" i="34" s="1"/>
  <c r="P74" i="34"/>
  <c r="O5" i="34" s="1"/>
  <c r="O74" i="34"/>
  <c r="N5" i="34" s="1"/>
  <c r="N74" i="34"/>
  <c r="M74" i="34"/>
  <c r="L74" i="34"/>
  <c r="K74" i="34"/>
  <c r="J74" i="34"/>
  <c r="I74" i="34"/>
  <c r="H74" i="34"/>
  <c r="G5" i="34" s="1"/>
  <c r="G74" i="34"/>
  <c r="F5" i="34" s="1"/>
  <c r="F74" i="34"/>
  <c r="E74" i="34"/>
  <c r="D74" i="34"/>
  <c r="C74" i="34"/>
  <c r="B74" i="34"/>
  <c r="AF5" i="34" s="1"/>
  <c r="AI73" i="34"/>
  <c r="AH73" i="34"/>
  <c r="AI72" i="34"/>
  <c r="AH72" i="34"/>
  <c r="AI71" i="34"/>
  <c r="AH71" i="34"/>
  <c r="AI70" i="34"/>
  <c r="AH70" i="34"/>
  <c r="AI69" i="34"/>
  <c r="AH69" i="34"/>
  <c r="AI68" i="34"/>
  <c r="AH68" i="34"/>
  <c r="AI67" i="34"/>
  <c r="AH67" i="34"/>
  <c r="AI66" i="34"/>
  <c r="AH66" i="34"/>
  <c r="AI65" i="34"/>
  <c r="AH65" i="34"/>
  <c r="AI64" i="34"/>
  <c r="AH64" i="34"/>
  <c r="AI63" i="34"/>
  <c r="AH63" i="34"/>
  <c r="AG62" i="34"/>
  <c r="AF62" i="34"/>
  <c r="AE62" i="34"/>
  <c r="AD62" i="34"/>
  <c r="AC62" i="34"/>
  <c r="AB62" i="34"/>
  <c r="AA62" i="34"/>
  <c r="Z62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AI61" i="34"/>
  <c r="AH61" i="34"/>
  <c r="AI60" i="34"/>
  <c r="AH60" i="34"/>
  <c r="AI59" i="34"/>
  <c r="AH59" i="34"/>
  <c r="AF58" i="34"/>
  <c r="AE58" i="34"/>
  <c r="AD58" i="34"/>
  <c r="AC58" i="34"/>
  <c r="AB58" i="34"/>
  <c r="AA58" i="34"/>
  <c r="Z58" i="34"/>
  <c r="Y58" i="34"/>
  <c r="X58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AI57" i="34"/>
  <c r="AH57" i="34"/>
  <c r="AG57" i="34"/>
  <c r="AG58" i="34" s="1"/>
  <c r="AG3" i="34" s="1"/>
  <c r="AI56" i="34"/>
  <c r="AH56" i="34"/>
  <c r="AI55" i="34"/>
  <c r="AH55" i="34"/>
  <c r="AI54" i="34"/>
  <c r="AH54" i="34"/>
  <c r="AI53" i="34"/>
  <c r="AH53" i="34"/>
  <c r="AI52" i="34"/>
  <c r="AH52" i="34"/>
  <c r="AI51" i="34"/>
  <c r="AH51" i="34"/>
  <c r="AI50" i="34"/>
  <c r="AH50" i="34"/>
  <c r="AI49" i="34"/>
  <c r="AH49" i="34"/>
  <c r="AI48" i="34"/>
  <c r="AH48" i="34"/>
  <c r="AI47" i="34"/>
  <c r="AH47" i="34"/>
  <c r="AI46" i="34"/>
  <c r="AH46" i="34"/>
  <c r="AI45" i="34"/>
  <c r="AH45" i="34"/>
  <c r="AG44" i="34"/>
  <c r="AF44" i="34"/>
  <c r="AE44" i="34"/>
  <c r="AD44" i="34"/>
  <c r="AC44" i="34"/>
  <c r="AB44" i="34"/>
  <c r="AA44" i="34"/>
  <c r="Z44" i="34"/>
  <c r="Y44" i="34"/>
  <c r="X44" i="34"/>
  <c r="W44" i="34"/>
  <c r="V44" i="34"/>
  <c r="U44" i="34"/>
  <c r="T44" i="34"/>
  <c r="S44" i="34"/>
  <c r="R44" i="34"/>
  <c r="Q44" i="34"/>
  <c r="P44" i="34"/>
  <c r="O44" i="34"/>
  <c r="N44" i="34"/>
  <c r="M44" i="34"/>
  <c r="L44" i="34"/>
  <c r="K44" i="34"/>
  <c r="J44" i="34"/>
  <c r="I44" i="34"/>
  <c r="H44" i="34"/>
  <c r="G44" i="34"/>
  <c r="F44" i="34"/>
  <c r="E44" i="34"/>
  <c r="D44" i="34"/>
  <c r="C44" i="34"/>
  <c r="AI43" i="34"/>
  <c r="AH43" i="34"/>
  <c r="AI42" i="34"/>
  <c r="AH42" i="34"/>
  <c r="AI41" i="34"/>
  <c r="AH41" i="34"/>
  <c r="AG40" i="34"/>
  <c r="AF40" i="34"/>
  <c r="AE40" i="34"/>
  <c r="AD40" i="34"/>
  <c r="AC40" i="34"/>
  <c r="AB40" i="34"/>
  <c r="AA40" i="34"/>
  <c r="Z40" i="34"/>
  <c r="Y40" i="34"/>
  <c r="X40" i="34"/>
  <c r="W40" i="34"/>
  <c r="V40" i="34"/>
  <c r="U40" i="34"/>
  <c r="T40" i="34"/>
  <c r="S40" i="34"/>
  <c r="R40" i="34"/>
  <c r="Q40" i="34"/>
  <c r="P40" i="34"/>
  <c r="O40" i="34"/>
  <c r="N40" i="34"/>
  <c r="M40" i="34"/>
  <c r="L40" i="34"/>
  <c r="K40" i="34"/>
  <c r="J40" i="34"/>
  <c r="I40" i="34"/>
  <c r="H40" i="34"/>
  <c r="G40" i="34"/>
  <c r="F40" i="34"/>
  <c r="E40" i="34"/>
  <c r="D40" i="34"/>
  <c r="C40" i="34"/>
  <c r="AI38" i="34"/>
  <c r="AH38" i="34"/>
  <c r="AI37" i="34"/>
  <c r="AH37" i="34"/>
  <c r="AI36" i="34"/>
  <c r="AH36" i="34"/>
  <c r="AI35" i="34"/>
  <c r="AH35" i="34"/>
  <c r="AI34" i="34"/>
  <c r="AH34" i="34"/>
  <c r="AI33" i="34"/>
  <c r="AH33" i="34"/>
  <c r="AI32" i="34"/>
  <c r="AH32" i="34"/>
  <c r="AI31" i="34"/>
  <c r="AH31" i="34"/>
  <c r="AI30" i="34"/>
  <c r="AH30" i="34"/>
  <c r="AI29" i="34"/>
  <c r="AH29" i="34"/>
  <c r="AI28" i="34"/>
  <c r="AH28" i="34"/>
  <c r="AI27" i="34"/>
  <c r="AH27" i="34"/>
  <c r="AI26" i="34"/>
  <c r="AH26" i="34"/>
  <c r="AI25" i="34"/>
  <c r="AH25" i="34"/>
  <c r="AI24" i="34"/>
  <c r="AH24" i="34"/>
  <c r="AI23" i="34"/>
  <c r="AH23" i="34"/>
  <c r="AI22" i="34"/>
  <c r="AH22" i="34"/>
  <c r="AI21" i="34"/>
  <c r="AH21" i="34"/>
  <c r="AI20" i="34"/>
  <c r="AH20" i="34"/>
  <c r="AI19" i="34"/>
  <c r="AH19" i="34"/>
  <c r="AI18" i="34"/>
  <c r="AH18" i="34"/>
  <c r="AI17" i="34"/>
  <c r="AH17" i="34"/>
  <c r="AI16" i="34"/>
  <c r="AH16" i="34"/>
  <c r="AI15" i="34"/>
  <c r="AH15" i="34"/>
  <c r="AI14" i="34"/>
  <c r="AH14" i="34"/>
  <c r="AI13" i="34"/>
  <c r="AH13" i="34"/>
  <c r="AI12" i="34"/>
  <c r="AH12" i="34"/>
  <c r="AI11" i="34"/>
  <c r="AH11" i="34"/>
  <c r="AC5" i="34"/>
  <c r="Z5" i="34"/>
  <c r="R5" i="34"/>
  <c r="M5" i="34"/>
  <c r="AG4" i="34"/>
  <c r="K4" i="34"/>
  <c r="B4" i="34"/>
  <c r="S235" i="34" s="1"/>
  <c r="AG2" i="34"/>
  <c r="AF103" i="33"/>
  <c r="AF39" i="33"/>
  <c r="AE103" i="33"/>
  <c r="AE100" i="33" s="1"/>
  <c r="AE39" i="33"/>
  <c r="AD103" i="33"/>
  <c r="AD39" i="33"/>
  <c r="AC103" i="33"/>
  <c r="AC39" i="33"/>
  <c r="AB103" i="33"/>
  <c r="AB39" i="33"/>
  <c r="AA39" i="33"/>
  <c r="Z39" i="33"/>
  <c r="Y39" i="33"/>
  <c r="W39" i="33"/>
  <c r="V103" i="33"/>
  <c r="V39" i="33"/>
  <c r="U39" i="33"/>
  <c r="T39" i="33"/>
  <c r="Q103" i="33"/>
  <c r="Q39" i="33"/>
  <c r="R39" i="33"/>
  <c r="P103" i="33"/>
  <c r="P39" i="33"/>
  <c r="E4" i="34"/>
  <c r="AI39" i="34" l="1"/>
  <c r="D224" i="34"/>
  <c r="E89" i="34"/>
  <c r="Y89" i="34"/>
  <c r="AH39" i="34"/>
  <c r="B100" i="34"/>
  <c r="AC89" i="34"/>
  <c r="L89" i="34"/>
  <c r="L90" i="34" s="1"/>
  <c r="AB89" i="34"/>
  <c r="AB90" i="34" s="1"/>
  <c r="T79" i="34"/>
  <c r="T81" i="34" s="1"/>
  <c r="AB79" i="34"/>
  <c r="AB81" i="34" s="1"/>
  <c r="AE89" i="34"/>
  <c r="AE90" i="34" s="1"/>
  <c r="AC79" i="34"/>
  <c r="AC81" i="34" s="1"/>
  <c r="AU238" i="34" s="1"/>
  <c r="P89" i="34"/>
  <c r="P90" i="34" s="1"/>
  <c r="AF89" i="34"/>
  <c r="AF90" i="34" s="1"/>
  <c r="AH103" i="34"/>
  <c r="AI103" i="34"/>
  <c r="AE79" i="34"/>
  <c r="AE81" i="34" s="1"/>
  <c r="AE82" i="34" s="1"/>
  <c r="E90" i="34"/>
  <c r="AC90" i="34"/>
  <c r="D100" i="34"/>
  <c r="AD89" i="34"/>
  <c r="AD90" i="34" s="1"/>
  <c r="E223" i="34"/>
  <c r="D259" i="34" s="1"/>
  <c r="AD79" i="34"/>
  <c r="AD81" i="34" s="1"/>
  <c r="AD7" i="34" s="1"/>
  <c r="AG6" i="34"/>
  <c r="AF79" i="34"/>
  <c r="AF81" i="34" s="1"/>
  <c r="C89" i="34"/>
  <c r="C90" i="34" s="1"/>
  <c r="S89" i="34"/>
  <c r="S90" i="34" s="1"/>
  <c r="AA89" i="34"/>
  <c r="AA90" i="34" s="1"/>
  <c r="AA79" i="34"/>
  <c r="AA81" i="34" s="1"/>
  <c r="AA7" i="34" s="1"/>
  <c r="Z89" i="34"/>
  <c r="Z90" i="34" s="1"/>
  <c r="Z79" i="34"/>
  <c r="Z81" i="34" s="1"/>
  <c r="Y90" i="34"/>
  <c r="Y79" i="34"/>
  <c r="Y81" i="34" s="1"/>
  <c r="Y82" i="34" s="1"/>
  <c r="X89" i="34"/>
  <c r="X90" i="34" s="1"/>
  <c r="X79" i="34"/>
  <c r="X81" i="34" s="1"/>
  <c r="W89" i="34"/>
  <c r="W82" i="34" s="1"/>
  <c r="W79" i="34"/>
  <c r="W81" i="34" s="1"/>
  <c r="V89" i="34"/>
  <c r="V90" i="34" s="1"/>
  <c r="U5" i="34"/>
  <c r="U89" i="34"/>
  <c r="U90" i="34" s="1"/>
  <c r="V79" i="34"/>
  <c r="V81" i="34" s="1"/>
  <c r="V7" i="34" s="1"/>
  <c r="U79" i="34"/>
  <c r="U81" i="34" s="1"/>
  <c r="T89" i="34"/>
  <c r="T90" i="34" s="1"/>
  <c r="S79" i="34"/>
  <c r="S81" i="34" s="1"/>
  <c r="AK238" i="34" s="1"/>
  <c r="R89" i="34"/>
  <c r="R90" i="34" s="1"/>
  <c r="R79" i="34"/>
  <c r="R81" i="34" s="1"/>
  <c r="R7" i="34" s="1"/>
  <c r="Q89" i="34"/>
  <c r="Q90" i="34" s="1"/>
  <c r="Q79" i="34"/>
  <c r="Q81" i="34" s="1"/>
  <c r="P79" i="34"/>
  <c r="P81" i="34" s="1"/>
  <c r="P82" i="34" s="1"/>
  <c r="O79" i="34"/>
  <c r="O81" i="34" s="1"/>
  <c r="O89" i="34"/>
  <c r="N89" i="34"/>
  <c r="N90" i="34" s="1"/>
  <c r="N79" i="34"/>
  <c r="N81" i="34" s="1"/>
  <c r="N7" i="34" s="1"/>
  <c r="L5" i="34"/>
  <c r="M89" i="34"/>
  <c r="M90" i="34" s="1"/>
  <c r="M79" i="34"/>
  <c r="M81" i="34" s="1"/>
  <c r="AE238" i="34" s="1"/>
  <c r="K5" i="34"/>
  <c r="L79" i="34"/>
  <c r="L81" i="34" s="1"/>
  <c r="L7" i="34" s="1"/>
  <c r="J5" i="34"/>
  <c r="K89" i="34"/>
  <c r="K90" i="34" s="1"/>
  <c r="K79" i="34"/>
  <c r="K81" i="34" s="1"/>
  <c r="K7" i="34" s="1"/>
  <c r="J89" i="34"/>
  <c r="J90" i="34" s="1"/>
  <c r="J79" i="34"/>
  <c r="J81" i="34" s="1"/>
  <c r="J7" i="34" s="1"/>
  <c r="I89" i="34"/>
  <c r="I90" i="34" s="1"/>
  <c r="H5" i="34"/>
  <c r="I79" i="34"/>
  <c r="I81" i="34" s="1"/>
  <c r="I82" i="34" s="1"/>
  <c r="H89" i="34"/>
  <c r="H90" i="34" s="1"/>
  <c r="H79" i="34"/>
  <c r="H81" i="34" s="1"/>
  <c r="Z238" i="34" s="1"/>
  <c r="G89" i="34"/>
  <c r="G82" i="34" s="1"/>
  <c r="AI83" i="34"/>
  <c r="G79" i="34"/>
  <c r="G81" i="34" s="1"/>
  <c r="G7" i="34" s="1"/>
  <c r="E5" i="34"/>
  <c r="F89" i="34"/>
  <c r="F90" i="34" s="1"/>
  <c r="AI87" i="34"/>
  <c r="AI85" i="34"/>
  <c r="AH84" i="34"/>
  <c r="AI84" i="34"/>
  <c r="AH62" i="34"/>
  <c r="F79" i="34"/>
  <c r="F81" i="34" s="1"/>
  <c r="X238" i="34" s="1"/>
  <c r="D5" i="34"/>
  <c r="AI86" i="34"/>
  <c r="E79" i="34"/>
  <c r="E81" i="34" s="1"/>
  <c r="W238" i="34" s="1"/>
  <c r="AI44" i="34"/>
  <c r="C5" i="34"/>
  <c r="D89" i="34"/>
  <c r="D90" i="34" s="1"/>
  <c r="D79" i="34"/>
  <c r="D81" i="34" s="1"/>
  <c r="D7" i="34" s="1"/>
  <c r="B5" i="34"/>
  <c r="C79" i="34"/>
  <c r="C81" i="34" s="1"/>
  <c r="U238" i="34" s="1"/>
  <c r="AH58" i="34"/>
  <c r="AI40" i="34"/>
  <c r="H4" i="34"/>
  <c r="H7" i="34"/>
  <c r="F7" i="34"/>
  <c r="AD82" i="34"/>
  <c r="AQ238" i="34"/>
  <c r="AG79" i="34"/>
  <c r="AG238" i="34"/>
  <c r="O82" i="34"/>
  <c r="O7" i="34"/>
  <c r="Z7" i="34"/>
  <c r="AR238" i="34"/>
  <c r="Z82" i="34"/>
  <c r="G218" i="34"/>
  <c r="AO238" i="34"/>
  <c r="W7" i="34"/>
  <c r="AF7" i="34"/>
  <c r="AX238" i="34"/>
  <c r="Q82" i="34"/>
  <c r="Q7" i="34"/>
  <c r="AI238" i="34"/>
  <c r="G90" i="34"/>
  <c r="O90" i="34"/>
  <c r="Y238" i="34"/>
  <c r="T7" i="34"/>
  <c r="AL238" i="34"/>
  <c r="T82" i="34"/>
  <c r="AB7" i="34"/>
  <c r="AT238" i="34"/>
  <c r="AB82" i="34"/>
  <c r="AG81" i="34"/>
  <c r="AP238" i="34"/>
  <c r="X82" i="34"/>
  <c r="X7" i="34"/>
  <c r="U7" i="34"/>
  <c r="AM238" i="34"/>
  <c r="I5" i="34"/>
  <c r="Q5" i="34"/>
  <c r="Y5" i="34"/>
  <c r="D235" i="34"/>
  <c r="AI58" i="34"/>
  <c r="AI62" i="34"/>
  <c r="AI74" i="34"/>
  <c r="AH83" i="34"/>
  <c r="B89" i="34"/>
  <c r="B90" i="34" s="1"/>
  <c r="F223" i="34"/>
  <c r="F224" i="34" s="1"/>
  <c r="AH40" i="34"/>
  <c r="AH44" i="34"/>
  <c r="B79" i="34"/>
  <c r="AH85" i="34"/>
  <c r="AH86" i="34"/>
  <c r="B224" i="34"/>
  <c r="AH87" i="34"/>
  <c r="AH74" i="34"/>
  <c r="O103" i="33"/>
  <c r="O39" i="33"/>
  <c r="AK69" i="32"/>
  <c r="N39" i="33"/>
  <c r="M103" i="33"/>
  <c r="M39" i="33"/>
  <c r="I39" i="33"/>
  <c r="H39" i="33"/>
  <c r="AH39" i="33" s="1"/>
  <c r="G39" i="33"/>
  <c r="F39" i="33"/>
  <c r="E39" i="33"/>
  <c r="D103" i="33"/>
  <c r="D39" i="33"/>
  <c r="C103" i="33"/>
  <c r="C39" i="33"/>
  <c r="B103" i="33"/>
  <c r="AI103" i="33" s="1"/>
  <c r="B39" i="33"/>
  <c r="B74" i="33"/>
  <c r="B62" i="33"/>
  <c r="B58" i="33"/>
  <c r="B44" i="33"/>
  <c r="B40" i="33"/>
  <c r="AF263" i="33"/>
  <c r="AE263" i="33"/>
  <c r="AD263" i="33"/>
  <c r="AC263" i="33"/>
  <c r="AB263" i="33"/>
  <c r="AA263" i="33"/>
  <c r="Z263" i="33"/>
  <c r="Y263" i="33"/>
  <c r="X263" i="33"/>
  <c r="W263" i="33"/>
  <c r="V263" i="33"/>
  <c r="U263" i="33"/>
  <c r="T263" i="33"/>
  <c r="S263" i="33"/>
  <c r="R263" i="33"/>
  <c r="Q263" i="33"/>
  <c r="P263" i="33"/>
  <c r="O263" i="33"/>
  <c r="N263" i="33"/>
  <c r="M263" i="33"/>
  <c r="L263" i="33"/>
  <c r="K263" i="33"/>
  <c r="J263" i="33"/>
  <c r="I263" i="33"/>
  <c r="H263" i="33"/>
  <c r="G263" i="33"/>
  <c r="F263" i="33"/>
  <c r="E263" i="33"/>
  <c r="D263" i="33"/>
  <c r="C263" i="33"/>
  <c r="B263" i="33"/>
  <c r="A263" i="33"/>
  <c r="AF262" i="33"/>
  <c r="AE262" i="33"/>
  <c r="AD262" i="33"/>
  <c r="AC262" i="33"/>
  <c r="AB262" i="33"/>
  <c r="AA262" i="33"/>
  <c r="Z262" i="33"/>
  <c r="Y262" i="33"/>
  <c r="X262" i="33"/>
  <c r="W262" i="33"/>
  <c r="V262" i="33"/>
  <c r="U262" i="33"/>
  <c r="T262" i="33"/>
  <c r="S262" i="33"/>
  <c r="R262" i="33"/>
  <c r="Q262" i="33"/>
  <c r="P262" i="33"/>
  <c r="O262" i="33"/>
  <c r="N262" i="33"/>
  <c r="M262" i="33"/>
  <c r="L262" i="33"/>
  <c r="K262" i="33"/>
  <c r="J262" i="33"/>
  <c r="I262" i="33"/>
  <c r="H262" i="33"/>
  <c r="G262" i="33"/>
  <c r="F262" i="33"/>
  <c r="E262" i="33"/>
  <c r="D262" i="33"/>
  <c r="C262" i="33"/>
  <c r="B262" i="33"/>
  <c r="A262" i="33"/>
  <c r="AF261" i="33"/>
  <c r="AE261" i="33"/>
  <c r="AD261" i="33"/>
  <c r="AC261" i="33"/>
  <c r="AB261" i="33"/>
  <c r="AA261" i="33"/>
  <c r="Z261" i="33"/>
  <c r="Y261" i="33"/>
  <c r="X261" i="33"/>
  <c r="W261" i="33"/>
  <c r="V261" i="33"/>
  <c r="U261" i="33"/>
  <c r="T261" i="33"/>
  <c r="S261" i="33"/>
  <c r="R261" i="33"/>
  <c r="Q261" i="33"/>
  <c r="P261" i="33"/>
  <c r="O261" i="33"/>
  <c r="N261" i="33"/>
  <c r="M261" i="33"/>
  <c r="L261" i="33"/>
  <c r="K261" i="33"/>
  <c r="J261" i="33"/>
  <c r="I261" i="33"/>
  <c r="H261" i="33"/>
  <c r="G261" i="33"/>
  <c r="F261" i="33"/>
  <c r="E261" i="33"/>
  <c r="D261" i="33"/>
  <c r="C261" i="33"/>
  <c r="B261" i="33"/>
  <c r="A261" i="33"/>
  <c r="AF260" i="33"/>
  <c r="AE260" i="33"/>
  <c r="AD260" i="33"/>
  <c r="AC260" i="33"/>
  <c r="AB260" i="33"/>
  <c r="AA260" i="33"/>
  <c r="Z260" i="33"/>
  <c r="Y260" i="33"/>
  <c r="X260" i="33"/>
  <c r="W260" i="33"/>
  <c r="V260" i="33"/>
  <c r="U260" i="33"/>
  <c r="T260" i="33"/>
  <c r="S260" i="33"/>
  <c r="R260" i="33"/>
  <c r="Q260" i="33"/>
  <c r="P260" i="33"/>
  <c r="O260" i="33"/>
  <c r="N260" i="33"/>
  <c r="M260" i="33"/>
  <c r="L260" i="33"/>
  <c r="K260" i="33"/>
  <c r="J260" i="33"/>
  <c r="I260" i="33"/>
  <c r="H260" i="33"/>
  <c r="G260" i="33"/>
  <c r="F260" i="33"/>
  <c r="E260" i="33"/>
  <c r="D260" i="33"/>
  <c r="C260" i="33"/>
  <c r="B260" i="33"/>
  <c r="A260" i="33"/>
  <c r="AE259" i="33"/>
  <c r="AD259" i="33"/>
  <c r="AC259" i="33"/>
  <c r="AB259" i="33"/>
  <c r="AA259" i="33"/>
  <c r="Z259" i="33"/>
  <c r="Y259" i="33"/>
  <c r="X259" i="33"/>
  <c r="W259" i="33"/>
  <c r="V259" i="33"/>
  <c r="U259" i="33"/>
  <c r="T259" i="33"/>
  <c r="S259" i="33"/>
  <c r="R259" i="33"/>
  <c r="Q259" i="33"/>
  <c r="P259" i="33"/>
  <c r="B259" i="33"/>
  <c r="S234" i="33"/>
  <c r="AG224" i="33"/>
  <c r="AF224" i="33"/>
  <c r="AE224" i="33"/>
  <c r="AD224" i="33"/>
  <c r="AC224" i="33"/>
  <c r="AB224" i="33"/>
  <c r="AA224" i="33"/>
  <c r="Z224" i="33"/>
  <c r="Y224" i="33"/>
  <c r="X224" i="33"/>
  <c r="W224" i="33"/>
  <c r="V224" i="33"/>
  <c r="U224" i="33"/>
  <c r="T224" i="33"/>
  <c r="S224" i="33"/>
  <c r="R224" i="33"/>
  <c r="Q224" i="33"/>
  <c r="D224" i="33"/>
  <c r="C224" i="33"/>
  <c r="D223" i="33"/>
  <c r="C259" i="33" s="1"/>
  <c r="B223" i="33"/>
  <c r="AF259" i="33" s="1"/>
  <c r="E222" i="33"/>
  <c r="F222" i="33" s="1"/>
  <c r="G222" i="33" s="1"/>
  <c r="H222" i="33" s="1"/>
  <c r="I222" i="33" s="1"/>
  <c r="J222" i="33" s="1"/>
  <c r="K222" i="33" s="1"/>
  <c r="L222" i="33" s="1"/>
  <c r="M222" i="33" s="1"/>
  <c r="N222" i="33" s="1"/>
  <c r="O222" i="33" s="1"/>
  <c r="P222" i="33" s="1"/>
  <c r="D222" i="33"/>
  <c r="B222" i="33"/>
  <c r="D221" i="33"/>
  <c r="E221" i="33" s="1"/>
  <c r="F221" i="33" s="1"/>
  <c r="G221" i="33" s="1"/>
  <c r="H221" i="33" s="1"/>
  <c r="I221" i="33" s="1"/>
  <c r="J221" i="33" s="1"/>
  <c r="K221" i="33" s="1"/>
  <c r="L221" i="33" s="1"/>
  <c r="M221" i="33" s="1"/>
  <c r="N221" i="33" s="1"/>
  <c r="O221" i="33" s="1"/>
  <c r="P221" i="33" s="1"/>
  <c r="B221" i="33"/>
  <c r="D220" i="33"/>
  <c r="E220" i="33" s="1"/>
  <c r="F220" i="33" s="1"/>
  <c r="G220" i="33" s="1"/>
  <c r="H220" i="33" s="1"/>
  <c r="I220" i="33" s="1"/>
  <c r="J220" i="33" s="1"/>
  <c r="K220" i="33" s="1"/>
  <c r="L220" i="33" s="1"/>
  <c r="M220" i="33" s="1"/>
  <c r="N220" i="33" s="1"/>
  <c r="O220" i="33" s="1"/>
  <c r="P220" i="33" s="1"/>
  <c r="B220" i="33"/>
  <c r="E219" i="33"/>
  <c r="F219" i="33" s="1"/>
  <c r="D219" i="33"/>
  <c r="B219" i="33"/>
  <c r="D218" i="33"/>
  <c r="E218" i="33" s="1"/>
  <c r="B218" i="33"/>
  <c r="AG216" i="33"/>
  <c r="AF216" i="33"/>
  <c r="AE216" i="33"/>
  <c r="AD216" i="33"/>
  <c r="AC216" i="33"/>
  <c r="AB216" i="33"/>
  <c r="AA216" i="33"/>
  <c r="Z216" i="33"/>
  <c r="Y216" i="33"/>
  <c r="X216" i="33"/>
  <c r="W216" i="33"/>
  <c r="V216" i="33"/>
  <c r="U216" i="33"/>
  <c r="T216" i="33"/>
  <c r="S216" i="33"/>
  <c r="R216" i="33"/>
  <c r="Q216" i="33"/>
  <c r="P216" i="33"/>
  <c r="O216" i="33"/>
  <c r="N216" i="33"/>
  <c r="M216" i="33"/>
  <c r="L216" i="33"/>
  <c r="K216" i="33"/>
  <c r="J216" i="33"/>
  <c r="I216" i="33"/>
  <c r="H216" i="33"/>
  <c r="G216" i="33"/>
  <c r="F216" i="33"/>
  <c r="E216" i="33"/>
  <c r="D216" i="33"/>
  <c r="C216" i="33"/>
  <c r="B216" i="33"/>
  <c r="AI109" i="33"/>
  <c r="AH109" i="33"/>
  <c r="AI108" i="33"/>
  <c r="AH108" i="33"/>
  <c r="AI107" i="33"/>
  <c r="AH107" i="33"/>
  <c r="AI106" i="33"/>
  <c r="AH106" i="33"/>
  <c r="AI105" i="33"/>
  <c r="AH105" i="33"/>
  <c r="AI104" i="33"/>
  <c r="AH104" i="33"/>
  <c r="AI102" i="33"/>
  <c r="AH102" i="33"/>
  <c r="AI101" i="33"/>
  <c r="AH101" i="33"/>
  <c r="AF100" i="33"/>
  <c r="AD100" i="33"/>
  <c r="AC100" i="33"/>
  <c r="AB100" i="33"/>
  <c r="AA100" i="33"/>
  <c r="Z100" i="33"/>
  <c r="Y100" i="33"/>
  <c r="X100" i="33"/>
  <c r="W100" i="33"/>
  <c r="V100" i="33"/>
  <c r="U100" i="33"/>
  <c r="T100" i="33"/>
  <c r="S100" i="33"/>
  <c r="R100" i="33"/>
  <c r="Q100" i="33"/>
  <c r="D100" i="33"/>
  <c r="C100" i="33"/>
  <c r="AI99" i="33"/>
  <c r="AH99" i="33"/>
  <c r="AI98" i="33"/>
  <c r="AH98" i="33"/>
  <c r="AI97" i="33"/>
  <c r="AH97" i="33"/>
  <c r="AI96" i="33"/>
  <c r="AH96" i="33"/>
  <c r="AI95" i="33"/>
  <c r="AH95" i="33"/>
  <c r="AI94" i="33"/>
  <c r="AH94" i="33"/>
  <c r="AI93" i="33"/>
  <c r="AH93" i="33"/>
  <c r="AI92" i="33"/>
  <c r="AH92" i="33"/>
  <c r="AI91" i="33"/>
  <c r="AH91" i="33"/>
  <c r="AI88" i="33"/>
  <c r="AH88" i="33"/>
  <c r="AF87" i="33"/>
  <c r="AE87" i="33"/>
  <c r="AD87" i="33"/>
  <c r="AC87" i="33"/>
  <c r="AB87" i="33"/>
  <c r="AA87" i="33"/>
  <c r="Z87" i="33"/>
  <c r="Y87" i="33"/>
  <c r="X87" i="33"/>
  <c r="W87" i="33"/>
  <c r="V87" i="33"/>
  <c r="U87" i="33"/>
  <c r="T87" i="33"/>
  <c r="S87" i="33"/>
  <c r="R87" i="33"/>
  <c r="Q87" i="33"/>
  <c r="P87" i="33"/>
  <c r="O87" i="33"/>
  <c r="N87" i="33"/>
  <c r="M87" i="33"/>
  <c r="L87" i="33"/>
  <c r="K87" i="33"/>
  <c r="J87" i="33"/>
  <c r="I87" i="33"/>
  <c r="H87" i="33"/>
  <c r="G87" i="33"/>
  <c r="F87" i="33"/>
  <c r="E87" i="33"/>
  <c r="D87" i="33"/>
  <c r="C87" i="33"/>
  <c r="B87" i="33"/>
  <c r="AF86" i="33"/>
  <c r="AE86" i="33"/>
  <c r="AD86" i="33"/>
  <c r="AC86" i="33"/>
  <c r="AB86" i="33"/>
  <c r="AA86" i="33"/>
  <c r="Z86" i="33"/>
  <c r="Y86" i="33"/>
  <c r="X86" i="33"/>
  <c r="W86" i="33"/>
  <c r="V86" i="33"/>
  <c r="U86" i="33"/>
  <c r="T86" i="33"/>
  <c r="S86" i="33"/>
  <c r="R86" i="33"/>
  <c r="Q86" i="33"/>
  <c r="P86" i="33"/>
  <c r="O86" i="33"/>
  <c r="N86" i="33"/>
  <c r="M86" i="33"/>
  <c r="L86" i="33"/>
  <c r="K86" i="33"/>
  <c r="J86" i="33"/>
  <c r="I86" i="33"/>
  <c r="H86" i="33"/>
  <c r="G86" i="33"/>
  <c r="F86" i="33"/>
  <c r="E86" i="33"/>
  <c r="D86" i="33"/>
  <c r="C86" i="33"/>
  <c r="B86" i="33"/>
  <c r="AF85" i="33"/>
  <c r="AE85" i="33"/>
  <c r="AD85" i="33"/>
  <c r="AC85" i="33"/>
  <c r="AB85" i="33"/>
  <c r="AA85" i="33"/>
  <c r="Z85" i="33"/>
  <c r="Y85" i="33"/>
  <c r="X85" i="33"/>
  <c r="W85" i="33"/>
  <c r="V85" i="33"/>
  <c r="U85" i="33"/>
  <c r="T85" i="33"/>
  <c r="S85" i="33"/>
  <c r="R85" i="33"/>
  <c r="Q85" i="33"/>
  <c r="P85" i="33"/>
  <c r="O85" i="33"/>
  <c r="N85" i="33"/>
  <c r="M85" i="33"/>
  <c r="L85" i="33"/>
  <c r="K85" i="33"/>
  <c r="J85" i="33"/>
  <c r="I85" i="33"/>
  <c r="H85" i="33"/>
  <c r="G85" i="33"/>
  <c r="F85" i="33"/>
  <c r="E85" i="33"/>
  <c r="D85" i="33"/>
  <c r="C85" i="33"/>
  <c r="B85" i="33"/>
  <c r="AF84" i="33"/>
  <c r="AE84" i="33"/>
  <c r="AD84" i="33"/>
  <c r="AC84" i="33"/>
  <c r="AB84" i="33"/>
  <c r="AA84" i="33"/>
  <c r="Z84" i="33"/>
  <c r="Y84" i="33"/>
  <c r="X84" i="33"/>
  <c r="W84" i="33"/>
  <c r="V84" i="33"/>
  <c r="U84" i="33"/>
  <c r="T84" i="33"/>
  <c r="S84" i="33"/>
  <c r="R84" i="33"/>
  <c r="Q84" i="33"/>
  <c r="P84" i="33"/>
  <c r="O84" i="33"/>
  <c r="N84" i="33"/>
  <c r="M84" i="33"/>
  <c r="L84" i="33"/>
  <c r="K84" i="33"/>
  <c r="J84" i="33"/>
  <c r="I84" i="33"/>
  <c r="H84" i="33"/>
  <c r="G84" i="33"/>
  <c r="F84" i="33"/>
  <c r="E84" i="33"/>
  <c r="D84" i="33"/>
  <c r="C84" i="33"/>
  <c r="B84" i="33"/>
  <c r="AF83" i="33"/>
  <c r="AE83" i="33"/>
  <c r="AD83" i="33"/>
  <c r="AC83" i="33"/>
  <c r="AB83" i="33"/>
  <c r="AA83" i="33"/>
  <c r="Z83" i="33"/>
  <c r="Y83" i="33"/>
  <c r="X83" i="33"/>
  <c r="W83" i="33"/>
  <c r="V83" i="33"/>
  <c r="U83" i="33"/>
  <c r="T83" i="33"/>
  <c r="S83" i="33"/>
  <c r="S89" i="33" s="1"/>
  <c r="R83" i="33"/>
  <c r="Q83" i="33"/>
  <c r="P83" i="33"/>
  <c r="O83" i="33"/>
  <c r="N83" i="33"/>
  <c r="M83" i="33"/>
  <c r="L83" i="33"/>
  <c r="K83" i="33"/>
  <c r="J83" i="33"/>
  <c r="I83" i="33"/>
  <c r="I89" i="33" s="1"/>
  <c r="H83" i="33"/>
  <c r="G83" i="33"/>
  <c r="F83" i="33"/>
  <c r="E83" i="33"/>
  <c r="D83" i="33"/>
  <c r="D89" i="33" s="1"/>
  <c r="C83" i="33"/>
  <c r="B83" i="33"/>
  <c r="AI80" i="33"/>
  <c r="AH80" i="33"/>
  <c r="AI78" i="33"/>
  <c r="AH78" i="33"/>
  <c r="AG78" i="33"/>
  <c r="AI77" i="33"/>
  <c r="AH77" i="33"/>
  <c r="AI76" i="33"/>
  <c r="AH76" i="33"/>
  <c r="AI75" i="33"/>
  <c r="AH75" i="33"/>
  <c r="AG74" i="33"/>
  <c r="AF74" i="33"/>
  <c r="AE5" i="33" s="1"/>
  <c r="AE74" i="33"/>
  <c r="AD5" i="33" s="1"/>
  <c r="AD74" i="33"/>
  <c r="AC74" i="33"/>
  <c r="AB74" i="33"/>
  <c r="AA74" i="33"/>
  <c r="Z5" i="33" s="1"/>
  <c r="Z74" i="33"/>
  <c r="Y74" i="33"/>
  <c r="X74" i="33"/>
  <c r="W74" i="33"/>
  <c r="V74" i="33"/>
  <c r="U74" i="33"/>
  <c r="T5" i="33" s="1"/>
  <c r="T74" i="33"/>
  <c r="S74" i="33"/>
  <c r="R5" i="33" s="1"/>
  <c r="R74" i="33"/>
  <c r="Q74" i="33"/>
  <c r="P74" i="33"/>
  <c r="O5" i="33" s="1"/>
  <c r="O74" i="33"/>
  <c r="N74" i="33"/>
  <c r="M74" i="33"/>
  <c r="L74" i="33"/>
  <c r="K5" i="33" s="1"/>
  <c r="K74" i="33"/>
  <c r="J5" i="33" s="1"/>
  <c r="J74" i="33"/>
  <c r="I74" i="33"/>
  <c r="H5" i="33" s="1"/>
  <c r="H74" i="33"/>
  <c r="G5" i="33" s="1"/>
  <c r="G74" i="33"/>
  <c r="F74" i="33"/>
  <c r="E74" i="33"/>
  <c r="D74" i="33"/>
  <c r="C5" i="33" s="1"/>
  <c r="C74" i="33"/>
  <c r="B5" i="33" s="1"/>
  <c r="AF5" i="33"/>
  <c r="AI73" i="33"/>
  <c r="AH73" i="33"/>
  <c r="AI72" i="33"/>
  <c r="AH72" i="33"/>
  <c r="AI71" i="33"/>
  <c r="AH71" i="33"/>
  <c r="AI70" i="33"/>
  <c r="AH70" i="33"/>
  <c r="AI69" i="33"/>
  <c r="AH69" i="33"/>
  <c r="AI68" i="33"/>
  <c r="AH68" i="33"/>
  <c r="AI67" i="33"/>
  <c r="AH67" i="33"/>
  <c r="AI66" i="33"/>
  <c r="AH66" i="33"/>
  <c r="AI65" i="33"/>
  <c r="AH65" i="33"/>
  <c r="AI64" i="33"/>
  <c r="AH64" i="33"/>
  <c r="AI63" i="33"/>
  <c r="AH63" i="33"/>
  <c r="AG62" i="33"/>
  <c r="AF62" i="33"/>
  <c r="AE62" i="33"/>
  <c r="AD62" i="33"/>
  <c r="AC62" i="33"/>
  <c r="AB62" i="33"/>
  <c r="AA62" i="33"/>
  <c r="Z62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AI61" i="33"/>
  <c r="AH61" i="33"/>
  <c r="AI60" i="33"/>
  <c r="AH60" i="33"/>
  <c r="AI59" i="33"/>
  <c r="AH59" i="33"/>
  <c r="AF58" i="33"/>
  <c r="AE58" i="33"/>
  <c r="AD58" i="33"/>
  <c r="AC58" i="33"/>
  <c r="AB58" i="33"/>
  <c r="AA58" i="33"/>
  <c r="Z58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AI57" i="33"/>
  <c r="AH57" i="33"/>
  <c r="AG57" i="33"/>
  <c r="AG58" i="33" s="1"/>
  <c r="AG3" i="33" s="1"/>
  <c r="AI56" i="33"/>
  <c r="AH56" i="33"/>
  <c r="AI55" i="33"/>
  <c r="AH55" i="33"/>
  <c r="AI54" i="33"/>
  <c r="AH54" i="33"/>
  <c r="AI53" i="33"/>
  <c r="AH53" i="33"/>
  <c r="AI52" i="33"/>
  <c r="AH52" i="33"/>
  <c r="AI51" i="33"/>
  <c r="AH51" i="33"/>
  <c r="AI50" i="33"/>
  <c r="AH50" i="33"/>
  <c r="AI49" i="33"/>
  <c r="AH49" i="33"/>
  <c r="AI48" i="33"/>
  <c r="AH48" i="33"/>
  <c r="AI47" i="33"/>
  <c r="AH47" i="33"/>
  <c r="AI46" i="33"/>
  <c r="AH46" i="33"/>
  <c r="AI45" i="33"/>
  <c r="AH45" i="33"/>
  <c r="AG44" i="33"/>
  <c r="AF44" i="33"/>
  <c r="AE44" i="33"/>
  <c r="AD44" i="33"/>
  <c r="AC44" i="33"/>
  <c r="AB44" i="33"/>
  <c r="AA44" i="33"/>
  <c r="Z44" i="33"/>
  <c r="Y44" i="33"/>
  <c r="X44" i="33"/>
  <c r="W44" i="33"/>
  <c r="V44" i="33"/>
  <c r="U44" i="33"/>
  <c r="T44" i="33"/>
  <c r="S44" i="33"/>
  <c r="R44" i="33"/>
  <c r="Q44" i="33"/>
  <c r="P44" i="33"/>
  <c r="O44" i="33"/>
  <c r="N44" i="33"/>
  <c r="M44" i="33"/>
  <c r="L44" i="33"/>
  <c r="K44" i="33"/>
  <c r="J44" i="33"/>
  <c r="I44" i="33"/>
  <c r="H44" i="33"/>
  <c r="G44" i="33"/>
  <c r="F44" i="33"/>
  <c r="E44" i="33"/>
  <c r="D44" i="33"/>
  <c r="C44" i="33"/>
  <c r="AI43" i="33"/>
  <c r="AH43" i="33"/>
  <c r="AI42" i="33"/>
  <c r="AH42" i="33"/>
  <c r="AI41" i="33"/>
  <c r="AH41" i="33"/>
  <c r="AG40" i="33"/>
  <c r="AG79" i="33" s="1"/>
  <c r="AF40" i="33"/>
  <c r="AE40" i="33"/>
  <c r="AD40" i="33"/>
  <c r="AC40" i="33"/>
  <c r="AB40" i="33"/>
  <c r="AA40" i="33"/>
  <c r="Z40" i="33"/>
  <c r="Y40" i="33"/>
  <c r="X40" i="33"/>
  <c r="W40" i="33"/>
  <c r="V40" i="33"/>
  <c r="U40" i="33"/>
  <c r="T40" i="33"/>
  <c r="S40" i="33"/>
  <c r="R40" i="33"/>
  <c r="Q40" i="33"/>
  <c r="P40" i="33"/>
  <c r="O40" i="33"/>
  <c r="N40" i="33"/>
  <c r="M40" i="33"/>
  <c r="L40" i="33"/>
  <c r="K40" i="33"/>
  <c r="J40" i="33"/>
  <c r="I40" i="33"/>
  <c r="H40" i="33"/>
  <c r="G40" i="33"/>
  <c r="F40" i="33"/>
  <c r="E40" i="33"/>
  <c r="D40" i="33"/>
  <c r="C40" i="33"/>
  <c r="AI38" i="33"/>
  <c r="AH38" i="33"/>
  <c r="AI37" i="33"/>
  <c r="AH37" i="33"/>
  <c r="AI36" i="33"/>
  <c r="AH36" i="33"/>
  <c r="AI35" i="33"/>
  <c r="AH35" i="33"/>
  <c r="AI34" i="33"/>
  <c r="AH34" i="33"/>
  <c r="AI33" i="33"/>
  <c r="AH33" i="33"/>
  <c r="AI32" i="33"/>
  <c r="AH32" i="33"/>
  <c r="AI31" i="33"/>
  <c r="AH31" i="33"/>
  <c r="AI30" i="33"/>
  <c r="AH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AI23" i="33"/>
  <c r="AH23" i="33"/>
  <c r="AI22" i="33"/>
  <c r="AH22" i="33"/>
  <c r="AI21" i="33"/>
  <c r="AH21" i="33"/>
  <c r="AI20" i="33"/>
  <c r="AH20" i="33"/>
  <c r="AI19" i="33"/>
  <c r="AH19" i="33"/>
  <c r="AI18" i="33"/>
  <c r="AH18" i="33"/>
  <c r="AI17" i="33"/>
  <c r="AH17" i="33"/>
  <c r="AI16" i="33"/>
  <c r="AH16" i="33"/>
  <c r="AI15" i="33"/>
  <c r="AH15" i="33"/>
  <c r="AI14" i="33"/>
  <c r="AH14" i="33"/>
  <c r="AI13" i="33"/>
  <c r="AH13" i="33"/>
  <c r="AI12" i="33"/>
  <c r="AH12" i="33"/>
  <c r="AI11" i="33"/>
  <c r="AH11" i="33"/>
  <c r="AC5" i="33"/>
  <c r="AB5" i="33"/>
  <c r="AA5" i="33"/>
  <c r="W5" i="33"/>
  <c r="S5" i="33"/>
  <c r="AG4" i="33"/>
  <c r="K4" i="33"/>
  <c r="B4" i="33"/>
  <c r="D235" i="33" s="1"/>
  <c r="AG2" i="33"/>
  <c r="AF103" i="32"/>
  <c r="AF39" i="32"/>
  <c r="AE103" i="32"/>
  <c r="AE39" i="32"/>
  <c r="AD103" i="32"/>
  <c r="AD39" i="32"/>
  <c r="AC103" i="32"/>
  <c r="AC39" i="32"/>
  <c r="AB103" i="32"/>
  <c r="AB39" i="32"/>
  <c r="T39" i="32"/>
  <c r="S39" i="32"/>
  <c r="R103" i="32"/>
  <c r="R39" i="32"/>
  <c r="Q103" i="32"/>
  <c r="Q39" i="32"/>
  <c r="AI39" i="32" s="1"/>
  <c r="P103" i="32"/>
  <c r="P39" i="32"/>
  <c r="O103" i="32"/>
  <c r="O39" i="32"/>
  <c r="N103" i="32"/>
  <c r="N39" i="32"/>
  <c r="M103" i="32"/>
  <c r="M41" i="32"/>
  <c r="AI41" i="32" s="1"/>
  <c r="M39" i="32"/>
  <c r="B4" i="32"/>
  <c r="C103" i="32"/>
  <c r="C39" i="32"/>
  <c r="B103" i="32"/>
  <c r="B39" i="32"/>
  <c r="B87" i="32"/>
  <c r="B86" i="32"/>
  <c r="B85" i="32"/>
  <c r="B84" i="32"/>
  <c r="B83" i="32"/>
  <c r="B74" i="32"/>
  <c r="B62" i="32"/>
  <c r="B58" i="32"/>
  <c r="B44" i="32"/>
  <c r="B40" i="32"/>
  <c r="B79" i="32" s="1"/>
  <c r="AF263" i="32"/>
  <c r="AE263" i="32"/>
  <c r="AD263" i="32"/>
  <c r="AC263" i="32"/>
  <c r="AB263" i="32"/>
  <c r="AA263" i="32"/>
  <c r="Z263" i="32"/>
  <c r="Y263" i="32"/>
  <c r="X263" i="32"/>
  <c r="W263" i="32"/>
  <c r="V263" i="32"/>
  <c r="U263" i="32"/>
  <c r="T263" i="32"/>
  <c r="S263" i="32"/>
  <c r="R263" i="32"/>
  <c r="Q263" i="32"/>
  <c r="P263" i="32"/>
  <c r="O263" i="32"/>
  <c r="N263" i="32"/>
  <c r="M263" i="32"/>
  <c r="L263" i="32"/>
  <c r="K263" i="32"/>
  <c r="J263" i="32"/>
  <c r="I263" i="32"/>
  <c r="H263" i="32"/>
  <c r="G263" i="32"/>
  <c r="F263" i="32"/>
  <c r="E263" i="32"/>
  <c r="D263" i="32"/>
  <c r="C263" i="32"/>
  <c r="B263" i="32"/>
  <c r="A263" i="32"/>
  <c r="AF262" i="32"/>
  <c r="AE262" i="32"/>
  <c r="AD262" i="32"/>
  <c r="AC262" i="32"/>
  <c r="AB262" i="32"/>
  <c r="AA262" i="32"/>
  <c r="Z262" i="32"/>
  <c r="Y262" i="32"/>
  <c r="X262" i="32"/>
  <c r="W262" i="32"/>
  <c r="V262" i="32"/>
  <c r="U262" i="32"/>
  <c r="T262" i="32"/>
  <c r="S262" i="32"/>
  <c r="R262" i="32"/>
  <c r="Q262" i="32"/>
  <c r="P262" i="32"/>
  <c r="O262" i="32"/>
  <c r="N262" i="32"/>
  <c r="M262" i="32"/>
  <c r="L262" i="32"/>
  <c r="K262" i="32"/>
  <c r="J262" i="32"/>
  <c r="I262" i="32"/>
  <c r="H262" i="32"/>
  <c r="G262" i="32"/>
  <c r="F262" i="32"/>
  <c r="E262" i="32"/>
  <c r="D262" i="32"/>
  <c r="C262" i="32"/>
  <c r="B262" i="32"/>
  <c r="A262" i="32"/>
  <c r="AF261" i="32"/>
  <c r="AE261" i="32"/>
  <c r="AD261" i="32"/>
  <c r="AC261" i="32"/>
  <c r="AB261" i="32"/>
  <c r="AA261" i="32"/>
  <c r="Z261" i="32"/>
  <c r="Y261" i="32"/>
  <c r="X261" i="32"/>
  <c r="W261" i="32"/>
  <c r="V261" i="32"/>
  <c r="U261" i="32"/>
  <c r="T261" i="32"/>
  <c r="S261" i="32"/>
  <c r="R261" i="32"/>
  <c r="Q261" i="32"/>
  <c r="P261" i="32"/>
  <c r="O261" i="32"/>
  <c r="N261" i="32"/>
  <c r="M261" i="32"/>
  <c r="L261" i="32"/>
  <c r="K261" i="32"/>
  <c r="J261" i="32"/>
  <c r="I261" i="32"/>
  <c r="H261" i="32"/>
  <c r="G261" i="32"/>
  <c r="F261" i="32"/>
  <c r="E261" i="32"/>
  <c r="D261" i="32"/>
  <c r="C261" i="32"/>
  <c r="B261" i="32"/>
  <c r="A261" i="32"/>
  <c r="AF260" i="32"/>
  <c r="AE260" i="32"/>
  <c r="AD260" i="32"/>
  <c r="AC260" i="32"/>
  <c r="AB260" i="32"/>
  <c r="AA260" i="32"/>
  <c r="Z260" i="32"/>
  <c r="Y260" i="32"/>
  <c r="X260" i="32"/>
  <c r="W260" i="32"/>
  <c r="V260" i="32"/>
  <c r="U260" i="32"/>
  <c r="T260" i="32"/>
  <c r="S260" i="32"/>
  <c r="R260" i="32"/>
  <c r="Q260" i="32"/>
  <c r="P260" i="32"/>
  <c r="O260" i="32"/>
  <c r="N260" i="32"/>
  <c r="M260" i="32"/>
  <c r="L260" i="32"/>
  <c r="K260" i="32"/>
  <c r="J260" i="32"/>
  <c r="I260" i="32"/>
  <c r="H260" i="32"/>
  <c r="G260" i="32"/>
  <c r="F260" i="32"/>
  <c r="E260" i="32"/>
  <c r="D260" i="32"/>
  <c r="C260" i="32"/>
  <c r="B260" i="32"/>
  <c r="A260" i="32"/>
  <c r="AE259" i="32"/>
  <c r="AD259" i="32"/>
  <c r="AC259" i="32"/>
  <c r="AB259" i="32"/>
  <c r="AA259" i="32"/>
  <c r="Z259" i="32"/>
  <c r="Y259" i="32"/>
  <c r="X259" i="32"/>
  <c r="W259" i="32"/>
  <c r="V259" i="32"/>
  <c r="U259" i="32"/>
  <c r="T259" i="32"/>
  <c r="S259" i="32"/>
  <c r="R259" i="32"/>
  <c r="Q259" i="32"/>
  <c r="P259" i="32"/>
  <c r="B259" i="32"/>
  <c r="S234" i="32"/>
  <c r="AG224" i="32"/>
  <c r="AF224" i="32"/>
  <c r="AE224" i="32"/>
  <c r="AD224" i="32"/>
  <c r="AC224" i="32"/>
  <c r="AB224" i="32"/>
  <c r="AA224" i="32"/>
  <c r="Z224" i="32"/>
  <c r="Y224" i="32"/>
  <c r="X224" i="32"/>
  <c r="W224" i="32"/>
  <c r="V224" i="32"/>
  <c r="U224" i="32"/>
  <c r="T224" i="32"/>
  <c r="S224" i="32"/>
  <c r="R224" i="32"/>
  <c r="Q224" i="32"/>
  <c r="C224" i="32"/>
  <c r="D223" i="32"/>
  <c r="E223" i="32" s="1"/>
  <c r="D259" i="32" s="1"/>
  <c r="B223" i="32"/>
  <c r="AF259" i="32" s="1"/>
  <c r="D222" i="32"/>
  <c r="E222" i="32" s="1"/>
  <c r="F222" i="32" s="1"/>
  <c r="G222" i="32" s="1"/>
  <c r="H222" i="32" s="1"/>
  <c r="I222" i="32" s="1"/>
  <c r="J222" i="32" s="1"/>
  <c r="K222" i="32" s="1"/>
  <c r="L222" i="32" s="1"/>
  <c r="M222" i="32" s="1"/>
  <c r="N222" i="32" s="1"/>
  <c r="O222" i="32" s="1"/>
  <c r="P222" i="32" s="1"/>
  <c r="B222" i="32"/>
  <c r="D221" i="32"/>
  <c r="E221" i="32" s="1"/>
  <c r="F221" i="32" s="1"/>
  <c r="G221" i="32" s="1"/>
  <c r="H221" i="32" s="1"/>
  <c r="I221" i="32" s="1"/>
  <c r="J221" i="32" s="1"/>
  <c r="K221" i="32" s="1"/>
  <c r="L221" i="32" s="1"/>
  <c r="M221" i="32" s="1"/>
  <c r="N221" i="32" s="1"/>
  <c r="O221" i="32" s="1"/>
  <c r="P221" i="32" s="1"/>
  <c r="B221" i="32"/>
  <c r="D220" i="32"/>
  <c r="E220" i="32" s="1"/>
  <c r="F220" i="32" s="1"/>
  <c r="G220" i="32" s="1"/>
  <c r="H220" i="32" s="1"/>
  <c r="I220" i="32" s="1"/>
  <c r="J220" i="32" s="1"/>
  <c r="K220" i="32" s="1"/>
  <c r="L220" i="32" s="1"/>
  <c r="M220" i="32" s="1"/>
  <c r="N220" i="32" s="1"/>
  <c r="O220" i="32" s="1"/>
  <c r="P220" i="32" s="1"/>
  <c r="B220" i="32"/>
  <c r="D219" i="32"/>
  <c r="E219" i="32" s="1"/>
  <c r="F219" i="32" s="1"/>
  <c r="G219" i="32" s="1"/>
  <c r="H219" i="32" s="1"/>
  <c r="I219" i="32" s="1"/>
  <c r="J219" i="32" s="1"/>
  <c r="K219" i="32" s="1"/>
  <c r="L219" i="32" s="1"/>
  <c r="M219" i="32" s="1"/>
  <c r="N219" i="32" s="1"/>
  <c r="O219" i="32" s="1"/>
  <c r="P219" i="32" s="1"/>
  <c r="B219" i="32"/>
  <c r="D218" i="32"/>
  <c r="D224" i="32" s="1"/>
  <c r="B218" i="32"/>
  <c r="AG216" i="32"/>
  <c r="AF216" i="32"/>
  <c r="AE216" i="32"/>
  <c r="AD216" i="32"/>
  <c r="AC216" i="32"/>
  <c r="AB216" i="32"/>
  <c r="AA216" i="32"/>
  <c r="Z216" i="32"/>
  <c r="Y216" i="32"/>
  <c r="X216" i="32"/>
  <c r="W216" i="32"/>
  <c r="V216" i="32"/>
  <c r="U216" i="32"/>
  <c r="T216" i="32"/>
  <c r="S216" i="32"/>
  <c r="R216" i="32"/>
  <c r="Q216" i="32"/>
  <c r="P216" i="32"/>
  <c r="O216" i="32"/>
  <c r="N216" i="32"/>
  <c r="M216" i="32"/>
  <c r="L216" i="32"/>
  <c r="K216" i="32"/>
  <c r="J216" i="32"/>
  <c r="I216" i="32"/>
  <c r="H216" i="32"/>
  <c r="G216" i="32"/>
  <c r="F216" i="32"/>
  <c r="E216" i="32"/>
  <c r="D216" i="32"/>
  <c r="C216" i="32"/>
  <c r="B216" i="32"/>
  <c r="AI109" i="32"/>
  <c r="AH109" i="32"/>
  <c r="AI108" i="32"/>
  <c r="AH108" i="32"/>
  <c r="AI107" i="32"/>
  <c r="AH107" i="32"/>
  <c r="AI106" i="32"/>
  <c r="AH106" i="32"/>
  <c r="AI105" i="32"/>
  <c r="AH105" i="32"/>
  <c r="AI104" i="32"/>
  <c r="AH104" i="32"/>
  <c r="AI103" i="32"/>
  <c r="AH103" i="32"/>
  <c r="AI102" i="32"/>
  <c r="AH102" i="32"/>
  <c r="AI101" i="32"/>
  <c r="AH101" i="32"/>
  <c r="AF100" i="32"/>
  <c r="AE100" i="32"/>
  <c r="AD100" i="32"/>
  <c r="AC100" i="32"/>
  <c r="AB100" i="32"/>
  <c r="AA100" i="32"/>
  <c r="Z100" i="32"/>
  <c r="Y100" i="32"/>
  <c r="X100" i="32"/>
  <c r="W100" i="32"/>
  <c r="V100" i="32"/>
  <c r="U100" i="32"/>
  <c r="T100" i="32"/>
  <c r="S100" i="32"/>
  <c r="R100" i="32"/>
  <c r="Q100" i="32"/>
  <c r="C100" i="32"/>
  <c r="AI99" i="32"/>
  <c r="AH99" i="32"/>
  <c r="AI98" i="32"/>
  <c r="AH98" i="32"/>
  <c r="AI97" i="32"/>
  <c r="AH97" i="32"/>
  <c r="AI96" i="32"/>
  <c r="AH96" i="32"/>
  <c r="AI95" i="32"/>
  <c r="AH95" i="32"/>
  <c r="AI94" i="32"/>
  <c r="AH94" i="32"/>
  <c r="AI93" i="32"/>
  <c r="AH93" i="32"/>
  <c r="AI92" i="32"/>
  <c r="AH92" i="32"/>
  <c r="AI91" i="32"/>
  <c r="AH91" i="32"/>
  <c r="AI88" i="32"/>
  <c r="AH88" i="32"/>
  <c r="AF87" i="32"/>
  <c r="AE87" i="32"/>
  <c r="AD87" i="32"/>
  <c r="AC87" i="32"/>
  <c r="AB87" i="32"/>
  <c r="AA87" i="32"/>
  <c r="Z87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AF86" i="32"/>
  <c r="AE86" i="32"/>
  <c r="AD86" i="32"/>
  <c r="AC86" i="32"/>
  <c r="AB86" i="32"/>
  <c r="AA86" i="32"/>
  <c r="Z86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AF85" i="32"/>
  <c r="AE85" i="32"/>
  <c r="AD85" i="32"/>
  <c r="AC85" i="32"/>
  <c r="AB85" i="32"/>
  <c r="AA85" i="32"/>
  <c r="Z85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AF84" i="32"/>
  <c r="AE84" i="32"/>
  <c r="AD84" i="32"/>
  <c r="AC84" i="32"/>
  <c r="AB84" i="32"/>
  <c r="AA84" i="32"/>
  <c r="Z84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AF83" i="32"/>
  <c r="AE83" i="32"/>
  <c r="AD83" i="32"/>
  <c r="AC83" i="32"/>
  <c r="AB83" i="32"/>
  <c r="AA83" i="32"/>
  <c r="Z83" i="32"/>
  <c r="Y83" i="32"/>
  <c r="X83" i="32"/>
  <c r="W83" i="32"/>
  <c r="W89" i="32" s="1"/>
  <c r="V83" i="32"/>
  <c r="U83" i="32"/>
  <c r="T83" i="32"/>
  <c r="S83" i="32"/>
  <c r="R83" i="32"/>
  <c r="R89" i="32" s="1"/>
  <c r="Q83" i="32"/>
  <c r="P83" i="32"/>
  <c r="O83" i="32"/>
  <c r="O89" i="32" s="1"/>
  <c r="N83" i="32"/>
  <c r="M83" i="32"/>
  <c r="L83" i="32"/>
  <c r="K83" i="32"/>
  <c r="J83" i="32"/>
  <c r="J89" i="32" s="1"/>
  <c r="I83" i="32"/>
  <c r="H83" i="32"/>
  <c r="G83" i="32"/>
  <c r="F83" i="32"/>
  <c r="E83" i="32"/>
  <c r="D83" i="32"/>
  <c r="C83" i="32"/>
  <c r="AI80" i="32"/>
  <c r="AH80" i="32"/>
  <c r="AI78" i="32"/>
  <c r="AH78" i="32"/>
  <c r="AG78" i="32"/>
  <c r="AI77" i="32"/>
  <c r="AH77" i="32"/>
  <c r="AI76" i="32"/>
  <c r="AH76" i="32"/>
  <c r="AI75" i="32"/>
  <c r="AH75" i="32"/>
  <c r="AG74" i="32"/>
  <c r="AF74" i="32"/>
  <c r="AE5" i="32" s="1"/>
  <c r="AE74" i="32"/>
  <c r="AD5" i="32" s="1"/>
  <c r="AD74" i="32"/>
  <c r="AC74" i="32"/>
  <c r="AB74" i="32"/>
  <c r="AA5" i="32" s="1"/>
  <c r="AA74" i="32"/>
  <c r="Z74" i="32"/>
  <c r="Y5" i="32" s="1"/>
  <c r="Y74" i="32"/>
  <c r="X74" i="32"/>
  <c r="W5" i="32" s="1"/>
  <c r="W74" i="32"/>
  <c r="V5" i="32" s="1"/>
  <c r="V74" i="32"/>
  <c r="U5" i="32" s="1"/>
  <c r="U74" i="32"/>
  <c r="T5" i="32" s="1"/>
  <c r="T74" i="32"/>
  <c r="S5" i="32" s="1"/>
  <c r="S74" i="32"/>
  <c r="R5" i="32" s="1"/>
  <c r="R74" i="32"/>
  <c r="Q74" i="32"/>
  <c r="P5" i="32" s="1"/>
  <c r="P74" i="32"/>
  <c r="O5" i="32" s="1"/>
  <c r="O74" i="32"/>
  <c r="N5" i="32" s="1"/>
  <c r="N74" i="32"/>
  <c r="M5" i="32" s="1"/>
  <c r="M74" i="32"/>
  <c r="L74" i="32"/>
  <c r="K5" i="32" s="1"/>
  <c r="K74" i="32"/>
  <c r="J5" i="32" s="1"/>
  <c r="J74" i="32"/>
  <c r="I5" i="32" s="1"/>
  <c r="I74" i="32"/>
  <c r="H5" i="32" s="1"/>
  <c r="H74" i="32"/>
  <c r="G5" i="32" s="1"/>
  <c r="G74" i="32"/>
  <c r="F5" i="32" s="1"/>
  <c r="F74" i="32"/>
  <c r="E5" i="32" s="1"/>
  <c r="E74" i="32"/>
  <c r="D5" i="32" s="1"/>
  <c r="D74" i="32"/>
  <c r="C5" i="32" s="1"/>
  <c r="C74" i="32"/>
  <c r="AI73" i="32"/>
  <c r="AH73" i="32"/>
  <c r="AI72" i="32"/>
  <c r="AH72" i="32"/>
  <c r="AI71" i="32"/>
  <c r="AH71" i="32"/>
  <c r="AI70" i="32"/>
  <c r="AH70" i="32"/>
  <c r="AI69" i="32"/>
  <c r="AH69" i="32"/>
  <c r="AI68" i="32"/>
  <c r="AH68" i="32"/>
  <c r="AI67" i="32"/>
  <c r="AH67" i="32"/>
  <c r="AI66" i="32"/>
  <c r="AH66" i="32"/>
  <c r="AI65" i="32"/>
  <c r="AH65" i="32"/>
  <c r="AI64" i="32"/>
  <c r="AH64" i="32"/>
  <c r="AI63" i="32"/>
  <c r="AH63" i="32"/>
  <c r="AG62" i="32"/>
  <c r="AG4" i="32" s="1"/>
  <c r="AF62" i="32"/>
  <c r="AE62" i="32"/>
  <c r="AD62" i="32"/>
  <c r="AC62" i="32"/>
  <c r="AB62" i="32"/>
  <c r="AA62" i="32"/>
  <c r="Z62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AI61" i="32"/>
  <c r="AH61" i="32"/>
  <c r="AI60" i="32"/>
  <c r="AH60" i="32"/>
  <c r="AI59" i="32"/>
  <c r="AH59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I57" i="32"/>
  <c r="AH57" i="32"/>
  <c r="AG57" i="32"/>
  <c r="AG58" i="32" s="1"/>
  <c r="AG3" i="32" s="1"/>
  <c r="AI56" i="32"/>
  <c r="AH56" i="32"/>
  <c r="AI55" i="32"/>
  <c r="AH55" i="32"/>
  <c r="AI54" i="32"/>
  <c r="AH54" i="32"/>
  <c r="AI53" i="32"/>
  <c r="AH53" i="32"/>
  <c r="AI52" i="32"/>
  <c r="AH52" i="32"/>
  <c r="AI51" i="32"/>
  <c r="AH51" i="32"/>
  <c r="AI50" i="32"/>
  <c r="AH50" i="32"/>
  <c r="AI49" i="32"/>
  <c r="AH49" i="32"/>
  <c r="AI48" i="32"/>
  <c r="AH48" i="32"/>
  <c r="AI47" i="32"/>
  <c r="AH47" i="32"/>
  <c r="AI46" i="32"/>
  <c r="AH46" i="32"/>
  <c r="AI45" i="32"/>
  <c r="AH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L44" i="32"/>
  <c r="K44" i="32"/>
  <c r="J44" i="32"/>
  <c r="I44" i="32"/>
  <c r="H44" i="32"/>
  <c r="G44" i="32"/>
  <c r="F44" i="32"/>
  <c r="E44" i="32"/>
  <c r="D44" i="32"/>
  <c r="C44" i="32"/>
  <c r="AI43" i="32"/>
  <c r="AH43" i="32"/>
  <c r="AI42" i="32"/>
  <c r="AH42" i="32"/>
  <c r="AG40" i="32"/>
  <c r="AF40" i="32"/>
  <c r="AE40" i="32"/>
  <c r="AD40" i="32"/>
  <c r="AC40" i="32"/>
  <c r="AB40" i="32"/>
  <c r="AA40" i="32"/>
  <c r="AA79" i="32" s="1"/>
  <c r="AA81" i="32" s="1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I38" i="32"/>
  <c r="AH38" i="32"/>
  <c r="AI37" i="32"/>
  <c r="AH37" i="32"/>
  <c r="AI36" i="32"/>
  <c r="AH36" i="32"/>
  <c r="AI35" i="32"/>
  <c r="AH35" i="32"/>
  <c r="AI34" i="32"/>
  <c r="AH34" i="32"/>
  <c r="AI33" i="32"/>
  <c r="AH33" i="32"/>
  <c r="AI32" i="32"/>
  <c r="AH32" i="32"/>
  <c r="AI31" i="32"/>
  <c r="AH31" i="32"/>
  <c r="AI30" i="32"/>
  <c r="AH30" i="32"/>
  <c r="AI29" i="32"/>
  <c r="AH29" i="32"/>
  <c r="AI28" i="32"/>
  <c r="AH28" i="32"/>
  <c r="AI27" i="32"/>
  <c r="AH27" i="32"/>
  <c r="AI26" i="32"/>
  <c r="AH26" i="32"/>
  <c r="AI25" i="32"/>
  <c r="AH25" i="32"/>
  <c r="AI24" i="32"/>
  <c r="AH24" i="32"/>
  <c r="AI23" i="32"/>
  <c r="AH23" i="32"/>
  <c r="AI22" i="32"/>
  <c r="AH22" i="32"/>
  <c r="AI21" i="32"/>
  <c r="AH21" i="32"/>
  <c r="AI20" i="32"/>
  <c r="AH20" i="32"/>
  <c r="AI19" i="32"/>
  <c r="AH19" i="32"/>
  <c r="AI18" i="32"/>
  <c r="AH18" i="32"/>
  <c r="AI17" i="32"/>
  <c r="AH17" i="32"/>
  <c r="AI16" i="32"/>
  <c r="AH16" i="32"/>
  <c r="AI15" i="32"/>
  <c r="AH15" i="32"/>
  <c r="AI14" i="32"/>
  <c r="AH14" i="32"/>
  <c r="AI13" i="32"/>
  <c r="AH13" i="32"/>
  <c r="AI12" i="32"/>
  <c r="AH12" i="32"/>
  <c r="AI11" i="32"/>
  <c r="AH11" i="32"/>
  <c r="AF5" i="32"/>
  <c r="AC5" i="32"/>
  <c r="Z5" i="32"/>
  <c r="L5" i="32"/>
  <c r="K4" i="32"/>
  <c r="AF103" i="31"/>
  <c r="AF39" i="31"/>
  <c r="AE103" i="31"/>
  <c r="AE39" i="31"/>
  <c r="AD103" i="31"/>
  <c r="AD39" i="31"/>
  <c r="AC103" i="31"/>
  <c r="AC39" i="31"/>
  <c r="AA39" i="31"/>
  <c r="Z39" i="31"/>
  <c r="Y39" i="31"/>
  <c r="W39" i="31"/>
  <c r="V39" i="31"/>
  <c r="U39" i="31"/>
  <c r="T39" i="31"/>
  <c r="S39" i="31"/>
  <c r="R103" i="31"/>
  <c r="R39" i="31"/>
  <c r="E4" i="33"/>
  <c r="E4" i="32"/>
  <c r="F218" i="33" l="1"/>
  <c r="G218" i="33" s="1"/>
  <c r="W90" i="34"/>
  <c r="E89" i="33"/>
  <c r="B100" i="32"/>
  <c r="F89" i="33"/>
  <c r="B100" i="33"/>
  <c r="K79" i="33"/>
  <c r="K81" i="33" s="1"/>
  <c r="G89" i="33"/>
  <c r="AA82" i="34"/>
  <c r="AG79" i="32"/>
  <c r="AG81" i="32"/>
  <c r="D100" i="32"/>
  <c r="B89" i="32"/>
  <c r="X89" i="33"/>
  <c r="X90" i="33" s="1"/>
  <c r="Y89" i="33"/>
  <c r="AH103" i="33"/>
  <c r="E223" i="33"/>
  <c r="D259" i="33" s="1"/>
  <c r="AS238" i="34"/>
  <c r="V82" i="34"/>
  <c r="S7" i="34"/>
  <c r="AH41" i="32"/>
  <c r="M44" i="32"/>
  <c r="O90" i="32"/>
  <c r="AH39" i="32"/>
  <c r="AH238" i="34"/>
  <c r="AN238" i="34"/>
  <c r="P89" i="32"/>
  <c r="S82" i="34"/>
  <c r="T79" i="32"/>
  <c r="T81" i="32" s="1"/>
  <c r="O79" i="33"/>
  <c r="O81" i="33" s="1"/>
  <c r="AG6" i="33"/>
  <c r="F90" i="33"/>
  <c r="E224" i="34"/>
  <c r="AF82" i="34"/>
  <c r="AV238" i="34"/>
  <c r="D82" i="34"/>
  <c r="V238" i="34"/>
  <c r="AW238" i="34"/>
  <c r="AE7" i="34"/>
  <c r="AC7" i="34"/>
  <c r="AC82" i="34"/>
  <c r="P7" i="34"/>
  <c r="AA238" i="34"/>
  <c r="I7" i="34"/>
  <c r="U82" i="34"/>
  <c r="R82" i="34"/>
  <c r="AJ238" i="34"/>
  <c r="Y7" i="34"/>
  <c r="E100" i="34"/>
  <c r="M7" i="34"/>
  <c r="N82" i="34"/>
  <c r="AF238" i="34"/>
  <c r="M82" i="34"/>
  <c r="L82" i="34"/>
  <c r="AD238" i="34"/>
  <c r="C233" i="34"/>
  <c r="K82" i="34"/>
  <c r="AC238" i="34"/>
  <c r="J82" i="34"/>
  <c r="AB238" i="34"/>
  <c r="B233" i="34"/>
  <c r="H82" i="34"/>
  <c r="E7" i="34"/>
  <c r="F82" i="34"/>
  <c r="E82" i="34"/>
  <c r="C7" i="34"/>
  <c r="C82" i="34"/>
  <c r="AI79" i="34"/>
  <c r="AH79" i="34"/>
  <c r="B81" i="34"/>
  <c r="F100" i="34"/>
  <c r="H218" i="34"/>
  <c r="AI90" i="34"/>
  <c r="AH90" i="34"/>
  <c r="E259" i="34"/>
  <c r="G223" i="34"/>
  <c r="G224" i="34" s="1"/>
  <c r="AH89" i="34"/>
  <c r="AI89" i="34"/>
  <c r="AF89" i="33"/>
  <c r="AF90" i="33" s="1"/>
  <c r="AF79" i="33"/>
  <c r="AF81" i="33" s="1"/>
  <c r="AE89" i="33"/>
  <c r="AE90" i="33" s="1"/>
  <c r="AE79" i="33"/>
  <c r="AE81" i="33" s="1"/>
  <c r="AC89" i="33"/>
  <c r="AC90" i="33" s="1"/>
  <c r="AD89" i="33"/>
  <c r="AD90" i="33" s="1"/>
  <c r="AD79" i="33"/>
  <c r="AD81" i="33" s="1"/>
  <c r="AV238" i="33" s="1"/>
  <c r="AC79" i="33"/>
  <c r="AC81" i="33" s="1"/>
  <c r="AB89" i="33"/>
  <c r="AB79" i="33"/>
  <c r="AB81" i="33" s="1"/>
  <c r="AA89" i="33"/>
  <c r="AA79" i="33"/>
  <c r="AA81" i="33" s="1"/>
  <c r="Z89" i="33"/>
  <c r="Z79" i="33"/>
  <c r="Z81" i="33" s="1"/>
  <c r="AR238" i="33" s="1"/>
  <c r="Y90" i="33"/>
  <c r="X5" i="33"/>
  <c r="Y79" i="33"/>
  <c r="Y81" i="33" s="1"/>
  <c r="X79" i="33"/>
  <c r="X81" i="33" s="1"/>
  <c r="W79" i="33"/>
  <c r="W81" i="33" s="1"/>
  <c r="V5" i="33"/>
  <c r="W89" i="33"/>
  <c r="W90" i="33" s="1"/>
  <c r="V79" i="33"/>
  <c r="V81" i="33" s="1"/>
  <c r="V7" i="33" s="1"/>
  <c r="V89" i="33"/>
  <c r="V90" i="33"/>
  <c r="U5" i="33"/>
  <c r="U89" i="33"/>
  <c r="U90" i="33" s="1"/>
  <c r="U79" i="33"/>
  <c r="U81" i="33" s="1"/>
  <c r="T89" i="33"/>
  <c r="T79" i="33"/>
  <c r="T81" i="33" s="1"/>
  <c r="T82" i="33" s="1"/>
  <c r="S79" i="33"/>
  <c r="S81" i="33" s="1"/>
  <c r="S7" i="33" s="1"/>
  <c r="Q89" i="33"/>
  <c r="Q90" i="33"/>
  <c r="P5" i="33"/>
  <c r="R89" i="33"/>
  <c r="Q79" i="33"/>
  <c r="Q81" i="33" s="1"/>
  <c r="Q82" i="33" s="1"/>
  <c r="R79" i="33"/>
  <c r="R81" i="33" s="1"/>
  <c r="R7" i="33" s="1"/>
  <c r="P89" i="33"/>
  <c r="P90" i="33" s="1"/>
  <c r="P79" i="33"/>
  <c r="P81" i="33" s="1"/>
  <c r="P82" i="33" s="1"/>
  <c r="N5" i="33"/>
  <c r="O89" i="33"/>
  <c r="O90" i="33" s="1"/>
  <c r="AI86" i="33"/>
  <c r="N79" i="33"/>
  <c r="N81" i="33" s="1"/>
  <c r="M5" i="33"/>
  <c r="N89" i="33"/>
  <c r="N90" i="33" s="1"/>
  <c r="M89" i="33"/>
  <c r="M90" i="33" s="1"/>
  <c r="L5" i="33"/>
  <c r="M79" i="33"/>
  <c r="M81" i="33" s="1"/>
  <c r="M7" i="33" s="1"/>
  <c r="K89" i="33"/>
  <c r="AI39" i="33"/>
  <c r="I79" i="33"/>
  <c r="I81" i="33" s="1"/>
  <c r="I82" i="33" s="1"/>
  <c r="H89" i="33"/>
  <c r="AI84" i="33"/>
  <c r="H90" i="33"/>
  <c r="J89" i="33"/>
  <c r="J90" i="33" s="1"/>
  <c r="L89" i="33"/>
  <c r="L90" i="33" s="1"/>
  <c r="J79" i="33"/>
  <c r="J81" i="33" s="1"/>
  <c r="I90" i="33"/>
  <c r="G90" i="33"/>
  <c r="F5" i="33"/>
  <c r="E5" i="33"/>
  <c r="L79" i="33"/>
  <c r="L81" i="33" s="1"/>
  <c r="L7" i="33" s="1"/>
  <c r="E90" i="33"/>
  <c r="D5" i="33"/>
  <c r="F79" i="33"/>
  <c r="F81" i="33" s="1"/>
  <c r="F82" i="33" s="1"/>
  <c r="AI62" i="33"/>
  <c r="G79" i="33"/>
  <c r="G81" i="33" s="1"/>
  <c r="Y238" i="33" s="1"/>
  <c r="H79" i="33"/>
  <c r="H81" i="33" s="1"/>
  <c r="E79" i="33"/>
  <c r="E81" i="33" s="1"/>
  <c r="W238" i="33" s="1"/>
  <c r="AI83" i="33"/>
  <c r="AH58" i="33"/>
  <c r="AI44" i="33"/>
  <c r="D79" i="33"/>
  <c r="D81" i="33" s="1"/>
  <c r="D82" i="33" s="1"/>
  <c r="AI85" i="33"/>
  <c r="AI87" i="33"/>
  <c r="C89" i="33"/>
  <c r="C79" i="33"/>
  <c r="C81" i="33" s="1"/>
  <c r="U238" i="33" s="1"/>
  <c r="AI40" i="33"/>
  <c r="S235" i="33"/>
  <c r="H4" i="33"/>
  <c r="Z7" i="33"/>
  <c r="AI238" i="33"/>
  <c r="C7" i="33"/>
  <c r="K7" i="33"/>
  <c r="AC238" i="33"/>
  <c r="K82" i="33"/>
  <c r="AA7" i="33"/>
  <c r="AS238" i="33"/>
  <c r="AA82" i="33"/>
  <c r="H218" i="33"/>
  <c r="V238" i="33"/>
  <c r="T7" i="33"/>
  <c r="AL238" i="33"/>
  <c r="AB7" i="33"/>
  <c r="AT238" i="33"/>
  <c r="AB82" i="33"/>
  <c r="AG81" i="33"/>
  <c r="U7" i="33"/>
  <c r="AM238" i="33"/>
  <c r="U82" i="33"/>
  <c r="AC7" i="33"/>
  <c r="AU238" i="33"/>
  <c r="AC82" i="33"/>
  <c r="N7" i="33"/>
  <c r="AF238" i="33"/>
  <c r="N82" i="33"/>
  <c r="AN238" i="33"/>
  <c r="AD7" i="33"/>
  <c r="AD82" i="33"/>
  <c r="R90" i="33"/>
  <c r="Z90" i="33"/>
  <c r="G219" i="33"/>
  <c r="H219" i="33" s="1"/>
  <c r="I219" i="33" s="1"/>
  <c r="J219" i="33" s="1"/>
  <c r="K219" i="33" s="1"/>
  <c r="L219" i="33" s="1"/>
  <c r="M219" i="33" s="1"/>
  <c r="N219" i="33" s="1"/>
  <c r="O219" i="33" s="1"/>
  <c r="P219" i="33" s="1"/>
  <c r="Y82" i="33"/>
  <c r="AQ238" i="33"/>
  <c r="Y7" i="33"/>
  <c r="AG238" i="33"/>
  <c r="O82" i="33"/>
  <c r="O7" i="33"/>
  <c r="AO238" i="33"/>
  <c r="W82" i="33"/>
  <c r="W7" i="33"/>
  <c r="AW238" i="33"/>
  <c r="AE82" i="33"/>
  <c r="AE7" i="33"/>
  <c r="C90" i="33"/>
  <c r="K90" i="33"/>
  <c r="S90" i="33"/>
  <c r="AA90" i="33"/>
  <c r="AH238" i="33"/>
  <c r="X7" i="33"/>
  <c r="AP238" i="33"/>
  <c r="X82" i="33"/>
  <c r="AF7" i="33"/>
  <c r="AX238" i="33"/>
  <c r="AF82" i="33"/>
  <c r="D90" i="33"/>
  <c r="T90" i="33"/>
  <c r="AB90" i="33"/>
  <c r="AH62" i="33"/>
  <c r="I5" i="33"/>
  <c r="Q5" i="33"/>
  <c r="Y5" i="33"/>
  <c r="AI58" i="33"/>
  <c r="AI74" i="33"/>
  <c r="AH83" i="33"/>
  <c r="B89" i="33"/>
  <c r="F223" i="33"/>
  <c r="F224" i="33" s="1"/>
  <c r="AH84" i="33"/>
  <c r="AH40" i="33"/>
  <c r="AH44" i="33"/>
  <c r="B79" i="33"/>
  <c r="AH85" i="33"/>
  <c r="AH86" i="33"/>
  <c r="B224" i="33"/>
  <c r="AH74" i="33"/>
  <c r="AH87" i="33"/>
  <c r="AF89" i="32"/>
  <c r="AF79" i="32"/>
  <c r="AF81" i="32" s="1"/>
  <c r="AE89" i="32"/>
  <c r="AE90" i="32" s="1"/>
  <c r="AE79" i="32"/>
  <c r="AE81" i="32" s="1"/>
  <c r="AW238" i="32" s="1"/>
  <c r="AD79" i="32"/>
  <c r="AD81" i="32" s="1"/>
  <c r="AB5" i="32"/>
  <c r="AC89" i="32"/>
  <c r="AC90" i="32" s="1"/>
  <c r="AC79" i="32"/>
  <c r="AC81" i="32" s="1"/>
  <c r="AB79" i="32"/>
  <c r="AB81" i="32" s="1"/>
  <c r="AB7" i="32" s="1"/>
  <c r="AA89" i="32"/>
  <c r="Z89" i="32"/>
  <c r="Z79" i="32"/>
  <c r="Z81" i="32" s="1"/>
  <c r="Y89" i="32"/>
  <c r="Y79" i="32"/>
  <c r="Y81" i="32" s="1"/>
  <c r="X89" i="32"/>
  <c r="X79" i="32"/>
  <c r="X81" i="32" s="1"/>
  <c r="X82" i="32" s="1"/>
  <c r="W90" i="32"/>
  <c r="W79" i="32"/>
  <c r="W81" i="32" s="1"/>
  <c r="V79" i="32"/>
  <c r="V81" i="32" s="1"/>
  <c r="AN238" i="32" s="1"/>
  <c r="U89" i="32"/>
  <c r="U90" i="32" s="1"/>
  <c r="U79" i="32"/>
  <c r="U81" i="32" s="1"/>
  <c r="S79" i="32"/>
  <c r="S81" i="32" s="1"/>
  <c r="S89" i="32"/>
  <c r="R79" i="32"/>
  <c r="R81" i="32" s="1"/>
  <c r="Q89" i="32"/>
  <c r="Q82" i="32" s="1"/>
  <c r="Q79" i="32"/>
  <c r="Q81" i="32" s="1"/>
  <c r="Q7" i="32" s="1"/>
  <c r="P79" i="32"/>
  <c r="P81" i="32" s="1"/>
  <c r="O79" i="32"/>
  <c r="O81" i="32" s="1"/>
  <c r="AG238" i="32" s="1"/>
  <c r="N79" i="32"/>
  <c r="N81" i="32" s="1"/>
  <c r="M89" i="32"/>
  <c r="M90" i="32" s="1"/>
  <c r="M79" i="32"/>
  <c r="M81" i="32" s="1"/>
  <c r="M7" i="32" s="1"/>
  <c r="K89" i="32"/>
  <c r="K79" i="32"/>
  <c r="K81" i="32" s="1"/>
  <c r="K7" i="32" s="1"/>
  <c r="I89" i="32"/>
  <c r="I79" i="32"/>
  <c r="I81" i="32" s="1"/>
  <c r="I82" i="32" s="1"/>
  <c r="AI44" i="32"/>
  <c r="G79" i="32"/>
  <c r="G81" i="32" s="1"/>
  <c r="G7" i="32" s="1"/>
  <c r="H79" i="32"/>
  <c r="H81" i="32" s="1"/>
  <c r="H7" i="32" s="1"/>
  <c r="E79" i="32"/>
  <c r="E81" i="32" s="1"/>
  <c r="E7" i="32" s="1"/>
  <c r="E89" i="32"/>
  <c r="E90" i="32" s="1"/>
  <c r="G89" i="32"/>
  <c r="G90" i="32" s="1"/>
  <c r="F79" i="32"/>
  <c r="F81" i="32" s="1"/>
  <c r="X238" i="32" s="1"/>
  <c r="AI74" i="32"/>
  <c r="H89" i="32"/>
  <c r="AI62" i="32"/>
  <c r="J79" i="32"/>
  <c r="J81" i="32" s="1"/>
  <c r="J7" i="32" s="1"/>
  <c r="L79" i="32"/>
  <c r="L81" i="32" s="1"/>
  <c r="L7" i="32" s="1"/>
  <c r="AH58" i="32"/>
  <c r="D79" i="32"/>
  <c r="D81" i="32" s="1"/>
  <c r="V238" i="32" s="1"/>
  <c r="C89" i="32"/>
  <c r="AH84" i="32"/>
  <c r="B5" i="32"/>
  <c r="C79" i="32"/>
  <c r="C81" i="32" s="1"/>
  <c r="B90" i="32"/>
  <c r="B81" i="32"/>
  <c r="B82" i="32" s="1"/>
  <c r="H4" i="32"/>
  <c r="Z82" i="32"/>
  <c r="Z7" i="32"/>
  <c r="AR238" i="32"/>
  <c r="U238" i="32"/>
  <c r="C7" i="32"/>
  <c r="K82" i="32"/>
  <c r="S7" i="32"/>
  <c r="S82" i="32"/>
  <c r="AK238" i="32"/>
  <c r="AA82" i="32"/>
  <c r="AA7" i="32"/>
  <c r="AS238" i="32"/>
  <c r="AA238" i="32"/>
  <c r="I7" i="32"/>
  <c r="AV238" i="32"/>
  <c r="AD7" i="32"/>
  <c r="AE238" i="32"/>
  <c r="M82" i="32"/>
  <c r="AC7" i="32"/>
  <c r="AU238" i="32"/>
  <c r="AC82" i="32"/>
  <c r="AI238" i="32"/>
  <c r="U7" i="32"/>
  <c r="AM238" i="32"/>
  <c r="U82" i="32"/>
  <c r="AF238" i="32"/>
  <c r="N7" i="32"/>
  <c r="I90" i="32"/>
  <c r="Y90" i="32"/>
  <c r="T7" i="32"/>
  <c r="AL238" i="32"/>
  <c r="AO238" i="32"/>
  <c r="W7" i="32"/>
  <c r="W82" i="32"/>
  <c r="J90" i="32"/>
  <c r="R90" i="32"/>
  <c r="AQ238" i="32"/>
  <c r="Y82" i="32"/>
  <c r="Y7" i="32"/>
  <c r="D7" i="32"/>
  <c r="AH238" i="32"/>
  <c r="P82" i="32"/>
  <c r="P7" i="32"/>
  <c r="AP238" i="32"/>
  <c r="X7" i="32"/>
  <c r="AX238" i="32"/>
  <c r="AF7" i="32"/>
  <c r="AF82" i="32"/>
  <c r="AJ238" i="32"/>
  <c r="R7" i="32"/>
  <c r="R82" i="32"/>
  <c r="AH44" i="32"/>
  <c r="Z90" i="32"/>
  <c r="AG2" i="32"/>
  <c r="AG6" i="32" s="1"/>
  <c r="Q5" i="32"/>
  <c r="O7" i="32"/>
  <c r="AI40" i="32"/>
  <c r="AH40" i="32"/>
  <c r="AH83" i="32"/>
  <c r="AI87" i="32"/>
  <c r="P90" i="32"/>
  <c r="AF90" i="32"/>
  <c r="S235" i="32"/>
  <c r="D235" i="32"/>
  <c r="AI83" i="32"/>
  <c r="AI86" i="32"/>
  <c r="AI84" i="32"/>
  <c r="AI85" i="32"/>
  <c r="E218" i="32"/>
  <c r="C259" i="32"/>
  <c r="AH62" i="32"/>
  <c r="AH74" i="32"/>
  <c r="AE7" i="32"/>
  <c r="AI58" i="32"/>
  <c r="C90" i="32"/>
  <c r="K90" i="32"/>
  <c r="S90" i="32"/>
  <c r="AA90" i="32"/>
  <c r="O82" i="32"/>
  <c r="F223" i="32"/>
  <c r="X5" i="32"/>
  <c r="D89" i="32"/>
  <c r="L89" i="32"/>
  <c r="L90" i="32" s="1"/>
  <c r="T89" i="32"/>
  <c r="T82" i="32" s="1"/>
  <c r="AB89" i="32"/>
  <c r="AB90" i="32" s="1"/>
  <c r="H90" i="32"/>
  <c r="X90" i="32"/>
  <c r="G82" i="32"/>
  <c r="AE82" i="32"/>
  <c r="F89" i="32"/>
  <c r="F90" i="32" s="1"/>
  <c r="N89" i="32"/>
  <c r="N90" i="32" s="1"/>
  <c r="V89" i="32"/>
  <c r="V90" i="32" s="1"/>
  <c r="AD89" i="32"/>
  <c r="AD90" i="32" s="1"/>
  <c r="AH85" i="32"/>
  <c r="AH86" i="32"/>
  <c r="B224" i="32"/>
  <c r="AH87" i="32"/>
  <c r="Q103" i="31"/>
  <c r="Q39" i="31"/>
  <c r="O103" i="31"/>
  <c r="O39" i="31"/>
  <c r="N39" i="31"/>
  <c r="M103" i="31"/>
  <c r="M39" i="31"/>
  <c r="J74" i="31"/>
  <c r="AF263" i="31"/>
  <c r="AE263" i="31"/>
  <c r="AD263" i="31"/>
  <c r="AC263" i="31"/>
  <c r="AB263" i="31"/>
  <c r="AA263" i="31"/>
  <c r="Z263" i="31"/>
  <c r="Y263" i="31"/>
  <c r="X263" i="31"/>
  <c r="W263" i="31"/>
  <c r="V263" i="31"/>
  <c r="U263" i="31"/>
  <c r="T263" i="31"/>
  <c r="S263" i="31"/>
  <c r="R263" i="31"/>
  <c r="Q263" i="31"/>
  <c r="P263" i="31"/>
  <c r="O263" i="31"/>
  <c r="N263" i="31"/>
  <c r="M263" i="31"/>
  <c r="L263" i="31"/>
  <c r="K263" i="31"/>
  <c r="J263" i="31"/>
  <c r="I263" i="31"/>
  <c r="H263" i="31"/>
  <c r="G263" i="31"/>
  <c r="F263" i="31"/>
  <c r="E263" i="31"/>
  <c r="D263" i="31"/>
  <c r="C263" i="31"/>
  <c r="B263" i="31"/>
  <c r="A263" i="31"/>
  <c r="AF262" i="31"/>
  <c r="AE262" i="31"/>
  <c r="AD262" i="31"/>
  <c r="AC262" i="31"/>
  <c r="AB262" i="31"/>
  <c r="AA262" i="31"/>
  <c r="Z262" i="31"/>
  <c r="Y262" i="31"/>
  <c r="X262" i="31"/>
  <c r="W262" i="31"/>
  <c r="V262" i="31"/>
  <c r="U262" i="31"/>
  <c r="T262" i="31"/>
  <c r="S262" i="31"/>
  <c r="R262" i="31"/>
  <c r="Q262" i="31"/>
  <c r="P262" i="31"/>
  <c r="O262" i="31"/>
  <c r="N262" i="31"/>
  <c r="M262" i="31"/>
  <c r="L262" i="31"/>
  <c r="K262" i="31"/>
  <c r="J262" i="31"/>
  <c r="I262" i="31"/>
  <c r="H262" i="31"/>
  <c r="G262" i="31"/>
  <c r="F262" i="31"/>
  <c r="E262" i="31"/>
  <c r="D262" i="31"/>
  <c r="C262" i="31"/>
  <c r="B262" i="31"/>
  <c r="A262" i="31"/>
  <c r="AF261" i="31"/>
  <c r="AE261" i="31"/>
  <c r="AD261" i="31"/>
  <c r="AC261" i="31"/>
  <c r="AB261" i="31"/>
  <c r="AA261" i="31"/>
  <c r="Z261" i="31"/>
  <c r="Y261" i="31"/>
  <c r="X261" i="31"/>
  <c r="W261" i="31"/>
  <c r="V261" i="31"/>
  <c r="U261" i="31"/>
  <c r="T261" i="31"/>
  <c r="S261" i="31"/>
  <c r="R261" i="31"/>
  <c r="Q261" i="31"/>
  <c r="P261" i="31"/>
  <c r="O261" i="31"/>
  <c r="N261" i="31"/>
  <c r="M261" i="31"/>
  <c r="L261" i="31"/>
  <c r="K261" i="31"/>
  <c r="J261" i="31"/>
  <c r="I261" i="31"/>
  <c r="H261" i="31"/>
  <c r="G261" i="31"/>
  <c r="F261" i="31"/>
  <c r="E261" i="31"/>
  <c r="D261" i="31"/>
  <c r="C261" i="31"/>
  <c r="B261" i="31"/>
  <c r="A261" i="31"/>
  <c r="AF260" i="31"/>
  <c r="AE260" i="31"/>
  <c r="AD260" i="31"/>
  <c r="AC260" i="31"/>
  <c r="AB260" i="31"/>
  <c r="AA260" i="31"/>
  <c r="Z260" i="31"/>
  <c r="Y260" i="31"/>
  <c r="X260" i="31"/>
  <c r="W260" i="31"/>
  <c r="V260" i="31"/>
  <c r="U260" i="31"/>
  <c r="T260" i="31"/>
  <c r="S260" i="31"/>
  <c r="R260" i="31"/>
  <c r="Q260" i="31"/>
  <c r="P260" i="31"/>
  <c r="O260" i="31"/>
  <c r="N260" i="31"/>
  <c r="M260" i="31"/>
  <c r="L260" i="31"/>
  <c r="K260" i="31"/>
  <c r="J260" i="31"/>
  <c r="I260" i="31"/>
  <c r="H260" i="31"/>
  <c r="G260" i="31"/>
  <c r="F260" i="31"/>
  <c r="E260" i="31"/>
  <c r="D260" i="31"/>
  <c r="C260" i="31"/>
  <c r="B260" i="31"/>
  <c r="A260" i="31"/>
  <c r="AE259" i="31"/>
  <c r="AD259" i="31"/>
  <c r="AC259" i="31"/>
  <c r="AB259" i="31"/>
  <c r="AA259" i="31"/>
  <c r="Z259" i="31"/>
  <c r="Y259" i="31"/>
  <c r="X259" i="31"/>
  <c r="W259" i="31"/>
  <c r="V259" i="31"/>
  <c r="U259" i="31"/>
  <c r="T259" i="31"/>
  <c r="S259" i="31"/>
  <c r="R259" i="31"/>
  <c r="Q259" i="31"/>
  <c r="P259" i="31"/>
  <c r="B259" i="31"/>
  <c r="S234" i="31"/>
  <c r="AG224" i="31"/>
  <c r="AG57" i="31" s="1"/>
  <c r="AG58" i="31" s="1"/>
  <c r="AF224" i="31"/>
  <c r="AE224" i="31"/>
  <c r="AD224" i="31"/>
  <c r="AC224" i="31"/>
  <c r="AB224" i="31"/>
  <c r="AA224" i="31"/>
  <c r="Z224" i="31"/>
  <c r="Y224" i="31"/>
  <c r="X224" i="31"/>
  <c r="W224" i="31"/>
  <c r="V224" i="31"/>
  <c r="U224" i="31"/>
  <c r="T224" i="31"/>
  <c r="S224" i="31"/>
  <c r="R224" i="31"/>
  <c r="Q224" i="31"/>
  <c r="C224" i="31"/>
  <c r="D223" i="31"/>
  <c r="E223" i="31" s="1"/>
  <c r="B223" i="31"/>
  <c r="AF259" i="31" s="1"/>
  <c r="E222" i="31"/>
  <c r="F222" i="31" s="1"/>
  <c r="G222" i="31" s="1"/>
  <c r="H222" i="31" s="1"/>
  <c r="I222" i="31" s="1"/>
  <c r="J222" i="31" s="1"/>
  <c r="K222" i="31" s="1"/>
  <c r="L222" i="31" s="1"/>
  <c r="M222" i="31" s="1"/>
  <c r="N222" i="31" s="1"/>
  <c r="O222" i="31" s="1"/>
  <c r="P222" i="31" s="1"/>
  <c r="D222" i="31"/>
  <c r="B222" i="31"/>
  <c r="D221" i="31"/>
  <c r="E221" i="31" s="1"/>
  <c r="F221" i="31" s="1"/>
  <c r="G221" i="31" s="1"/>
  <c r="H221" i="31" s="1"/>
  <c r="I221" i="31" s="1"/>
  <c r="J221" i="31" s="1"/>
  <c r="K221" i="31" s="1"/>
  <c r="L221" i="31" s="1"/>
  <c r="M221" i="31" s="1"/>
  <c r="N221" i="31" s="1"/>
  <c r="O221" i="31" s="1"/>
  <c r="P221" i="31" s="1"/>
  <c r="B221" i="31"/>
  <c r="E220" i="31"/>
  <c r="F220" i="31" s="1"/>
  <c r="G220" i="31" s="1"/>
  <c r="H220" i="31" s="1"/>
  <c r="I220" i="31" s="1"/>
  <c r="J220" i="31" s="1"/>
  <c r="K220" i="31" s="1"/>
  <c r="L220" i="31" s="1"/>
  <c r="M220" i="31" s="1"/>
  <c r="N220" i="31" s="1"/>
  <c r="O220" i="31" s="1"/>
  <c r="P220" i="31" s="1"/>
  <c r="D220" i="31"/>
  <c r="B220" i="31"/>
  <c r="D219" i="31"/>
  <c r="E219" i="31" s="1"/>
  <c r="F219" i="31" s="1"/>
  <c r="G219" i="31" s="1"/>
  <c r="H219" i="31" s="1"/>
  <c r="I219" i="31" s="1"/>
  <c r="J219" i="31" s="1"/>
  <c r="K219" i="31" s="1"/>
  <c r="L219" i="31" s="1"/>
  <c r="M219" i="31" s="1"/>
  <c r="N219" i="31" s="1"/>
  <c r="O219" i="31" s="1"/>
  <c r="P219" i="31" s="1"/>
  <c r="B219" i="31"/>
  <c r="D218" i="31"/>
  <c r="B218" i="31"/>
  <c r="B100" i="31" s="1"/>
  <c r="AG216" i="31"/>
  <c r="AF216" i="31"/>
  <c r="AE216" i="31"/>
  <c r="AD216" i="31"/>
  <c r="AC216" i="31"/>
  <c r="AB216" i="31"/>
  <c r="AA216" i="31"/>
  <c r="Z216" i="31"/>
  <c r="Y216" i="31"/>
  <c r="X216" i="31"/>
  <c r="W216" i="31"/>
  <c r="V216" i="31"/>
  <c r="U216" i="31"/>
  <c r="T216" i="31"/>
  <c r="S216" i="31"/>
  <c r="R216" i="31"/>
  <c r="Q216" i="31"/>
  <c r="P216" i="31"/>
  <c r="O216" i="31"/>
  <c r="N216" i="31"/>
  <c r="M216" i="31"/>
  <c r="L216" i="31"/>
  <c r="K216" i="31"/>
  <c r="J216" i="31"/>
  <c r="I216" i="31"/>
  <c r="H216" i="31"/>
  <c r="G216" i="31"/>
  <c r="F216" i="31"/>
  <c r="E216" i="31"/>
  <c r="D216" i="31"/>
  <c r="C216" i="31"/>
  <c r="B216" i="31"/>
  <c r="AI109" i="31"/>
  <c r="AH109" i="31"/>
  <c r="AI108" i="31"/>
  <c r="AH108" i="31"/>
  <c r="AI107" i="31"/>
  <c r="AH107" i="31"/>
  <c r="AI106" i="31"/>
  <c r="AH106" i="31"/>
  <c r="AI105" i="31"/>
  <c r="AH105" i="31"/>
  <c r="AI104" i="31"/>
  <c r="AH104" i="31"/>
  <c r="AI103" i="31"/>
  <c r="AH103" i="31"/>
  <c r="AI102" i="31"/>
  <c r="AH102" i="31"/>
  <c r="AI101" i="31"/>
  <c r="AH101" i="31"/>
  <c r="AF100" i="31"/>
  <c r="AE100" i="31"/>
  <c r="AD100" i="31"/>
  <c r="AC100" i="31"/>
  <c r="AB100" i="31"/>
  <c r="AA100" i="31"/>
  <c r="Z100" i="31"/>
  <c r="Y100" i="31"/>
  <c r="X100" i="31"/>
  <c r="W100" i="31"/>
  <c r="V100" i="31"/>
  <c r="U100" i="31"/>
  <c r="T100" i="31"/>
  <c r="S100" i="31"/>
  <c r="R100" i="31"/>
  <c r="Q100" i="31"/>
  <c r="C100" i="31"/>
  <c r="AI99" i="31"/>
  <c r="AH99" i="31"/>
  <c r="AI98" i="31"/>
  <c r="AH98" i="31"/>
  <c r="AI97" i="31"/>
  <c r="AH97" i="31"/>
  <c r="AI96" i="31"/>
  <c r="AH96" i="31"/>
  <c r="AI95" i="31"/>
  <c r="AH95" i="31"/>
  <c r="AI94" i="31"/>
  <c r="AH94" i="31"/>
  <c r="AI93" i="31"/>
  <c r="AH93" i="31"/>
  <c r="AI92" i="31"/>
  <c r="AH92" i="31"/>
  <c r="AI91" i="31"/>
  <c r="AH91" i="31"/>
  <c r="AI88" i="31"/>
  <c r="AH88" i="31"/>
  <c r="AF87" i="31"/>
  <c r="AE87" i="31"/>
  <c r="AD87" i="31"/>
  <c r="AC87" i="31"/>
  <c r="AB87" i="31"/>
  <c r="AA87" i="31"/>
  <c r="Z87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AF86" i="31"/>
  <c r="AE86" i="31"/>
  <c r="AD86" i="31"/>
  <c r="AC86" i="31"/>
  <c r="AB86" i="31"/>
  <c r="AA86" i="31"/>
  <c r="Z86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AF85" i="31"/>
  <c r="AE85" i="31"/>
  <c r="AD85" i="31"/>
  <c r="AC85" i="31"/>
  <c r="AB85" i="31"/>
  <c r="AA85" i="31"/>
  <c r="Z85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AF84" i="31"/>
  <c r="AE84" i="31"/>
  <c r="AD84" i="31"/>
  <c r="AC84" i="31"/>
  <c r="AB84" i="31"/>
  <c r="AA84" i="31"/>
  <c r="Z84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AF83" i="31"/>
  <c r="AE83" i="31"/>
  <c r="AD83" i="31"/>
  <c r="AC83" i="31"/>
  <c r="AB83" i="31"/>
  <c r="AA83" i="31"/>
  <c r="AA89" i="31" s="1"/>
  <c r="Z83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H89" i="31" s="1"/>
  <c r="G83" i="31"/>
  <c r="F83" i="31"/>
  <c r="E83" i="31"/>
  <c r="D83" i="31"/>
  <c r="C83" i="31"/>
  <c r="B83" i="31"/>
  <c r="AI80" i="31"/>
  <c r="AH80" i="31"/>
  <c r="AI78" i="31"/>
  <c r="AH78" i="31"/>
  <c r="AG78" i="31"/>
  <c r="AI77" i="31"/>
  <c r="AH77" i="31"/>
  <c r="AI76" i="31"/>
  <c r="AH76" i="31"/>
  <c r="AI75" i="31"/>
  <c r="AH75" i="31"/>
  <c r="AG74" i="31"/>
  <c r="AF74" i="31"/>
  <c r="AE5" i="31" s="1"/>
  <c r="AE74" i="31"/>
  <c r="AD5" i="31" s="1"/>
  <c r="AD74" i="31"/>
  <c r="AC5" i="31" s="1"/>
  <c r="AC74" i="31"/>
  <c r="AB74" i="31"/>
  <c r="AA5" i="31" s="1"/>
  <c r="AA74" i="31"/>
  <c r="Z74" i="31"/>
  <c r="Y5" i="31" s="1"/>
  <c r="Y74" i="31"/>
  <c r="X5" i="31" s="1"/>
  <c r="X74" i="31"/>
  <c r="W5" i="31" s="1"/>
  <c r="W74" i="31"/>
  <c r="V5" i="31" s="1"/>
  <c r="V74" i="31"/>
  <c r="U5" i="31" s="1"/>
  <c r="U74" i="31"/>
  <c r="T5" i="31" s="1"/>
  <c r="T74" i="31"/>
  <c r="S5" i="31" s="1"/>
  <c r="S74" i="31"/>
  <c r="R74" i="31"/>
  <c r="Q5" i="31" s="1"/>
  <c r="Q74" i="31"/>
  <c r="P5" i="31" s="1"/>
  <c r="P74" i="31"/>
  <c r="O5" i="31" s="1"/>
  <c r="O74" i="31"/>
  <c r="N5" i="31" s="1"/>
  <c r="N74" i="31"/>
  <c r="M5" i="31" s="1"/>
  <c r="M74" i="31"/>
  <c r="L5" i="31" s="1"/>
  <c r="L74" i="31"/>
  <c r="K74" i="31"/>
  <c r="I5" i="31"/>
  <c r="I74" i="31"/>
  <c r="H5" i="31" s="1"/>
  <c r="H74" i="31"/>
  <c r="G5" i="31" s="1"/>
  <c r="G74" i="31"/>
  <c r="F5" i="31" s="1"/>
  <c r="F74" i="31"/>
  <c r="E5" i="31" s="1"/>
  <c r="E74" i="31"/>
  <c r="D74" i="31"/>
  <c r="C5" i="31" s="1"/>
  <c r="C74" i="31"/>
  <c r="B74" i="31"/>
  <c r="AF5" i="31" s="1"/>
  <c r="AI73" i="31"/>
  <c r="AH73" i="31"/>
  <c r="AI72" i="31"/>
  <c r="AH72" i="31"/>
  <c r="AI71" i="31"/>
  <c r="AH71" i="31"/>
  <c r="AI70" i="31"/>
  <c r="AH70" i="31"/>
  <c r="AI69" i="31"/>
  <c r="AH69" i="31"/>
  <c r="AI68" i="31"/>
  <c r="AH68" i="31"/>
  <c r="AI67" i="31"/>
  <c r="AH67" i="31"/>
  <c r="AI66" i="31"/>
  <c r="AH66" i="31"/>
  <c r="AI65" i="31"/>
  <c r="AH65" i="31"/>
  <c r="AI64" i="31"/>
  <c r="AH64" i="31"/>
  <c r="AI63" i="31"/>
  <c r="AH63" i="31"/>
  <c r="AG62" i="31"/>
  <c r="AF62" i="31"/>
  <c r="AE62" i="31"/>
  <c r="AD62" i="31"/>
  <c r="AC62" i="31"/>
  <c r="AB62" i="31"/>
  <c r="AA62" i="31"/>
  <c r="Z62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AI61" i="31"/>
  <c r="AH61" i="31"/>
  <c r="AI60" i="31"/>
  <c r="AH60" i="31"/>
  <c r="AI59" i="31"/>
  <c r="AH59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B58" i="31"/>
  <c r="AI57" i="31"/>
  <c r="AH57" i="31"/>
  <c r="AI56" i="31"/>
  <c r="AH56" i="31"/>
  <c r="AI55" i="31"/>
  <c r="AH55" i="31"/>
  <c r="AI54" i="31"/>
  <c r="AH54" i="31"/>
  <c r="AI53" i="31"/>
  <c r="AH53" i="31"/>
  <c r="AI52" i="31"/>
  <c r="AH52" i="31"/>
  <c r="AI51" i="31"/>
  <c r="AH51" i="31"/>
  <c r="AI50" i="31"/>
  <c r="AH50" i="31"/>
  <c r="AI49" i="31"/>
  <c r="AH49" i="31"/>
  <c r="AI48" i="31"/>
  <c r="AH48" i="31"/>
  <c r="AI47" i="31"/>
  <c r="AH47" i="31"/>
  <c r="AI46" i="31"/>
  <c r="AH46" i="31"/>
  <c r="AI45" i="31"/>
  <c r="AH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AI43" i="31"/>
  <c r="AH43" i="31"/>
  <c r="AI42" i="31"/>
  <c r="AH42" i="31"/>
  <c r="AI41" i="31"/>
  <c r="AH41" i="31"/>
  <c r="AG40" i="31"/>
  <c r="AF40" i="31"/>
  <c r="AE40" i="31"/>
  <c r="AD40" i="31"/>
  <c r="AC40" i="31"/>
  <c r="AB40" i="31"/>
  <c r="AA40" i="31"/>
  <c r="AA79" i="31" s="1"/>
  <c r="AA81" i="31" s="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AI39" i="31"/>
  <c r="AH39" i="31"/>
  <c r="AI38" i="31"/>
  <c r="AH38" i="31"/>
  <c r="AI37" i="31"/>
  <c r="AH37" i="31"/>
  <c r="AI36" i="31"/>
  <c r="AH36" i="31"/>
  <c r="AI35" i="31"/>
  <c r="AH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AI23" i="31"/>
  <c r="AH23" i="31"/>
  <c r="AI22" i="31"/>
  <c r="AH22" i="31"/>
  <c r="AI21" i="31"/>
  <c r="AH21" i="31"/>
  <c r="AI20" i="31"/>
  <c r="AH20" i="31"/>
  <c r="AI19" i="31"/>
  <c r="AH19" i="31"/>
  <c r="AI18" i="31"/>
  <c r="AH18" i="31"/>
  <c r="AI17" i="31"/>
  <c r="AH17" i="31"/>
  <c r="AI16" i="31"/>
  <c r="AH16" i="31"/>
  <c r="AI15" i="31"/>
  <c r="AH15" i="31"/>
  <c r="AI14" i="31"/>
  <c r="AH14" i="31"/>
  <c r="AI13" i="31"/>
  <c r="AH13" i="31"/>
  <c r="AI12" i="31"/>
  <c r="AH12" i="31"/>
  <c r="AI11" i="31"/>
  <c r="AH11" i="31"/>
  <c r="K5" i="31"/>
  <c r="AG4" i="31"/>
  <c r="K4" i="31"/>
  <c r="B4" i="31"/>
  <c r="S235" i="31" s="1"/>
  <c r="AG3" i="31"/>
  <c r="AG2" i="31"/>
  <c r="AG6" i="31" s="1"/>
  <c r="E4" i="31"/>
  <c r="L89" i="31" l="1"/>
  <c r="AC238" i="32"/>
  <c r="D224" i="31"/>
  <c r="E218" i="31"/>
  <c r="F218" i="31" s="1"/>
  <c r="C82" i="32"/>
  <c r="P7" i="33"/>
  <c r="S82" i="33"/>
  <c r="Z82" i="33"/>
  <c r="C259" i="31"/>
  <c r="Q90" i="32"/>
  <c r="AT238" i="32"/>
  <c r="AK238" i="33"/>
  <c r="G100" i="34"/>
  <c r="AG81" i="31"/>
  <c r="K89" i="31"/>
  <c r="E100" i="33"/>
  <c r="AG79" i="31"/>
  <c r="L90" i="31"/>
  <c r="E224" i="33"/>
  <c r="K6" i="34"/>
  <c r="I218" i="34"/>
  <c r="F259" i="34"/>
  <c r="H223" i="34"/>
  <c r="B7" i="34"/>
  <c r="A7" i="34" s="1"/>
  <c r="T238" i="34"/>
  <c r="B82" i="34"/>
  <c r="AI81" i="34"/>
  <c r="AH81" i="34"/>
  <c r="V82" i="33"/>
  <c r="R82" i="33"/>
  <c r="AJ238" i="33"/>
  <c r="Q7" i="33"/>
  <c r="M82" i="33"/>
  <c r="V7" i="32"/>
  <c r="AE238" i="33"/>
  <c r="J82" i="33"/>
  <c r="J7" i="33"/>
  <c r="AB238" i="33"/>
  <c r="I7" i="33"/>
  <c r="AA238" i="33"/>
  <c r="L82" i="33"/>
  <c r="AD238" i="33"/>
  <c r="C233" i="33"/>
  <c r="G82" i="33"/>
  <c r="G7" i="33"/>
  <c r="X238" i="33"/>
  <c r="F7" i="33"/>
  <c r="E82" i="33"/>
  <c r="E7" i="33"/>
  <c r="H7" i="33"/>
  <c r="H82" i="33"/>
  <c r="B233" i="33"/>
  <c r="Z238" i="33"/>
  <c r="D7" i="33"/>
  <c r="C82" i="33"/>
  <c r="AH89" i="33"/>
  <c r="AI89" i="33"/>
  <c r="AI79" i="33"/>
  <c r="AH79" i="33"/>
  <c r="B81" i="33"/>
  <c r="G224" i="33"/>
  <c r="B90" i="33"/>
  <c r="I218" i="33"/>
  <c r="E259" i="33"/>
  <c r="G223" i="33"/>
  <c r="F100" i="33"/>
  <c r="V82" i="32"/>
  <c r="T90" i="32"/>
  <c r="N82" i="32"/>
  <c r="Z238" i="32"/>
  <c r="Y238" i="32"/>
  <c r="W238" i="32"/>
  <c r="H82" i="32"/>
  <c r="E82" i="32"/>
  <c r="F7" i="32"/>
  <c r="C233" i="32"/>
  <c r="L82" i="32"/>
  <c r="AD238" i="32"/>
  <c r="AI89" i="32"/>
  <c r="J82" i="32"/>
  <c r="AB238" i="32"/>
  <c r="D90" i="32"/>
  <c r="B233" i="32"/>
  <c r="D82" i="32"/>
  <c r="AH89" i="32"/>
  <c r="AB82" i="32"/>
  <c r="E259" i="32"/>
  <c r="G223" i="32"/>
  <c r="AI79" i="32"/>
  <c r="AH79" i="32"/>
  <c r="AD82" i="32"/>
  <c r="F82" i="32"/>
  <c r="F218" i="32"/>
  <c r="E224" i="32"/>
  <c r="E100" i="32"/>
  <c r="AF89" i="31"/>
  <c r="AF79" i="31"/>
  <c r="AF81" i="31" s="1"/>
  <c r="AE89" i="31"/>
  <c r="AE90" i="31" s="1"/>
  <c r="AE79" i="31"/>
  <c r="AE81" i="31" s="1"/>
  <c r="AD79" i="31"/>
  <c r="AD81" i="31" s="1"/>
  <c r="AD7" i="31" s="1"/>
  <c r="AC89" i="31"/>
  <c r="AC90" i="31" s="1"/>
  <c r="AB5" i="31"/>
  <c r="AC79" i="31"/>
  <c r="AC81" i="31" s="1"/>
  <c r="AC7" i="31" s="1"/>
  <c r="AB89" i="31"/>
  <c r="AB79" i="31"/>
  <c r="AB81" i="31" s="1"/>
  <c r="AA90" i="31"/>
  <c r="Z79" i="31"/>
  <c r="Z81" i="31" s="1"/>
  <c r="Z7" i="31" s="1"/>
  <c r="Z89" i="31"/>
  <c r="Z90" i="31" s="1"/>
  <c r="Y89" i="31"/>
  <c r="Y90" i="31" s="1"/>
  <c r="Y79" i="31"/>
  <c r="Y81" i="31" s="1"/>
  <c r="X89" i="31"/>
  <c r="X82" i="31" s="1"/>
  <c r="X79" i="31"/>
  <c r="X81" i="31" s="1"/>
  <c r="X7" i="31" s="1"/>
  <c r="W89" i="31"/>
  <c r="W90" i="31" s="1"/>
  <c r="W79" i="31"/>
  <c r="W81" i="31" s="1"/>
  <c r="V79" i="31"/>
  <c r="V81" i="31" s="1"/>
  <c r="U89" i="31"/>
  <c r="U90" i="31" s="1"/>
  <c r="U79" i="31"/>
  <c r="U81" i="31" s="1"/>
  <c r="AM238" i="31" s="1"/>
  <c r="T89" i="31"/>
  <c r="T90" i="31" s="1"/>
  <c r="T79" i="31"/>
  <c r="T81" i="31" s="1"/>
  <c r="AL238" i="31" s="1"/>
  <c r="S89" i="31"/>
  <c r="S90" i="31" s="1"/>
  <c r="S79" i="31"/>
  <c r="S81" i="31" s="1"/>
  <c r="R89" i="31"/>
  <c r="R90" i="31" s="1"/>
  <c r="R79" i="31"/>
  <c r="R81" i="31" s="1"/>
  <c r="R7" i="31" s="1"/>
  <c r="Q89" i="31"/>
  <c r="Q90" i="31" s="1"/>
  <c r="Q79" i="31"/>
  <c r="Q81" i="31" s="1"/>
  <c r="AI238" i="31" s="1"/>
  <c r="P89" i="31"/>
  <c r="P79" i="31"/>
  <c r="P81" i="31" s="1"/>
  <c r="P7" i="31" s="1"/>
  <c r="O89" i="31"/>
  <c r="O90" i="31" s="1"/>
  <c r="O79" i="31"/>
  <c r="O81" i="31" s="1"/>
  <c r="N79" i="31"/>
  <c r="N81" i="31" s="1"/>
  <c r="M89" i="31"/>
  <c r="M90" i="31"/>
  <c r="L79" i="31"/>
  <c r="L81" i="31" s="1"/>
  <c r="AD238" i="31" s="1"/>
  <c r="M79" i="31"/>
  <c r="M81" i="31" s="1"/>
  <c r="M7" i="31" s="1"/>
  <c r="K79" i="31"/>
  <c r="K81" i="31" s="1"/>
  <c r="K82" i="31" s="1"/>
  <c r="J89" i="31"/>
  <c r="J90" i="31" s="1"/>
  <c r="J79" i="31"/>
  <c r="J81" i="31" s="1"/>
  <c r="J7" i="31" s="1"/>
  <c r="I89" i="31"/>
  <c r="I90" i="31" s="1"/>
  <c r="I79" i="31"/>
  <c r="I81" i="31" s="1"/>
  <c r="I7" i="31" s="1"/>
  <c r="H79" i="31"/>
  <c r="H81" i="31" s="1"/>
  <c r="Z238" i="31" s="1"/>
  <c r="G89" i="31"/>
  <c r="G90" i="31" s="1"/>
  <c r="G79" i="31"/>
  <c r="G81" i="31" s="1"/>
  <c r="F79" i="31"/>
  <c r="F81" i="31" s="1"/>
  <c r="F7" i="31" s="1"/>
  <c r="E89" i="31"/>
  <c r="E90" i="31" s="1"/>
  <c r="D5" i="31"/>
  <c r="E79" i="31"/>
  <c r="E81" i="31" s="1"/>
  <c r="E7" i="31" s="1"/>
  <c r="D79" i="31"/>
  <c r="D81" i="31" s="1"/>
  <c r="V238" i="31" s="1"/>
  <c r="AI83" i="31"/>
  <c r="D89" i="31"/>
  <c r="D90" i="31" s="1"/>
  <c r="AI44" i="31"/>
  <c r="AI86" i="31"/>
  <c r="C89" i="31"/>
  <c r="AI87" i="31"/>
  <c r="AH62" i="31"/>
  <c r="C79" i="31"/>
  <c r="C81" i="31" s="1"/>
  <c r="AH84" i="31"/>
  <c r="AI62" i="31"/>
  <c r="AI58" i="31"/>
  <c r="H4" i="31"/>
  <c r="U7" i="31"/>
  <c r="Q82" i="31"/>
  <c r="Q7" i="31"/>
  <c r="AQ238" i="31"/>
  <c r="Y82" i="31"/>
  <c r="Y7" i="31"/>
  <c r="AA238" i="31"/>
  <c r="I82" i="31"/>
  <c r="K7" i="31"/>
  <c r="S7" i="31"/>
  <c r="AA7" i="31"/>
  <c r="AS238" i="31"/>
  <c r="L82" i="31"/>
  <c r="L7" i="31"/>
  <c r="AA82" i="31"/>
  <c r="D259" i="31"/>
  <c r="F223" i="31"/>
  <c r="AB82" i="31"/>
  <c r="AB7" i="31"/>
  <c r="AT238" i="31"/>
  <c r="AF238" i="31"/>
  <c r="N7" i="31"/>
  <c r="AN238" i="31"/>
  <c r="V7" i="31"/>
  <c r="B89" i="31"/>
  <c r="AH83" i="31"/>
  <c r="AI84" i="31"/>
  <c r="AI85" i="31"/>
  <c r="AG238" i="31"/>
  <c r="O82" i="31"/>
  <c r="O7" i="31"/>
  <c r="AO238" i="31"/>
  <c r="W82" i="31"/>
  <c r="W7" i="31"/>
  <c r="AW238" i="31"/>
  <c r="AE82" i="31"/>
  <c r="AE7" i="31"/>
  <c r="AH74" i="31"/>
  <c r="C90" i="31"/>
  <c r="AI74" i="31"/>
  <c r="B5" i="31"/>
  <c r="K90" i="31"/>
  <c r="J5" i="31"/>
  <c r="R5" i="31"/>
  <c r="AB90" i="31"/>
  <c r="G218" i="31"/>
  <c r="F100" i="31"/>
  <c r="F224" i="31"/>
  <c r="AF7" i="31"/>
  <c r="AX238" i="31"/>
  <c r="AF82" i="31"/>
  <c r="AH40" i="31"/>
  <c r="AB238" i="31"/>
  <c r="AJ238" i="31"/>
  <c r="AR238" i="31"/>
  <c r="AH58" i="31"/>
  <c r="F89" i="31"/>
  <c r="F90" i="31" s="1"/>
  <c r="N89" i="31"/>
  <c r="N90" i="31" s="1"/>
  <c r="V89" i="31"/>
  <c r="V90" i="31" s="1"/>
  <c r="AD89" i="31"/>
  <c r="AD90" i="31" s="1"/>
  <c r="D100" i="31"/>
  <c r="E224" i="31"/>
  <c r="D235" i="31"/>
  <c r="Z5" i="31"/>
  <c r="H90" i="31"/>
  <c r="P90" i="31"/>
  <c r="AF90" i="31"/>
  <c r="E100" i="31"/>
  <c r="AH44" i="31"/>
  <c r="B79" i="31"/>
  <c r="AI40" i="31"/>
  <c r="AH86" i="31"/>
  <c r="B224" i="31"/>
  <c r="AH85" i="31"/>
  <c r="AH87" i="31"/>
  <c r="AE39" i="30"/>
  <c r="AD39" i="30"/>
  <c r="AC238" i="31" l="1"/>
  <c r="X90" i="31"/>
  <c r="G82" i="31"/>
  <c r="T82" i="31"/>
  <c r="AC82" i="31"/>
  <c r="T7" i="31"/>
  <c r="AU238" i="31"/>
  <c r="P82" i="31"/>
  <c r="C82" i="31"/>
  <c r="Z82" i="31"/>
  <c r="AH238" i="31"/>
  <c r="AV238" i="31"/>
  <c r="U82" i="31"/>
  <c r="AI90" i="32"/>
  <c r="S82" i="31"/>
  <c r="G259" i="34"/>
  <c r="I223" i="34"/>
  <c r="I224" i="34" s="1"/>
  <c r="H224" i="34"/>
  <c r="AH82" i="34"/>
  <c r="AI82" i="34"/>
  <c r="H100" i="34"/>
  <c r="I100" i="34"/>
  <c r="J218" i="34"/>
  <c r="K6" i="33"/>
  <c r="J218" i="33"/>
  <c r="AI90" i="33"/>
  <c r="AH90" i="33"/>
  <c r="AI81" i="33"/>
  <c r="B7" i="33"/>
  <c r="A7" i="33" s="1"/>
  <c r="T238" i="33"/>
  <c r="B82" i="33"/>
  <c r="AH81" i="33"/>
  <c r="F259" i="33"/>
  <c r="H223" i="33"/>
  <c r="G100" i="33"/>
  <c r="K6" i="32"/>
  <c r="AH90" i="32"/>
  <c r="F259" i="32"/>
  <c r="H223" i="32"/>
  <c r="G218" i="32"/>
  <c r="F224" i="32"/>
  <c r="F100" i="32"/>
  <c r="B7" i="32"/>
  <c r="A7" i="32" s="1"/>
  <c r="T238" i="32"/>
  <c r="AI81" i="32"/>
  <c r="AH81" i="32"/>
  <c r="AK238" i="31"/>
  <c r="AP238" i="31"/>
  <c r="V82" i="31"/>
  <c r="R82" i="31"/>
  <c r="M82" i="31"/>
  <c r="AE238" i="31"/>
  <c r="J82" i="31"/>
  <c r="D82" i="31"/>
  <c r="D7" i="31"/>
  <c r="U238" i="31"/>
  <c r="C7" i="31"/>
  <c r="H82" i="31"/>
  <c r="H7" i="31"/>
  <c r="B233" i="31"/>
  <c r="C233" i="31"/>
  <c r="G7" i="31"/>
  <c r="Y238" i="31"/>
  <c r="X238" i="31"/>
  <c r="E82" i="31"/>
  <c r="W238" i="31"/>
  <c r="B90" i="31"/>
  <c r="AI89" i="31"/>
  <c r="AH89" i="31"/>
  <c r="N82" i="31"/>
  <c r="E259" i="31"/>
  <c r="G223" i="31"/>
  <c r="G100" i="31" s="1"/>
  <c r="AD82" i="31"/>
  <c r="F82" i="31"/>
  <c r="AH79" i="31"/>
  <c r="AI79" i="31"/>
  <c r="B81" i="31"/>
  <c r="H218" i="31"/>
  <c r="G224" i="31"/>
  <c r="AC39" i="30"/>
  <c r="AB39" i="30"/>
  <c r="AA103" i="30"/>
  <c r="AA39" i="30"/>
  <c r="Z39" i="30"/>
  <c r="Y103" i="30"/>
  <c r="Y39" i="30"/>
  <c r="W103" i="30"/>
  <c r="W39" i="30"/>
  <c r="H259" i="34" l="1"/>
  <c r="J223" i="34"/>
  <c r="J100" i="34"/>
  <c r="J224" i="34"/>
  <c r="K218" i="34"/>
  <c r="G259" i="33"/>
  <c r="I223" i="33"/>
  <c r="H100" i="33"/>
  <c r="H224" i="33"/>
  <c r="AH82" i="33"/>
  <c r="AI82" i="33"/>
  <c r="K218" i="33"/>
  <c r="AI82" i="32"/>
  <c r="AH82" i="32"/>
  <c r="H218" i="32"/>
  <c r="G224" i="32"/>
  <c r="G100" i="32"/>
  <c r="G259" i="32"/>
  <c r="I223" i="32"/>
  <c r="K6" i="31"/>
  <c r="I218" i="31"/>
  <c r="H100" i="31"/>
  <c r="T238" i="31"/>
  <c r="B82" i="31"/>
  <c r="AI81" i="31"/>
  <c r="AH81" i="31"/>
  <c r="B7" i="31"/>
  <c r="A7" i="31" s="1"/>
  <c r="F259" i="31"/>
  <c r="H223" i="31"/>
  <c r="AI90" i="31"/>
  <c r="AH90" i="31"/>
  <c r="L218" i="34" l="1"/>
  <c r="K223" i="34"/>
  <c r="I259" i="34"/>
  <c r="H259" i="33"/>
  <c r="J223" i="33"/>
  <c r="I100" i="33"/>
  <c r="I224" i="33"/>
  <c r="L218" i="33"/>
  <c r="I218" i="32"/>
  <c r="H100" i="32"/>
  <c r="H224" i="32"/>
  <c r="H259" i="32"/>
  <c r="J223" i="32"/>
  <c r="AI82" i="31"/>
  <c r="AH82" i="31"/>
  <c r="G259" i="31"/>
  <c r="I223" i="31"/>
  <c r="I100" i="31" s="1"/>
  <c r="H224" i="31"/>
  <c r="I224" i="31"/>
  <c r="J218" i="31"/>
  <c r="J259" i="34" l="1"/>
  <c r="L223" i="34"/>
  <c r="L224" i="34"/>
  <c r="M218" i="34"/>
  <c r="L100" i="34"/>
  <c r="K224" i="34"/>
  <c r="K100" i="34"/>
  <c r="M218" i="33"/>
  <c r="K223" i="33"/>
  <c r="I259" i="33"/>
  <c r="J100" i="33"/>
  <c r="J224" i="33"/>
  <c r="I100" i="32"/>
  <c r="I224" i="32"/>
  <c r="J218" i="32"/>
  <c r="K223" i="32"/>
  <c r="I259" i="32"/>
  <c r="H259" i="31"/>
  <c r="J223" i="31"/>
  <c r="J100" i="31"/>
  <c r="J224" i="31"/>
  <c r="K218" i="31"/>
  <c r="N218" i="34" l="1"/>
  <c r="K259" i="34"/>
  <c r="M223" i="34"/>
  <c r="L223" i="33"/>
  <c r="J259" i="33"/>
  <c r="K100" i="33"/>
  <c r="K224" i="33"/>
  <c r="N218" i="33"/>
  <c r="J259" i="32"/>
  <c r="L223" i="32"/>
  <c r="J100" i="32"/>
  <c r="J224" i="32"/>
  <c r="K218" i="32"/>
  <c r="L218" i="31"/>
  <c r="K223" i="31"/>
  <c r="I259" i="31"/>
  <c r="O218" i="34" l="1"/>
  <c r="L259" i="34"/>
  <c r="N223" i="34"/>
  <c r="M100" i="34"/>
  <c r="M224" i="34"/>
  <c r="O218" i="33"/>
  <c r="M223" i="33"/>
  <c r="K259" i="33"/>
  <c r="L224" i="33"/>
  <c r="L100" i="33"/>
  <c r="K100" i="32"/>
  <c r="K224" i="32"/>
  <c r="L218" i="32"/>
  <c r="M223" i="32"/>
  <c r="K259" i="32"/>
  <c r="J259" i="31"/>
  <c r="L223" i="31"/>
  <c r="L224" i="31"/>
  <c r="M218" i="31"/>
  <c r="L100" i="31"/>
  <c r="K224" i="31"/>
  <c r="K100" i="31"/>
  <c r="M259" i="34" l="1"/>
  <c r="O223" i="34"/>
  <c r="N224" i="34"/>
  <c r="N100" i="34"/>
  <c r="P218" i="34"/>
  <c r="O100" i="34"/>
  <c r="O224" i="34"/>
  <c r="L259" i="33"/>
  <c r="N223" i="33"/>
  <c r="M100" i="33"/>
  <c r="M224" i="33"/>
  <c r="P218" i="33"/>
  <c r="L259" i="32"/>
  <c r="N223" i="32"/>
  <c r="L224" i="32"/>
  <c r="M218" i="32"/>
  <c r="L100" i="32"/>
  <c r="N218" i="31"/>
  <c r="M100" i="31"/>
  <c r="K259" i="31"/>
  <c r="M223" i="31"/>
  <c r="N259" i="34" l="1"/>
  <c r="P223" i="34"/>
  <c r="O259" i="34" s="1"/>
  <c r="M259" i="33"/>
  <c r="O223" i="33"/>
  <c r="N100" i="33"/>
  <c r="N224" i="33"/>
  <c r="N218" i="32"/>
  <c r="M224" i="32"/>
  <c r="M100" i="32"/>
  <c r="M259" i="32"/>
  <c r="O223" i="32"/>
  <c r="L259" i="31"/>
  <c r="N223" i="31"/>
  <c r="M224" i="31"/>
  <c r="O218" i="31"/>
  <c r="N100" i="31"/>
  <c r="N224" i="31"/>
  <c r="P224" i="34" l="1"/>
  <c r="P100" i="34"/>
  <c r="N259" i="33"/>
  <c r="P223" i="33"/>
  <c r="O100" i="33"/>
  <c r="O224" i="33"/>
  <c r="N259" i="32"/>
  <c r="P223" i="32"/>
  <c r="O259" i="32" s="1"/>
  <c r="O218" i="32"/>
  <c r="N224" i="32"/>
  <c r="N100" i="32"/>
  <c r="P218" i="31"/>
  <c r="O223" i="31"/>
  <c r="O224" i="31" s="1"/>
  <c r="M259" i="31"/>
  <c r="AI100" i="34" l="1"/>
  <c r="AH100" i="34"/>
  <c r="O259" i="33"/>
  <c r="P100" i="33"/>
  <c r="P224" i="33"/>
  <c r="P218" i="32"/>
  <c r="O224" i="32"/>
  <c r="O100" i="32"/>
  <c r="N259" i="31"/>
  <c r="P223" i="31"/>
  <c r="O259" i="31" s="1"/>
  <c r="O100" i="31"/>
  <c r="P100" i="31"/>
  <c r="P224" i="31"/>
  <c r="AI100" i="33" l="1"/>
  <c r="AH100" i="33"/>
  <c r="P100" i="32"/>
  <c r="P224" i="32"/>
  <c r="AI100" i="31"/>
  <c r="AH100" i="31"/>
  <c r="AH100" i="32" l="1"/>
  <c r="AI100" i="32"/>
  <c r="V103" i="30" l="1"/>
  <c r="V62" i="30"/>
  <c r="V39" i="30"/>
  <c r="U103" i="30"/>
  <c r="U39" i="30"/>
  <c r="T103" i="30" l="1"/>
  <c r="T39" i="30"/>
  <c r="S39" i="30"/>
  <c r="R39" i="30"/>
  <c r="Q39" i="30"/>
  <c r="P39" i="30"/>
  <c r="O39" i="30" l="1"/>
  <c r="N39" i="30"/>
  <c r="M39" i="30"/>
  <c r="L39" i="30"/>
  <c r="K103" i="30"/>
  <c r="K39" i="30"/>
  <c r="J39" i="30"/>
  <c r="I103" i="30"/>
  <c r="I39" i="30"/>
  <c r="H103" i="30"/>
  <c r="H39" i="30"/>
  <c r="G103" i="30"/>
  <c r="G39" i="30"/>
  <c r="F103" i="30"/>
  <c r="F39" i="30"/>
  <c r="AI39" i="30" s="1"/>
  <c r="E103" i="30"/>
  <c r="E39" i="30"/>
  <c r="AF263" i="30"/>
  <c r="AE263" i="30"/>
  <c r="AD263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J263" i="30"/>
  <c r="I263" i="30"/>
  <c r="H263" i="30"/>
  <c r="G263" i="30"/>
  <c r="F263" i="30"/>
  <c r="E263" i="30"/>
  <c r="D263" i="30"/>
  <c r="C263" i="30"/>
  <c r="B263" i="30"/>
  <c r="A263" i="30"/>
  <c r="AF262" i="30"/>
  <c r="AE262" i="30"/>
  <c r="AD262" i="30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J262" i="30"/>
  <c r="I262" i="30"/>
  <c r="H262" i="30"/>
  <c r="G262" i="30"/>
  <c r="F262" i="30"/>
  <c r="E262" i="30"/>
  <c r="D262" i="30"/>
  <c r="C262" i="30"/>
  <c r="B262" i="30"/>
  <c r="A262" i="30"/>
  <c r="AF261" i="30"/>
  <c r="AE261" i="30"/>
  <c r="AD261" i="30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J261" i="30"/>
  <c r="I261" i="30"/>
  <c r="H261" i="30"/>
  <c r="G261" i="30"/>
  <c r="F261" i="30"/>
  <c r="E261" i="30"/>
  <c r="D261" i="30"/>
  <c r="C261" i="30"/>
  <c r="B261" i="30"/>
  <c r="A261" i="30"/>
  <c r="AF260" i="30"/>
  <c r="AE260" i="30"/>
  <c r="AD260" i="30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J260" i="30"/>
  <c r="I260" i="30"/>
  <c r="H260" i="30"/>
  <c r="G260" i="30"/>
  <c r="F260" i="30"/>
  <c r="E260" i="30"/>
  <c r="D260" i="30"/>
  <c r="C260" i="30"/>
  <c r="B260" i="30"/>
  <c r="A260" i="30"/>
  <c r="AE259" i="30"/>
  <c r="AD259" i="30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B259" i="30"/>
  <c r="S234" i="30"/>
  <c r="AG224" i="30"/>
  <c r="AG57" i="30" s="1"/>
  <c r="AG58" i="30" s="1"/>
  <c r="AG3" i="30" s="1"/>
  <c r="AF224" i="30"/>
  <c r="AE224" i="30"/>
  <c r="AD224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C224" i="30"/>
  <c r="E223" i="30"/>
  <c r="F223" i="30" s="1"/>
  <c r="D223" i="30"/>
  <c r="C259" i="30" s="1"/>
  <c r="B223" i="30"/>
  <c r="AF259" i="30" s="1"/>
  <c r="D222" i="30"/>
  <c r="E222" i="30" s="1"/>
  <c r="F222" i="30" s="1"/>
  <c r="G222" i="30" s="1"/>
  <c r="H222" i="30" s="1"/>
  <c r="I222" i="30" s="1"/>
  <c r="J222" i="30" s="1"/>
  <c r="K222" i="30" s="1"/>
  <c r="L222" i="30" s="1"/>
  <c r="M222" i="30" s="1"/>
  <c r="N222" i="30" s="1"/>
  <c r="O222" i="30" s="1"/>
  <c r="P222" i="30" s="1"/>
  <c r="B222" i="30"/>
  <c r="D221" i="30"/>
  <c r="B221" i="30"/>
  <c r="D220" i="30"/>
  <c r="E220" i="30" s="1"/>
  <c r="F220" i="30" s="1"/>
  <c r="G220" i="30" s="1"/>
  <c r="H220" i="30" s="1"/>
  <c r="I220" i="30" s="1"/>
  <c r="J220" i="30" s="1"/>
  <c r="K220" i="30" s="1"/>
  <c r="L220" i="30" s="1"/>
  <c r="M220" i="30" s="1"/>
  <c r="N220" i="30" s="1"/>
  <c r="O220" i="30" s="1"/>
  <c r="P220" i="30" s="1"/>
  <c r="B220" i="30"/>
  <c r="D219" i="30"/>
  <c r="E219" i="30" s="1"/>
  <c r="F219" i="30" s="1"/>
  <c r="G219" i="30" s="1"/>
  <c r="H219" i="30" s="1"/>
  <c r="I219" i="30" s="1"/>
  <c r="J219" i="30" s="1"/>
  <c r="K219" i="30" s="1"/>
  <c r="L219" i="30" s="1"/>
  <c r="M219" i="30" s="1"/>
  <c r="N219" i="30" s="1"/>
  <c r="O219" i="30" s="1"/>
  <c r="P219" i="30" s="1"/>
  <c r="B219" i="30"/>
  <c r="E218" i="30"/>
  <c r="E100" i="30" s="1"/>
  <c r="D218" i="30"/>
  <c r="B218" i="30"/>
  <c r="AG216" i="30"/>
  <c r="AF216" i="30"/>
  <c r="AE216" i="30"/>
  <c r="AD216" i="30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J216" i="30"/>
  <c r="I216" i="30"/>
  <c r="H216" i="30"/>
  <c r="G216" i="30"/>
  <c r="F216" i="30"/>
  <c r="E216" i="30"/>
  <c r="D216" i="30"/>
  <c r="C216" i="30"/>
  <c r="B216" i="30"/>
  <c r="AI109" i="30"/>
  <c r="AH109" i="30"/>
  <c r="AI108" i="30"/>
  <c r="AH108" i="30"/>
  <c r="AI107" i="30"/>
  <c r="AH107" i="30"/>
  <c r="AI106" i="30"/>
  <c r="AH106" i="30"/>
  <c r="AI105" i="30"/>
  <c r="AH105" i="30"/>
  <c r="AI104" i="30"/>
  <c r="AH104" i="30"/>
  <c r="AI103" i="30"/>
  <c r="AH103" i="30"/>
  <c r="AI102" i="30"/>
  <c r="AH102" i="30"/>
  <c r="AI101" i="30"/>
  <c r="AH101" i="30"/>
  <c r="AF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D100" i="30"/>
  <c r="C100" i="30"/>
  <c r="AI99" i="30"/>
  <c r="AH99" i="30"/>
  <c r="AI98" i="30"/>
  <c r="AH98" i="30"/>
  <c r="AI97" i="30"/>
  <c r="AH97" i="30"/>
  <c r="AI96" i="30"/>
  <c r="AH96" i="30"/>
  <c r="AI95" i="30"/>
  <c r="AH95" i="30"/>
  <c r="AI94" i="30"/>
  <c r="AH94" i="30"/>
  <c r="AI93" i="30"/>
  <c r="AH93" i="30"/>
  <c r="AI92" i="30"/>
  <c r="AH92" i="30"/>
  <c r="AI91" i="30"/>
  <c r="AH91" i="30"/>
  <c r="AI88" i="30"/>
  <c r="AH88" i="30"/>
  <c r="AF87" i="30"/>
  <c r="AE87" i="30"/>
  <c r="AD87" i="30"/>
  <c r="AC87" i="30"/>
  <c r="AB87" i="30"/>
  <c r="AB89" i="30" s="1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AF86" i="30"/>
  <c r="AE86" i="30"/>
  <c r="AD86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AF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AF83" i="30"/>
  <c r="AE83" i="30"/>
  <c r="AD83" i="30"/>
  <c r="AC83" i="30"/>
  <c r="AB83" i="30"/>
  <c r="AA83" i="30"/>
  <c r="Z83" i="30"/>
  <c r="Y83" i="30"/>
  <c r="X83" i="30"/>
  <c r="X89" i="30" s="1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H89" i="30" s="1"/>
  <c r="G83" i="30"/>
  <c r="F83" i="30"/>
  <c r="E83" i="30"/>
  <c r="D83" i="30"/>
  <c r="D89" i="30" s="1"/>
  <c r="C83" i="30"/>
  <c r="B83" i="30"/>
  <c r="AI80" i="30"/>
  <c r="AH80" i="30"/>
  <c r="AI78" i="30"/>
  <c r="AH78" i="30"/>
  <c r="AG78" i="30"/>
  <c r="AI77" i="30"/>
  <c r="AH77" i="30"/>
  <c r="AI76" i="30"/>
  <c r="AH76" i="30"/>
  <c r="AI75" i="30"/>
  <c r="AH75" i="30"/>
  <c r="AG74" i="30"/>
  <c r="AF74" i="30"/>
  <c r="AE5" i="30" s="1"/>
  <c r="AE74" i="30"/>
  <c r="AD5" i="30" s="1"/>
  <c r="AD74" i="30"/>
  <c r="AC5" i="30" s="1"/>
  <c r="AC74" i="30"/>
  <c r="AB74" i="30"/>
  <c r="AA74" i="30"/>
  <c r="Z5" i="30" s="1"/>
  <c r="Z74" i="30"/>
  <c r="Y74" i="30"/>
  <c r="X74" i="30"/>
  <c r="W5" i="30" s="1"/>
  <c r="W74" i="30"/>
  <c r="V74" i="30"/>
  <c r="U74" i="30"/>
  <c r="T74" i="30"/>
  <c r="S5" i="30" s="1"/>
  <c r="S74" i="30"/>
  <c r="R5" i="30" s="1"/>
  <c r="R74" i="30"/>
  <c r="Q74" i="30"/>
  <c r="P74" i="30"/>
  <c r="O74" i="30"/>
  <c r="N74" i="30"/>
  <c r="M74" i="30"/>
  <c r="L74" i="30"/>
  <c r="K74" i="30"/>
  <c r="J5" i="30" s="1"/>
  <c r="J74" i="30"/>
  <c r="I5" i="30" s="1"/>
  <c r="I74" i="30"/>
  <c r="H5" i="30" s="1"/>
  <c r="H74" i="30"/>
  <c r="G74" i="30"/>
  <c r="F5" i="30" s="1"/>
  <c r="F74" i="30"/>
  <c r="E5" i="30" s="1"/>
  <c r="E74" i="30"/>
  <c r="D74" i="30"/>
  <c r="C74" i="30"/>
  <c r="B5" i="30" s="1"/>
  <c r="B74" i="30"/>
  <c r="AF5" i="30" s="1"/>
  <c r="AI73" i="30"/>
  <c r="AH73" i="30"/>
  <c r="AI72" i="30"/>
  <c r="AH72" i="30"/>
  <c r="AI71" i="30"/>
  <c r="AH71" i="30"/>
  <c r="AI70" i="30"/>
  <c r="AH70" i="30"/>
  <c r="AI69" i="30"/>
  <c r="AH69" i="30"/>
  <c r="AI68" i="30"/>
  <c r="AH68" i="30"/>
  <c r="AI67" i="30"/>
  <c r="AH67" i="30"/>
  <c r="AI66" i="30"/>
  <c r="AH66" i="30"/>
  <c r="AI65" i="30"/>
  <c r="AH65" i="30"/>
  <c r="AI64" i="30"/>
  <c r="AH64" i="30"/>
  <c r="AI63" i="30"/>
  <c r="AH63" i="30"/>
  <c r="AG62" i="30"/>
  <c r="AG81" i="30" s="1"/>
  <c r="AF62" i="30"/>
  <c r="AE62" i="30"/>
  <c r="AD62" i="30"/>
  <c r="AC62" i="30"/>
  <c r="AB62" i="30"/>
  <c r="AA62" i="30"/>
  <c r="Z62" i="30"/>
  <c r="Y62" i="30"/>
  <c r="X62" i="30"/>
  <c r="W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AI61" i="30"/>
  <c r="AH61" i="30"/>
  <c r="AI60" i="30"/>
  <c r="AH60" i="30"/>
  <c r="AI59" i="30"/>
  <c r="AH59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B58" i="30"/>
  <c r="AI57" i="30"/>
  <c r="AH57" i="30"/>
  <c r="AI56" i="30"/>
  <c r="AH56" i="30"/>
  <c r="AI55" i="30"/>
  <c r="AH55" i="30"/>
  <c r="AI54" i="30"/>
  <c r="AH54" i="30"/>
  <c r="AI53" i="30"/>
  <c r="AH53" i="30"/>
  <c r="AI52" i="30"/>
  <c r="AH52" i="30"/>
  <c r="AI51" i="30"/>
  <c r="AH51" i="30"/>
  <c r="AI50" i="30"/>
  <c r="AH50" i="30"/>
  <c r="AI49" i="30"/>
  <c r="AH49" i="30"/>
  <c r="AI48" i="30"/>
  <c r="AH48" i="30"/>
  <c r="AI47" i="30"/>
  <c r="AH47" i="30"/>
  <c r="AI46" i="30"/>
  <c r="AH46" i="30"/>
  <c r="AI45" i="30"/>
  <c r="AH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AI43" i="30"/>
  <c r="AH43" i="30"/>
  <c r="AI42" i="30"/>
  <c r="AH42" i="30"/>
  <c r="AI41" i="30"/>
  <c r="AH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AI38" i="30"/>
  <c r="AH38" i="30"/>
  <c r="AI37" i="30"/>
  <c r="AH37" i="30"/>
  <c r="AI36" i="30"/>
  <c r="AH36" i="30"/>
  <c r="AI35" i="30"/>
  <c r="AH35" i="30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AI23" i="30"/>
  <c r="AH23" i="30"/>
  <c r="AI22" i="30"/>
  <c r="AH22" i="30"/>
  <c r="AI21" i="30"/>
  <c r="AH21" i="30"/>
  <c r="AI20" i="30"/>
  <c r="AH20" i="30"/>
  <c r="AI19" i="30"/>
  <c r="AH19" i="30"/>
  <c r="AI18" i="30"/>
  <c r="AH18" i="30"/>
  <c r="AI17" i="30"/>
  <c r="AH17" i="30"/>
  <c r="AI16" i="30"/>
  <c r="AH16" i="30"/>
  <c r="AI15" i="30"/>
  <c r="AH15" i="30"/>
  <c r="AI14" i="30"/>
  <c r="AH14" i="30"/>
  <c r="AI13" i="30"/>
  <c r="AH13" i="30"/>
  <c r="AI12" i="30"/>
  <c r="AH12" i="30"/>
  <c r="AI11" i="30"/>
  <c r="AH11" i="30"/>
  <c r="AA5" i="30"/>
  <c r="K4" i="30"/>
  <c r="B4" i="30"/>
  <c r="S235" i="30" s="1"/>
  <c r="AK11" i="29"/>
  <c r="AB103" i="29"/>
  <c r="AB39" i="29"/>
  <c r="AA39" i="29"/>
  <c r="Z39" i="29"/>
  <c r="E4" i="30"/>
  <c r="B224" i="30" l="1"/>
  <c r="AG4" i="30"/>
  <c r="AH39" i="30"/>
  <c r="AA89" i="30"/>
  <c r="F218" i="30"/>
  <c r="G218" i="30" s="1"/>
  <c r="D224" i="30"/>
  <c r="AG79" i="30"/>
  <c r="H90" i="30"/>
  <c r="U89" i="30"/>
  <c r="AC89" i="30"/>
  <c r="AG2" i="30"/>
  <c r="AG6" i="30" s="1"/>
  <c r="F89" i="30"/>
  <c r="V89" i="30"/>
  <c r="AB79" i="30"/>
  <c r="AB81" i="30" s="1"/>
  <c r="D259" i="30"/>
  <c r="AF89" i="30"/>
  <c r="AF90" i="30" s="1"/>
  <c r="AF79" i="30"/>
  <c r="AF81" i="30" s="1"/>
  <c r="AE89" i="30"/>
  <c r="AE90" i="30"/>
  <c r="AE79" i="30"/>
  <c r="AE81" i="30" s="1"/>
  <c r="AD89" i="30"/>
  <c r="AD90" i="30" s="1"/>
  <c r="AD79" i="30"/>
  <c r="AD81" i="30" s="1"/>
  <c r="AC79" i="30"/>
  <c r="AC81" i="30" s="1"/>
  <c r="AC7" i="30" s="1"/>
  <c r="AB90" i="30"/>
  <c r="AA90" i="30"/>
  <c r="AA79" i="30"/>
  <c r="AA81" i="30" s="1"/>
  <c r="Z89" i="30"/>
  <c r="Z90" i="30" s="1"/>
  <c r="Y5" i="30"/>
  <c r="Z79" i="30"/>
  <c r="Z81" i="30" s="1"/>
  <c r="Y89" i="30"/>
  <c r="Y90" i="30"/>
  <c r="X5" i="30"/>
  <c r="Y79" i="30"/>
  <c r="Y81" i="30" s="1"/>
  <c r="X90" i="30"/>
  <c r="X79" i="30"/>
  <c r="X81" i="30" s="1"/>
  <c r="W89" i="30"/>
  <c r="W90" i="30" s="1"/>
  <c r="V5" i="30"/>
  <c r="W79" i="30"/>
  <c r="W81" i="30" s="1"/>
  <c r="V90" i="30"/>
  <c r="U5" i="30"/>
  <c r="V79" i="30"/>
  <c r="V81" i="30" s="1"/>
  <c r="U79" i="30"/>
  <c r="U81" i="30" s="1"/>
  <c r="T89" i="30"/>
  <c r="T90" i="30" s="1"/>
  <c r="T79" i="30"/>
  <c r="T81" i="30" s="1"/>
  <c r="T82" i="30" s="1"/>
  <c r="S89" i="30"/>
  <c r="S90" i="30" s="1"/>
  <c r="S79" i="30"/>
  <c r="S81" i="30" s="1"/>
  <c r="S7" i="30" s="1"/>
  <c r="R89" i="30"/>
  <c r="R90" i="30" s="1"/>
  <c r="Q5" i="30"/>
  <c r="Q89" i="30"/>
  <c r="Q90" i="30" s="1"/>
  <c r="P5" i="30"/>
  <c r="P89" i="30"/>
  <c r="P90" i="30" s="1"/>
  <c r="O5" i="30"/>
  <c r="O89" i="30"/>
  <c r="O90" i="30" s="1"/>
  <c r="AI84" i="30"/>
  <c r="N5" i="30"/>
  <c r="O79" i="30"/>
  <c r="O81" i="30" s="1"/>
  <c r="O7" i="30" s="1"/>
  <c r="N89" i="30"/>
  <c r="N90" i="30" s="1"/>
  <c r="N79" i="30"/>
  <c r="N81" i="30" s="1"/>
  <c r="N7" i="30" s="1"/>
  <c r="M5" i="30"/>
  <c r="AH85" i="30"/>
  <c r="M89" i="30"/>
  <c r="M79" i="30"/>
  <c r="M81" i="30" s="1"/>
  <c r="AE238" i="30" s="1"/>
  <c r="AI62" i="30"/>
  <c r="P79" i="30"/>
  <c r="P81" i="30" s="1"/>
  <c r="P82" i="30" s="1"/>
  <c r="Q79" i="30"/>
  <c r="Q81" i="30" s="1"/>
  <c r="AI238" i="30" s="1"/>
  <c r="R79" i="30"/>
  <c r="R81" i="30" s="1"/>
  <c r="L89" i="30"/>
  <c r="L90" i="30"/>
  <c r="K5" i="30"/>
  <c r="L79" i="30"/>
  <c r="L81" i="30" s="1"/>
  <c r="AD238" i="30" s="1"/>
  <c r="K89" i="30"/>
  <c r="K90" i="30" s="1"/>
  <c r="K79" i="30"/>
  <c r="K81" i="30" s="1"/>
  <c r="AC238" i="30" s="1"/>
  <c r="AI86" i="30"/>
  <c r="J89" i="30"/>
  <c r="J90" i="30" s="1"/>
  <c r="J79" i="30"/>
  <c r="J81" i="30" s="1"/>
  <c r="I89" i="30"/>
  <c r="I90" i="30" s="1"/>
  <c r="I79" i="30"/>
  <c r="I81" i="30" s="1"/>
  <c r="I7" i="30" s="1"/>
  <c r="G5" i="30"/>
  <c r="H79" i="30"/>
  <c r="H81" i="30" s="1"/>
  <c r="Z238" i="30" s="1"/>
  <c r="G89" i="30"/>
  <c r="G90" i="30" s="1"/>
  <c r="G79" i="30"/>
  <c r="G81" i="30" s="1"/>
  <c r="Y238" i="30" s="1"/>
  <c r="F90" i="30"/>
  <c r="F79" i="30"/>
  <c r="F81" i="30" s="1"/>
  <c r="F7" i="30" s="1"/>
  <c r="E89" i="30"/>
  <c r="E79" i="30"/>
  <c r="E81" i="30" s="1"/>
  <c r="E7" i="30" s="1"/>
  <c r="D90" i="30"/>
  <c r="AI85" i="30"/>
  <c r="AH84" i="30"/>
  <c r="C5" i="30"/>
  <c r="D79" i="30"/>
  <c r="D81" i="30" s="1"/>
  <c r="D7" i="30" s="1"/>
  <c r="AI40" i="30"/>
  <c r="C89" i="30"/>
  <c r="C90" i="30" s="1"/>
  <c r="AI87" i="30"/>
  <c r="AI83" i="30"/>
  <c r="AI58" i="30"/>
  <c r="C79" i="30"/>
  <c r="C81" i="30" s="1"/>
  <c r="U238" i="30" s="1"/>
  <c r="AH44" i="30"/>
  <c r="H4" i="30"/>
  <c r="Y7" i="30"/>
  <c r="AQ238" i="30"/>
  <c r="Y82" i="30"/>
  <c r="AK238" i="30"/>
  <c r="S82" i="30"/>
  <c r="AA7" i="30"/>
  <c r="AS238" i="30"/>
  <c r="AA82" i="30"/>
  <c r="E224" i="30"/>
  <c r="G223" i="30"/>
  <c r="E259" i="30"/>
  <c r="T7" i="30"/>
  <c r="AL238" i="30"/>
  <c r="AB7" i="30"/>
  <c r="AB82" i="30"/>
  <c r="AT238" i="30"/>
  <c r="H218" i="30"/>
  <c r="U7" i="30"/>
  <c r="AM238" i="30"/>
  <c r="U82" i="30"/>
  <c r="V7" i="30"/>
  <c r="AN238" i="30"/>
  <c r="V82" i="30"/>
  <c r="AD7" i="30"/>
  <c r="Z7" i="30"/>
  <c r="AR238" i="30"/>
  <c r="Z82" i="30"/>
  <c r="O82" i="30"/>
  <c r="AO238" i="30"/>
  <c r="W82" i="30"/>
  <c r="W7" i="30"/>
  <c r="AW238" i="30"/>
  <c r="AE82" i="30"/>
  <c r="AE7" i="30"/>
  <c r="G7" i="30"/>
  <c r="X7" i="30"/>
  <c r="AP238" i="30"/>
  <c r="X82" i="30"/>
  <c r="AF7" i="30"/>
  <c r="AX238" i="30"/>
  <c r="E90" i="30"/>
  <c r="M90" i="30"/>
  <c r="U90" i="30"/>
  <c r="AC90" i="30"/>
  <c r="D235" i="30"/>
  <c r="AH40" i="30"/>
  <c r="AH58" i="30"/>
  <c r="AH62" i="30"/>
  <c r="AH74" i="30"/>
  <c r="F224" i="30"/>
  <c r="AI74" i="30"/>
  <c r="AH83" i="30"/>
  <c r="B89" i="30"/>
  <c r="B90" i="30" s="1"/>
  <c r="F100" i="30"/>
  <c r="D5" i="30"/>
  <c r="L5" i="30"/>
  <c r="T5" i="30"/>
  <c r="AB5" i="30"/>
  <c r="B79" i="30"/>
  <c r="AI44" i="30"/>
  <c r="AH86" i="30"/>
  <c r="E221" i="30"/>
  <c r="F221" i="30" s="1"/>
  <c r="G221" i="30" s="1"/>
  <c r="H221" i="30" s="1"/>
  <c r="I221" i="30" s="1"/>
  <c r="J221" i="30" s="1"/>
  <c r="K221" i="30" s="1"/>
  <c r="L221" i="30" s="1"/>
  <c r="M221" i="30" s="1"/>
  <c r="N221" i="30" s="1"/>
  <c r="O221" i="30" s="1"/>
  <c r="P221" i="30" s="1"/>
  <c r="AH87" i="30"/>
  <c r="B100" i="30"/>
  <c r="Y103" i="29"/>
  <c r="Y100" i="29" s="1"/>
  <c r="Y39" i="29"/>
  <c r="W39" i="29"/>
  <c r="V103" i="29"/>
  <c r="V39" i="29"/>
  <c r="U39" i="29"/>
  <c r="T103" i="29"/>
  <c r="T39" i="29"/>
  <c r="S39" i="29"/>
  <c r="R103" i="29"/>
  <c r="R39" i="29"/>
  <c r="Q103" i="29"/>
  <c r="Q39" i="29"/>
  <c r="P103" i="29"/>
  <c r="P39" i="29"/>
  <c r="O103" i="29"/>
  <c r="O39" i="29"/>
  <c r="AI39" i="29" s="1"/>
  <c r="N103" i="29"/>
  <c r="AI103" i="29" s="1"/>
  <c r="N39" i="29"/>
  <c r="M103" i="29"/>
  <c r="M39" i="29"/>
  <c r="AF263" i="29"/>
  <c r="AE263" i="29"/>
  <c r="AD263" i="29"/>
  <c r="AC263" i="29"/>
  <c r="AB263" i="29"/>
  <c r="AA263" i="29"/>
  <c r="Z263" i="29"/>
  <c r="Y263" i="29"/>
  <c r="X263" i="29"/>
  <c r="W263" i="29"/>
  <c r="V263" i="29"/>
  <c r="U263" i="29"/>
  <c r="T263" i="29"/>
  <c r="S263" i="29"/>
  <c r="R263" i="29"/>
  <c r="Q263" i="29"/>
  <c r="P263" i="29"/>
  <c r="O263" i="29"/>
  <c r="N263" i="29"/>
  <c r="M263" i="29"/>
  <c r="L263" i="29"/>
  <c r="K263" i="29"/>
  <c r="J263" i="29"/>
  <c r="I263" i="29"/>
  <c r="H263" i="29"/>
  <c r="G263" i="29"/>
  <c r="F263" i="29"/>
  <c r="E263" i="29"/>
  <c r="D263" i="29"/>
  <c r="C263" i="29"/>
  <c r="B263" i="29"/>
  <c r="A263" i="29"/>
  <c r="AF262" i="29"/>
  <c r="AE262" i="29"/>
  <c r="AD262" i="29"/>
  <c r="AC262" i="29"/>
  <c r="AB262" i="29"/>
  <c r="AA262" i="29"/>
  <c r="Z262" i="29"/>
  <c r="Y262" i="29"/>
  <c r="X262" i="29"/>
  <c r="W262" i="29"/>
  <c r="V262" i="29"/>
  <c r="U262" i="29"/>
  <c r="T262" i="29"/>
  <c r="S262" i="29"/>
  <c r="R262" i="29"/>
  <c r="Q262" i="29"/>
  <c r="P262" i="29"/>
  <c r="O262" i="29"/>
  <c r="N262" i="29"/>
  <c r="M262" i="29"/>
  <c r="L262" i="29"/>
  <c r="K262" i="29"/>
  <c r="J262" i="29"/>
  <c r="I262" i="29"/>
  <c r="H262" i="29"/>
  <c r="G262" i="29"/>
  <c r="F262" i="29"/>
  <c r="E262" i="29"/>
  <c r="D262" i="29"/>
  <c r="C262" i="29"/>
  <c r="B262" i="29"/>
  <c r="A262" i="29"/>
  <c r="AF261" i="29"/>
  <c r="AE261" i="29"/>
  <c r="AD261" i="29"/>
  <c r="AC261" i="29"/>
  <c r="AB261" i="29"/>
  <c r="AA261" i="29"/>
  <c r="Z261" i="29"/>
  <c r="Y261" i="29"/>
  <c r="X261" i="29"/>
  <c r="W261" i="29"/>
  <c r="V261" i="29"/>
  <c r="U261" i="29"/>
  <c r="T261" i="29"/>
  <c r="S261" i="29"/>
  <c r="R261" i="29"/>
  <c r="Q261" i="29"/>
  <c r="P261" i="29"/>
  <c r="O261" i="29"/>
  <c r="N261" i="29"/>
  <c r="M261" i="29"/>
  <c r="L261" i="29"/>
  <c r="K261" i="29"/>
  <c r="J261" i="29"/>
  <c r="I261" i="29"/>
  <c r="H261" i="29"/>
  <c r="G261" i="29"/>
  <c r="F261" i="29"/>
  <c r="E261" i="29"/>
  <c r="D261" i="29"/>
  <c r="C261" i="29"/>
  <c r="B261" i="29"/>
  <c r="A261" i="29"/>
  <c r="AF260" i="29"/>
  <c r="AE260" i="29"/>
  <c r="AD260" i="29"/>
  <c r="AC260" i="29"/>
  <c r="AB260" i="29"/>
  <c r="AA260" i="29"/>
  <c r="Z260" i="29"/>
  <c r="Y260" i="29"/>
  <c r="X260" i="29"/>
  <c r="W260" i="29"/>
  <c r="V260" i="29"/>
  <c r="U260" i="29"/>
  <c r="T260" i="29"/>
  <c r="S260" i="29"/>
  <c r="R260" i="29"/>
  <c r="Q260" i="29"/>
  <c r="P260" i="29"/>
  <c r="O260" i="29"/>
  <c r="N260" i="29"/>
  <c r="M260" i="29"/>
  <c r="L260" i="29"/>
  <c r="K260" i="29"/>
  <c r="J260" i="29"/>
  <c r="I260" i="29"/>
  <c r="H260" i="29"/>
  <c r="G260" i="29"/>
  <c r="F260" i="29"/>
  <c r="E260" i="29"/>
  <c r="D260" i="29"/>
  <c r="C260" i="29"/>
  <c r="B260" i="29"/>
  <c r="A260" i="29"/>
  <c r="AE259" i="29"/>
  <c r="AD259" i="29"/>
  <c r="AC259" i="29"/>
  <c r="AB259" i="29"/>
  <c r="AA259" i="29"/>
  <c r="Z259" i="29"/>
  <c r="Y259" i="29"/>
  <c r="X259" i="29"/>
  <c r="W259" i="29"/>
  <c r="V259" i="29"/>
  <c r="U259" i="29"/>
  <c r="T259" i="29"/>
  <c r="S259" i="29"/>
  <c r="R259" i="29"/>
  <c r="Q259" i="29"/>
  <c r="P259" i="29"/>
  <c r="B259" i="29"/>
  <c r="S234" i="29"/>
  <c r="AG224" i="29"/>
  <c r="AG57" i="29" s="1"/>
  <c r="AG58" i="29" s="1"/>
  <c r="AF224" i="29"/>
  <c r="AE224" i="29"/>
  <c r="AD224" i="29"/>
  <c r="AC224" i="29"/>
  <c r="AB224" i="29"/>
  <c r="AA224" i="29"/>
  <c r="Z224" i="29"/>
  <c r="Y224" i="29"/>
  <c r="X224" i="29"/>
  <c r="W224" i="29"/>
  <c r="V224" i="29"/>
  <c r="U224" i="29"/>
  <c r="T224" i="29"/>
  <c r="S224" i="29"/>
  <c r="R224" i="29"/>
  <c r="Q224" i="29"/>
  <c r="C224" i="29"/>
  <c r="E223" i="29"/>
  <c r="F223" i="29" s="1"/>
  <c r="D223" i="29"/>
  <c r="C259" i="29" s="1"/>
  <c r="B223" i="29"/>
  <c r="AF259" i="29" s="1"/>
  <c r="E222" i="29"/>
  <c r="F222" i="29" s="1"/>
  <c r="G222" i="29" s="1"/>
  <c r="H222" i="29" s="1"/>
  <c r="I222" i="29" s="1"/>
  <c r="J222" i="29" s="1"/>
  <c r="K222" i="29" s="1"/>
  <c r="L222" i="29" s="1"/>
  <c r="M222" i="29" s="1"/>
  <c r="N222" i="29" s="1"/>
  <c r="O222" i="29" s="1"/>
  <c r="P222" i="29" s="1"/>
  <c r="D222" i="29"/>
  <c r="B222" i="29"/>
  <c r="D221" i="29"/>
  <c r="E221" i="29" s="1"/>
  <c r="F221" i="29" s="1"/>
  <c r="G221" i="29" s="1"/>
  <c r="H221" i="29" s="1"/>
  <c r="I221" i="29" s="1"/>
  <c r="J221" i="29" s="1"/>
  <c r="K221" i="29" s="1"/>
  <c r="L221" i="29" s="1"/>
  <c r="M221" i="29" s="1"/>
  <c r="N221" i="29" s="1"/>
  <c r="O221" i="29" s="1"/>
  <c r="P221" i="29" s="1"/>
  <c r="B221" i="29"/>
  <c r="E220" i="29"/>
  <c r="F220" i="29" s="1"/>
  <c r="G220" i="29" s="1"/>
  <c r="H220" i="29" s="1"/>
  <c r="I220" i="29" s="1"/>
  <c r="J220" i="29" s="1"/>
  <c r="K220" i="29" s="1"/>
  <c r="L220" i="29" s="1"/>
  <c r="M220" i="29" s="1"/>
  <c r="N220" i="29" s="1"/>
  <c r="O220" i="29" s="1"/>
  <c r="P220" i="29" s="1"/>
  <c r="D220" i="29"/>
  <c r="B220" i="29"/>
  <c r="D219" i="29"/>
  <c r="E219" i="29" s="1"/>
  <c r="F219" i="29" s="1"/>
  <c r="G219" i="29" s="1"/>
  <c r="H219" i="29" s="1"/>
  <c r="I219" i="29" s="1"/>
  <c r="J219" i="29" s="1"/>
  <c r="K219" i="29" s="1"/>
  <c r="L219" i="29" s="1"/>
  <c r="M219" i="29" s="1"/>
  <c r="N219" i="29" s="1"/>
  <c r="O219" i="29" s="1"/>
  <c r="P219" i="29" s="1"/>
  <c r="B219" i="29"/>
  <c r="E218" i="29"/>
  <c r="F218" i="29" s="1"/>
  <c r="D218" i="29"/>
  <c r="D100" i="29" s="1"/>
  <c r="B218" i="29"/>
  <c r="B100" i="29" s="1"/>
  <c r="AG216" i="29"/>
  <c r="AF216" i="29"/>
  <c r="AE216" i="29"/>
  <c r="AD216" i="29"/>
  <c r="AC216" i="29"/>
  <c r="AB216" i="29"/>
  <c r="AA216" i="29"/>
  <c r="Z216" i="29"/>
  <c r="Y216" i="29"/>
  <c r="X216" i="29"/>
  <c r="W216" i="29"/>
  <c r="V216" i="29"/>
  <c r="U216" i="29"/>
  <c r="T216" i="29"/>
  <c r="S216" i="29"/>
  <c r="R216" i="29"/>
  <c r="Q216" i="29"/>
  <c r="P216" i="29"/>
  <c r="O216" i="29"/>
  <c r="N216" i="29"/>
  <c r="M216" i="29"/>
  <c r="L216" i="29"/>
  <c r="K216" i="29"/>
  <c r="J216" i="29"/>
  <c r="I216" i="29"/>
  <c r="H216" i="29"/>
  <c r="G216" i="29"/>
  <c r="F216" i="29"/>
  <c r="E216" i="29"/>
  <c r="D216" i="29"/>
  <c r="C216" i="29"/>
  <c r="B216" i="29"/>
  <c r="AI109" i="29"/>
  <c r="AH109" i="29"/>
  <c r="AI108" i="29"/>
  <c r="AH108" i="29"/>
  <c r="AI107" i="29"/>
  <c r="AH107" i="29"/>
  <c r="AI106" i="29"/>
  <c r="AH106" i="29"/>
  <c r="AI105" i="29"/>
  <c r="AH105" i="29"/>
  <c r="AI104" i="29"/>
  <c r="AH104" i="29"/>
  <c r="AI102" i="29"/>
  <c r="AH102" i="29"/>
  <c r="AI101" i="29"/>
  <c r="AH101" i="29"/>
  <c r="AF100" i="29"/>
  <c r="AE100" i="29"/>
  <c r="AD100" i="29"/>
  <c r="AC100" i="29"/>
  <c r="AB100" i="29"/>
  <c r="AA100" i="29"/>
  <c r="Z100" i="29"/>
  <c r="X100" i="29"/>
  <c r="W100" i="29"/>
  <c r="V100" i="29"/>
  <c r="U100" i="29"/>
  <c r="T100" i="29"/>
  <c r="S100" i="29"/>
  <c r="R100" i="29"/>
  <c r="Q100" i="29"/>
  <c r="C100" i="29"/>
  <c r="AI99" i="29"/>
  <c r="AH99" i="29"/>
  <c r="AI98" i="29"/>
  <c r="AH98" i="29"/>
  <c r="AI97" i="29"/>
  <c r="AH97" i="29"/>
  <c r="AI96" i="29"/>
  <c r="AH96" i="29"/>
  <c r="AI95" i="29"/>
  <c r="AH95" i="29"/>
  <c r="AI94" i="29"/>
  <c r="AH94" i="29"/>
  <c r="AI93" i="29"/>
  <c r="AH93" i="29"/>
  <c r="AI92" i="29"/>
  <c r="AH92" i="29"/>
  <c r="AI91" i="29"/>
  <c r="AH91" i="29"/>
  <c r="AI88" i="29"/>
  <c r="AH88" i="29"/>
  <c r="AF87" i="29"/>
  <c r="AE87" i="29"/>
  <c r="AD87" i="29"/>
  <c r="AC87" i="29"/>
  <c r="AB87" i="29"/>
  <c r="AA87" i="29"/>
  <c r="Z87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AF86" i="29"/>
  <c r="AE86" i="29"/>
  <c r="AD86" i="29"/>
  <c r="AC86" i="29"/>
  <c r="AB86" i="29"/>
  <c r="AA86" i="29"/>
  <c r="Z86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AF85" i="29"/>
  <c r="AE85" i="29"/>
  <c r="AD85" i="29"/>
  <c r="AC85" i="29"/>
  <c r="AB85" i="29"/>
  <c r="AA85" i="29"/>
  <c r="Z85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AF84" i="29"/>
  <c r="AE84" i="29"/>
  <c r="AD84" i="29"/>
  <c r="AC84" i="29"/>
  <c r="AB84" i="29"/>
  <c r="AA84" i="29"/>
  <c r="Z84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AF83" i="29"/>
  <c r="AE83" i="29"/>
  <c r="AD83" i="29"/>
  <c r="AC83" i="29"/>
  <c r="AB83" i="29"/>
  <c r="AA83" i="29"/>
  <c r="Z83" i="29"/>
  <c r="Z89" i="29" s="1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K89" i="29" s="1"/>
  <c r="K90" i="29" s="1"/>
  <c r="J83" i="29"/>
  <c r="I83" i="29"/>
  <c r="H83" i="29"/>
  <c r="G83" i="29"/>
  <c r="F83" i="29"/>
  <c r="E83" i="29"/>
  <c r="D83" i="29"/>
  <c r="C83" i="29"/>
  <c r="B83" i="29"/>
  <c r="AI80" i="29"/>
  <c r="AH80" i="29"/>
  <c r="AI78" i="29"/>
  <c r="AH78" i="29"/>
  <c r="AG78" i="29"/>
  <c r="AI77" i="29"/>
  <c r="AH77" i="29"/>
  <c r="AI76" i="29"/>
  <c r="AH76" i="29"/>
  <c r="AI75" i="29"/>
  <c r="AH75" i="29"/>
  <c r="AG74" i="29"/>
  <c r="AF74" i="29"/>
  <c r="AE5" i="29" s="1"/>
  <c r="AE74" i="29"/>
  <c r="AD5" i="29" s="1"/>
  <c r="AD74" i="29"/>
  <c r="AC5" i="29" s="1"/>
  <c r="AC74" i="29"/>
  <c r="AB74" i="29"/>
  <c r="AA74" i="29"/>
  <c r="Z5" i="29" s="1"/>
  <c r="Z74" i="29"/>
  <c r="Y5" i="29" s="1"/>
  <c r="Y74" i="29"/>
  <c r="X74" i="29"/>
  <c r="W5" i="29" s="1"/>
  <c r="W74" i="29"/>
  <c r="V5" i="29" s="1"/>
  <c r="V74" i="29"/>
  <c r="U5" i="29" s="1"/>
  <c r="U74" i="29"/>
  <c r="T74" i="29"/>
  <c r="S74" i="29"/>
  <c r="R5" i="29" s="1"/>
  <c r="R74" i="29"/>
  <c r="Q5" i="29" s="1"/>
  <c r="Q74" i="29"/>
  <c r="P74" i="29"/>
  <c r="O5" i="29" s="1"/>
  <c r="O74" i="29"/>
  <c r="N5" i="29" s="1"/>
  <c r="N74" i="29"/>
  <c r="M5" i="29" s="1"/>
  <c r="M74" i="29"/>
  <c r="L74" i="29"/>
  <c r="K74" i="29"/>
  <c r="J5" i="29" s="1"/>
  <c r="J74" i="29"/>
  <c r="I5" i="29" s="1"/>
  <c r="I74" i="29"/>
  <c r="H5" i="29" s="1"/>
  <c r="H74" i="29"/>
  <c r="G5" i="29" s="1"/>
  <c r="G74" i="29"/>
  <c r="F5" i="29" s="1"/>
  <c r="F74" i="29"/>
  <c r="E5" i="29" s="1"/>
  <c r="E74" i="29"/>
  <c r="D74" i="29"/>
  <c r="C74" i="29"/>
  <c r="B74" i="29"/>
  <c r="AI73" i="29"/>
  <c r="AH73" i="29"/>
  <c r="AI72" i="29"/>
  <c r="AH72" i="29"/>
  <c r="AI71" i="29"/>
  <c r="AH71" i="29"/>
  <c r="AI70" i="29"/>
  <c r="AH70" i="29"/>
  <c r="AI69" i="29"/>
  <c r="AH69" i="29"/>
  <c r="AI68" i="29"/>
  <c r="AH68" i="29"/>
  <c r="AI67" i="29"/>
  <c r="AH67" i="29"/>
  <c r="AI66" i="29"/>
  <c r="AH66" i="29"/>
  <c r="AI65" i="29"/>
  <c r="AH65" i="29"/>
  <c r="AI64" i="29"/>
  <c r="AH64" i="29"/>
  <c r="AI63" i="29"/>
  <c r="AH63" i="29"/>
  <c r="AG62" i="29"/>
  <c r="AF62" i="29"/>
  <c r="AE62" i="29"/>
  <c r="AD62" i="29"/>
  <c r="AC62" i="29"/>
  <c r="AB62" i="29"/>
  <c r="AA62" i="29"/>
  <c r="Z62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AI61" i="29"/>
  <c r="AH61" i="29"/>
  <c r="AI60" i="29"/>
  <c r="AH60" i="29"/>
  <c r="AI59" i="29"/>
  <c r="AH59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B58" i="29"/>
  <c r="AI57" i="29"/>
  <c r="AH57" i="29"/>
  <c r="AI56" i="29"/>
  <c r="AH56" i="29"/>
  <c r="AI55" i="29"/>
  <c r="AH55" i="29"/>
  <c r="AI54" i="29"/>
  <c r="AH54" i="29"/>
  <c r="AI53" i="29"/>
  <c r="AH53" i="29"/>
  <c r="AI52" i="29"/>
  <c r="AH52" i="29"/>
  <c r="AI51" i="29"/>
  <c r="AH51" i="29"/>
  <c r="AI50" i="29"/>
  <c r="AH50" i="29"/>
  <c r="AI49" i="29"/>
  <c r="AH49" i="29"/>
  <c r="AI48" i="29"/>
  <c r="AH48" i="29"/>
  <c r="AI47" i="29"/>
  <c r="AH47" i="29"/>
  <c r="AI46" i="29"/>
  <c r="AH46" i="29"/>
  <c r="AI45" i="29"/>
  <c r="AH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AI43" i="29"/>
  <c r="AH43" i="29"/>
  <c r="AI42" i="29"/>
  <c r="AH42" i="29"/>
  <c r="AI41" i="29"/>
  <c r="AH41" i="29"/>
  <c r="AG40" i="29"/>
  <c r="AG2" i="29" s="1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AI38" i="29"/>
  <c r="AH38" i="29"/>
  <c r="AI37" i="29"/>
  <c r="AH37" i="29"/>
  <c r="AI36" i="29"/>
  <c r="AH36" i="29"/>
  <c r="AI35" i="29"/>
  <c r="AH35" i="29"/>
  <c r="AI34" i="29"/>
  <c r="AH34" i="29"/>
  <c r="AI33" i="29"/>
  <c r="AH33" i="29"/>
  <c r="AI32" i="29"/>
  <c r="AH32" i="29"/>
  <c r="AI31" i="29"/>
  <c r="AH31" i="29"/>
  <c r="AI30" i="29"/>
  <c r="AH30" i="29"/>
  <c r="AI29" i="29"/>
  <c r="AH29" i="29"/>
  <c r="AI28" i="29"/>
  <c r="AH28" i="29"/>
  <c r="AI27" i="29"/>
  <c r="AH27" i="29"/>
  <c r="AI26" i="29"/>
  <c r="AH26" i="29"/>
  <c r="AI25" i="29"/>
  <c r="AH25" i="29"/>
  <c r="AI24" i="29"/>
  <c r="AH24" i="29"/>
  <c r="AI23" i="29"/>
  <c r="AH23" i="29"/>
  <c r="AI22" i="29"/>
  <c r="AH22" i="29"/>
  <c r="AI21" i="29"/>
  <c r="AH21" i="29"/>
  <c r="AI20" i="29"/>
  <c r="AH20" i="29"/>
  <c r="AI19" i="29"/>
  <c r="AH19" i="29"/>
  <c r="AI18" i="29"/>
  <c r="AH18" i="29"/>
  <c r="AI17" i="29"/>
  <c r="AH17" i="29"/>
  <c r="AI16" i="29"/>
  <c r="AH16" i="29"/>
  <c r="AI15" i="29"/>
  <c r="AH15" i="29"/>
  <c r="AI14" i="29"/>
  <c r="AH14" i="29"/>
  <c r="AI13" i="29"/>
  <c r="AH13" i="29"/>
  <c r="AI12" i="29"/>
  <c r="AH12" i="29"/>
  <c r="AI11" i="29"/>
  <c r="AH11" i="29"/>
  <c r="AB5" i="29"/>
  <c r="X5" i="29"/>
  <c r="P5" i="29"/>
  <c r="D5" i="29"/>
  <c r="AG4" i="29"/>
  <c r="K4" i="29"/>
  <c r="B4" i="29"/>
  <c r="S235" i="29" s="1"/>
  <c r="AA103" i="28"/>
  <c r="Z103" i="28"/>
  <c r="Z39" i="28"/>
  <c r="Y39" i="28"/>
  <c r="W103" i="28"/>
  <c r="W39" i="28"/>
  <c r="V103" i="28"/>
  <c r="V39" i="28"/>
  <c r="U39" i="28"/>
  <c r="U103" i="28"/>
  <c r="T103" i="28"/>
  <c r="T39" i="28"/>
  <c r="S103" i="28"/>
  <c r="S39" i="28"/>
  <c r="R103" i="28"/>
  <c r="R39" i="28"/>
  <c r="P40" i="28"/>
  <c r="Q40" i="28"/>
  <c r="O103" i="28"/>
  <c r="Q103" i="28"/>
  <c r="Q39" i="28"/>
  <c r="E4" i="29"/>
  <c r="G223" i="29" l="1"/>
  <c r="F259" i="29" s="1"/>
  <c r="E259" i="29"/>
  <c r="F89" i="29"/>
  <c r="AF82" i="30"/>
  <c r="AD82" i="30"/>
  <c r="S89" i="29"/>
  <c r="AH103" i="29"/>
  <c r="D259" i="29"/>
  <c r="U89" i="29"/>
  <c r="N79" i="29"/>
  <c r="N81" i="29" s="1"/>
  <c r="J82" i="30"/>
  <c r="I89" i="29"/>
  <c r="L89" i="29"/>
  <c r="L90" i="29" s="1"/>
  <c r="R82" i="30"/>
  <c r="AH39" i="29"/>
  <c r="AC82" i="30"/>
  <c r="AU238" i="30"/>
  <c r="AV238" i="30"/>
  <c r="G82" i="30"/>
  <c r="W238" i="30"/>
  <c r="X238" i="30"/>
  <c r="R7" i="30"/>
  <c r="AG238" i="30"/>
  <c r="N82" i="30"/>
  <c r="AF238" i="30"/>
  <c r="M7" i="30"/>
  <c r="AJ238" i="30"/>
  <c r="Q7" i="30"/>
  <c r="Q82" i="30"/>
  <c r="P7" i="30"/>
  <c r="AH238" i="30"/>
  <c r="M82" i="30"/>
  <c r="L82" i="30"/>
  <c r="L7" i="30"/>
  <c r="AB238" i="30"/>
  <c r="J7" i="30"/>
  <c r="K7" i="30"/>
  <c r="K82" i="30"/>
  <c r="E82" i="30"/>
  <c r="F82" i="30"/>
  <c r="H7" i="30"/>
  <c r="I82" i="30"/>
  <c r="AA238" i="30"/>
  <c r="B233" i="30"/>
  <c r="C233" i="30"/>
  <c r="H82" i="30"/>
  <c r="V238" i="30"/>
  <c r="D82" i="30"/>
  <c r="C7" i="30"/>
  <c r="C82" i="30"/>
  <c r="AI90" i="30"/>
  <c r="AH90" i="30"/>
  <c r="F259" i="30"/>
  <c r="H223" i="30"/>
  <c r="AI79" i="30"/>
  <c r="AH79" i="30"/>
  <c r="B81" i="30"/>
  <c r="G224" i="30"/>
  <c r="G100" i="30"/>
  <c r="AI89" i="30"/>
  <c r="AH89" i="30"/>
  <c r="I218" i="30"/>
  <c r="H100" i="30"/>
  <c r="H224" i="30"/>
  <c r="AF89" i="29"/>
  <c r="AE89" i="29"/>
  <c r="AF79" i="29"/>
  <c r="AF81" i="29" s="1"/>
  <c r="AF7" i="29" s="1"/>
  <c r="AE79" i="29"/>
  <c r="AE81" i="29" s="1"/>
  <c r="AE7" i="29" s="1"/>
  <c r="AD89" i="29"/>
  <c r="AD90" i="29" s="1"/>
  <c r="AD79" i="29"/>
  <c r="AD81" i="29" s="1"/>
  <c r="AC89" i="29"/>
  <c r="AC90" i="29" s="1"/>
  <c r="AC79" i="29"/>
  <c r="AC81" i="29" s="1"/>
  <c r="AB89" i="29"/>
  <c r="AB90" i="29" s="1"/>
  <c r="AB79" i="29"/>
  <c r="AB81" i="29" s="1"/>
  <c r="AB7" i="29" s="1"/>
  <c r="AA89" i="29"/>
  <c r="AA90" i="29" s="1"/>
  <c r="AA79" i="29"/>
  <c r="AA81" i="29" s="1"/>
  <c r="AS238" i="29" s="1"/>
  <c r="Z90" i="29"/>
  <c r="Y89" i="29"/>
  <c r="Y90" i="29" s="1"/>
  <c r="X89" i="29"/>
  <c r="X90" i="29" s="1"/>
  <c r="X79" i="29"/>
  <c r="X81" i="29" s="1"/>
  <c r="W89" i="29"/>
  <c r="Z79" i="29"/>
  <c r="Z81" i="29" s="1"/>
  <c r="Z7" i="29" s="1"/>
  <c r="Y79" i="29"/>
  <c r="Y81" i="29" s="1"/>
  <c r="Y7" i="29" s="1"/>
  <c r="W79" i="29"/>
  <c r="W81" i="29" s="1"/>
  <c r="AO238" i="29" s="1"/>
  <c r="V89" i="29"/>
  <c r="V90" i="29"/>
  <c r="V79" i="29"/>
  <c r="V81" i="29" s="1"/>
  <c r="AN238" i="29" s="1"/>
  <c r="U90" i="29"/>
  <c r="T5" i="29"/>
  <c r="U79" i="29"/>
  <c r="U81" i="29" s="1"/>
  <c r="T89" i="29"/>
  <c r="T90" i="29"/>
  <c r="T79" i="29"/>
  <c r="T81" i="29" s="1"/>
  <c r="S90" i="29"/>
  <c r="S79" i="29"/>
  <c r="S81" i="29" s="1"/>
  <c r="AK238" i="29" s="1"/>
  <c r="R89" i="29"/>
  <c r="R90" i="29"/>
  <c r="R79" i="29"/>
  <c r="R81" i="29" s="1"/>
  <c r="Q89" i="29"/>
  <c r="Q90" i="29" s="1"/>
  <c r="Q79" i="29"/>
  <c r="Q81" i="29" s="1"/>
  <c r="Q7" i="29" s="1"/>
  <c r="P89" i="29"/>
  <c r="P90" i="29" s="1"/>
  <c r="AI84" i="29"/>
  <c r="AI62" i="29"/>
  <c r="AH62" i="29"/>
  <c r="P79" i="29"/>
  <c r="P81" i="29" s="1"/>
  <c r="O89" i="29"/>
  <c r="O90" i="29" s="1"/>
  <c r="O79" i="29"/>
  <c r="O81" i="29" s="1"/>
  <c r="AG238" i="29" s="1"/>
  <c r="N89" i="29"/>
  <c r="N90" i="29" s="1"/>
  <c r="M79" i="29"/>
  <c r="M81" i="29" s="1"/>
  <c r="M7" i="29" s="1"/>
  <c r="M89" i="29"/>
  <c r="M90" i="29" s="1"/>
  <c r="L5" i="29"/>
  <c r="L79" i="29"/>
  <c r="L81" i="29" s="1"/>
  <c r="K79" i="29"/>
  <c r="K81" i="29" s="1"/>
  <c r="K7" i="29" s="1"/>
  <c r="J89" i="29"/>
  <c r="J90" i="29" s="1"/>
  <c r="J79" i="29"/>
  <c r="J81" i="29" s="1"/>
  <c r="J7" i="29" s="1"/>
  <c r="I90" i="29"/>
  <c r="I79" i="29"/>
  <c r="I81" i="29" s="1"/>
  <c r="I82" i="29" s="1"/>
  <c r="H89" i="29"/>
  <c r="H90" i="29" s="1"/>
  <c r="H79" i="29"/>
  <c r="H81" i="29" s="1"/>
  <c r="H7" i="29" s="1"/>
  <c r="G89" i="29"/>
  <c r="G90" i="29" s="1"/>
  <c r="G79" i="29"/>
  <c r="G81" i="29" s="1"/>
  <c r="Y238" i="29" s="1"/>
  <c r="F90" i="29"/>
  <c r="F79" i="29"/>
  <c r="F81" i="29" s="1"/>
  <c r="F82" i="29" s="1"/>
  <c r="E79" i="29"/>
  <c r="E81" i="29" s="1"/>
  <c r="E7" i="29" s="1"/>
  <c r="E89" i="29"/>
  <c r="AI86" i="29"/>
  <c r="D89" i="29"/>
  <c r="AI85" i="29"/>
  <c r="D90" i="29"/>
  <c r="D79" i="29"/>
  <c r="D81" i="29" s="1"/>
  <c r="D82" i="29" s="1"/>
  <c r="C89" i="29"/>
  <c r="C90" i="29" s="1"/>
  <c r="AH87" i="29"/>
  <c r="AH74" i="29"/>
  <c r="AH58" i="29"/>
  <c r="AI44" i="29"/>
  <c r="C79" i="29"/>
  <c r="C81" i="29" s="1"/>
  <c r="C7" i="29" s="1"/>
  <c r="AI40" i="29"/>
  <c r="B89" i="29"/>
  <c r="B90" i="29" s="1"/>
  <c r="AH85" i="29"/>
  <c r="AH84" i="29"/>
  <c r="AF5" i="29"/>
  <c r="AI74" i="29"/>
  <c r="AI58" i="29"/>
  <c r="H4" i="29"/>
  <c r="O7" i="29"/>
  <c r="W7" i="29"/>
  <c r="AW238" i="29"/>
  <c r="AE82" i="29"/>
  <c r="P7" i="29"/>
  <c r="AH238" i="29"/>
  <c r="P82" i="29"/>
  <c r="AI89" i="29"/>
  <c r="I7" i="29"/>
  <c r="AA238" i="29"/>
  <c r="AG3" i="29"/>
  <c r="AG6" i="29" s="1"/>
  <c r="AG81" i="29"/>
  <c r="AJ238" i="29"/>
  <c r="R82" i="29"/>
  <c r="R7" i="29"/>
  <c r="W90" i="29"/>
  <c r="AE90" i="29"/>
  <c r="X7" i="29"/>
  <c r="AP238" i="29"/>
  <c r="AA7" i="29"/>
  <c r="L7" i="29"/>
  <c r="AD238" i="29"/>
  <c r="L82" i="29"/>
  <c r="T7" i="29"/>
  <c r="AL238" i="29"/>
  <c r="T82" i="29"/>
  <c r="AT238" i="29"/>
  <c r="AB82" i="29"/>
  <c r="U7" i="29"/>
  <c r="AM238" i="29"/>
  <c r="U82" i="29"/>
  <c r="AC7" i="29"/>
  <c r="AU238" i="29"/>
  <c r="G218" i="29"/>
  <c r="F100" i="29"/>
  <c r="F224" i="29"/>
  <c r="S7" i="29"/>
  <c r="AF238" i="29"/>
  <c r="N7" i="29"/>
  <c r="V7" i="29"/>
  <c r="AV238" i="29"/>
  <c r="AD7" i="29"/>
  <c r="AH44" i="29"/>
  <c r="D224" i="29"/>
  <c r="E224" i="29"/>
  <c r="D235" i="29"/>
  <c r="AG79" i="29"/>
  <c r="AI83" i="29"/>
  <c r="AI87" i="29"/>
  <c r="B5" i="29"/>
  <c r="AF90" i="29"/>
  <c r="E100" i="29"/>
  <c r="C5" i="29"/>
  <c r="K5" i="29"/>
  <c r="S5" i="29"/>
  <c r="AA5" i="29"/>
  <c r="AH83" i="29"/>
  <c r="AH40" i="29"/>
  <c r="B79" i="29"/>
  <c r="H223" i="29"/>
  <c r="AH86" i="29"/>
  <c r="B224" i="29"/>
  <c r="AD82" i="29" l="1"/>
  <c r="S82" i="29"/>
  <c r="X82" i="29"/>
  <c r="W82" i="29"/>
  <c r="V82" i="29"/>
  <c r="Q82" i="29"/>
  <c r="AA82" i="29"/>
  <c r="AI238" i="29"/>
  <c r="N82" i="29"/>
  <c r="AC82" i="29"/>
  <c r="K6" i="30"/>
  <c r="J218" i="30"/>
  <c r="G259" i="30"/>
  <c r="I223" i="30"/>
  <c r="I224" i="30" s="1"/>
  <c r="B7" i="30"/>
  <c r="A7" i="30" s="1"/>
  <c r="T238" i="30"/>
  <c r="B82" i="30"/>
  <c r="AI81" i="30"/>
  <c r="AH81" i="30"/>
  <c r="AF82" i="29"/>
  <c r="AX238" i="29"/>
  <c r="Z82" i="29"/>
  <c r="AR238" i="29"/>
  <c r="Y82" i="29"/>
  <c r="AQ238" i="29"/>
  <c r="M82" i="29"/>
  <c r="AE238" i="29"/>
  <c r="O82" i="29"/>
  <c r="Z238" i="29"/>
  <c r="K82" i="29"/>
  <c r="AC238" i="29"/>
  <c r="J82" i="29"/>
  <c r="AB238" i="29"/>
  <c r="X238" i="29"/>
  <c r="F7" i="29"/>
  <c r="W238" i="29"/>
  <c r="AH89" i="29"/>
  <c r="H82" i="29"/>
  <c r="C233" i="29"/>
  <c r="G7" i="29"/>
  <c r="G82" i="29"/>
  <c r="B233" i="29"/>
  <c r="E82" i="29"/>
  <c r="E90" i="29"/>
  <c r="D7" i="29"/>
  <c r="V238" i="29"/>
  <c r="U238" i="29"/>
  <c r="C82" i="29"/>
  <c r="AI79" i="29"/>
  <c r="AH79" i="29"/>
  <c r="B81" i="29"/>
  <c r="H218" i="29"/>
  <c r="G224" i="29"/>
  <c r="G100" i="29"/>
  <c r="AI90" i="29"/>
  <c r="AH90" i="29"/>
  <c r="G259" i="29"/>
  <c r="I223" i="29"/>
  <c r="K218" i="30" l="1"/>
  <c r="I100" i="30"/>
  <c r="H259" i="30"/>
  <c r="J223" i="30"/>
  <c r="AI82" i="30"/>
  <c r="AH82" i="30"/>
  <c r="K6" i="29"/>
  <c r="T238" i="29"/>
  <c r="B82" i="29"/>
  <c r="B7" i="29"/>
  <c r="A7" i="29" s="1"/>
  <c r="AI81" i="29"/>
  <c r="AH81" i="29"/>
  <c r="H224" i="29"/>
  <c r="H100" i="29"/>
  <c r="I218" i="29"/>
  <c r="H259" i="29"/>
  <c r="J223" i="29"/>
  <c r="K223" i="30" l="1"/>
  <c r="I259" i="30"/>
  <c r="K100" i="30"/>
  <c r="K224" i="30"/>
  <c r="L218" i="30"/>
  <c r="J224" i="30"/>
  <c r="J100" i="30"/>
  <c r="K223" i="29"/>
  <c r="I259" i="29"/>
  <c r="AI82" i="29"/>
  <c r="AH82" i="29"/>
  <c r="I100" i="29"/>
  <c r="I224" i="29"/>
  <c r="J218" i="29"/>
  <c r="M218" i="30" l="1"/>
  <c r="J259" i="30"/>
  <c r="L223" i="30"/>
  <c r="L100" i="30" s="1"/>
  <c r="J100" i="29"/>
  <c r="J224" i="29"/>
  <c r="K218" i="29"/>
  <c r="J259" i="29"/>
  <c r="L223" i="29"/>
  <c r="K259" i="30" l="1"/>
  <c r="M223" i="30"/>
  <c r="M100" i="30"/>
  <c r="N218" i="30"/>
  <c r="M224" i="30"/>
  <c r="L224" i="30"/>
  <c r="K259" i="29"/>
  <c r="M223" i="29"/>
  <c r="K224" i="29"/>
  <c r="L218" i="29"/>
  <c r="K100" i="29"/>
  <c r="O218" i="30" l="1"/>
  <c r="N100" i="30"/>
  <c r="L259" i="30"/>
  <c r="N223" i="30"/>
  <c r="M218" i="29"/>
  <c r="L224" i="29"/>
  <c r="L100" i="29"/>
  <c r="L259" i="29"/>
  <c r="N223" i="29"/>
  <c r="O223" i="30" l="1"/>
  <c r="M259" i="30"/>
  <c r="N224" i="30"/>
  <c r="P218" i="30"/>
  <c r="O100" i="30"/>
  <c r="O224" i="30"/>
  <c r="N218" i="29"/>
  <c r="M100" i="29"/>
  <c r="M224" i="29"/>
  <c r="M259" i="29"/>
  <c r="O223" i="29"/>
  <c r="N259" i="30" l="1"/>
  <c r="P223" i="30"/>
  <c r="O259" i="30" s="1"/>
  <c r="N259" i="29"/>
  <c r="P223" i="29"/>
  <c r="O259" i="29" s="1"/>
  <c r="O218" i="29"/>
  <c r="N100" i="29"/>
  <c r="N224" i="29"/>
  <c r="P100" i="30" l="1"/>
  <c r="AI100" i="30"/>
  <c r="AH100" i="30"/>
  <c r="P224" i="30"/>
  <c r="P218" i="29"/>
  <c r="O100" i="29"/>
  <c r="O224" i="29"/>
  <c r="P100" i="29" l="1"/>
  <c r="P224" i="29"/>
  <c r="AI100" i="29" l="1"/>
  <c r="AH100" i="29"/>
  <c r="P103" i="28" l="1"/>
  <c r="P39" i="28"/>
  <c r="O39" i="28"/>
  <c r="N39" i="28"/>
  <c r="M39" i="28"/>
  <c r="K40" i="28"/>
  <c r="L40" i="28"/>
  <c r="L39" i="28"/>
  <c r="K39" i="28"/>
  <c r="J39" i="28"/>
  <c r="I39" i="28"/>
  <c r="H39" i="28"/>
  <c r="G39" i="28"/>
  <c r="F39" i="28"/>
  <c r="AK4" i="28"/>
  <c r="AK5" i="28"/>
  <c r="B44" i="28"/>
  <c r="E39" i="28"/>
  <c r="D39" i="28"/>
  <c r="D103" i="28"/>
  <c r="AF263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O263" i="28"/>
  <c r="N263" i="28"/>
  <c r="M263" i="28"/>
  <c r="L263" i="28"/>
  <c r="K263" i="28"/>
  <c r="J263" i="28"/>
  <c r="I263" i="28"/>
  <c r="H263" i="28"/>
  <c r="G263" i="28"/>
  <c r="F263" i="28"/>
  <c r="E263" i="28"/>
  <c r="D263" i="28"/>
  <c r="C263" i="28"/>
  <c r="B263" i="28"/>
  <c r="A263" i="28"/>
  <c r="AF262" i="28"/>
  <c r="AE262" i="28"/>
  <c r="AD262" i="28"/>
  <c r="AC262" i="28"/>
  <c r="AB262" i="28"/>
  <c r="AA262" i="28"/>
  <c r="Z262" i="28"/>
  <c r="Y262" i="28"/>
  <c r="X262" i="28"/>
  <c r="W262" i="28"/>
  <c r="V262" i="28"/>
  <c r="U262" i="28"/>
  <c r="T262" i="28"/>
  <c r="S262" i="28"/>
  <c r="R262" i="28"/>
  <c r="Q262" i="28"/>
  <c r="P262" i="28"/>
  <c r="O262" i="28"/>
  <c r="N262" i="28"/>
  <c r="M262" i="28"/>
  <c r="L262" i="28"/>
  <c r="K262" i="28"/>
  <c r="J262" i="28"/>
  <c r="I262" i="28"/>
  <c r="H262" i="28"/>
  <c r="G262" i="28"/>
  <c r="F262" i="28"/>
  <c r="E262" i="28"/>
  <c r="D262" i="28"/>
  <c r="C262" i="28"/>
  <c r="B262" i="28"/>
  <c r="A262" i="28"/>
  <c r="AF261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S261" i="28"/>
  <c r="R261" i="28"/>
  <c r="Q261" i="28"/>
  <c r="P261" i="28"/>
  <c r="O261" i="28"/>
  <c r="N261" i="28"/>
  <c r="M261" i="28"/>
  <c r="L261" i="28"/>
  <c r="K261" i="28"/>
  <c r="J261" i="28"/>
  <c r="I261" i="28"/>
  <c r="H261" i="28"/>
  <c r="G261" i="28"/>
  <c r="F261" i="28"/>
  <c r="E261" i="28"/>
  <c r="D261" i="28"/>
  <c r="C261" i="28"/>
  <c r="B261" i="28"/>
  <c r="A261" i="28"/>
  <c r="AF260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E260" i="28"/>
  <c r="D260" i="28"/>
  <c r="C260" i="28"/>
  <c r="B260" i="28"/>
  <c r="A260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C259" i="28"/>
  <c r="B259" i="28"/>
  <c r="S234" i="28"/>
  <c r="AG224" i="28"/>
  <c r="AG57" i="28" s="1"/>
  <c r="AG58" i="28" s="1"/>
  <c r="AG3" i="28" s="1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C224" i="28"/>
  <c r="D223" i="28"/>
  <c r="E223" i="28" s="1"/>
  <c r="B223" i="28"/>
  <c r="AF259" i="28" s="1"/>
  <c r="E222" i="28"/>
  <c r="F222" i="28" s="1"/>
  <c r="G222" i="28" s="1"/>
  <c r="H222" i="28" s="1"/>
  <c r="I222" i="28" s="1"/>
  <c r="J222" i="28" s="1"/>
  <c r="K222" i="28" s="1"/>
  <c r="L222" i="28" s="1"/>
  <c r="M222" i="28" s="1"/>
  <c r="N222" i="28" s="1"/>
  <c r="O222" i="28" s="1"/>
  <c r="P222" i="28" s="1"/>
  <c r="D222" i="28"/>
  <c r="B222" i="28"/>
  <c r="D221" i="28"/>
  <c r="D224" i="28" s="1"/>
  <c r="B221" i="28"/>
  <c r="D220" i="28"/>
  <c r="E220" i="28" s="1"/>
  <c r="F220" i="28" s="1"/>
  <c r="G220" i="28" s="1"/>
  <c r="H220" i="28" s="1"/>
  <c r="I220" i="28" s="1"/>
  <c r="J220" i="28" s="1"/>
  <c r="K220" i="28" s="1"/>
  <c r="L220" i="28" s="1"/>
  <c r="M220" i="28" s="1"/>
  <c r="N220" i="28" s="1"/>
  <c r="O220" i="28" s="1"/>
  <c r="P220" i="28" s="1"/>
  <c r="B220" i="28"/>
  <c r="D219" i="28"/>
  <c r="E219" i="28" s="1"/>
  <c r="F219" i="28" s="1"/>
  <c r="G219" i="28" s="1"/>
  <c r="H219" i="28" s="1"/>
  <c r="I219" i="28" s="1"/>
  <c r="J219" i="28" s="1"/>
  <c r="K219" i="28" s="1"/>
  <c r="L219" i="28" s="1"/>
  <c r="M219" i="28" s="1"/>
  <c r="N219" i="28" s="1"/>
  <c r="O219" i="28" s="1"/>
  <c r="P219" i="28" s="1"/>
  <c r="B219" i="28"/>
  <c r="F218" i="28"/>
  <c r="G218" i="28" s="1"/>
  <c r="E218" i="28"/>
  <c r="D218" i="28"/>
  <c r="B218" i="28"/>
  <c r="AG216" i="28"/>
  <c r="AF216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E216" i="28"/>
  <c r="D216" i="28"/>
  <c r="C216" i="28"/>
  <c r="B216" i="28"/>
  <c r="AI109" i="28"/>
  <c r="AH109" i="28"/>
  <c r="AI108" i="28"/>
  <c r="AH108" i="28"/>
  <c r="AI107" i="28"/>
  <c r="AH107" i="28"/>
  <c r="AI106" i="28"/>
  <c r="AH106" i="28"/>
  <c r="AI105" i="28"/>
  <c r="AH105" i="28"/>
  <c r="AI104" i="28"/>
  <c r="AH104" i="28"/>
  <c r="AI103" i="28"/>
  <c r="AI102" i="28"/>
  <c r="AH102" i="28"/>
  <c r="AI101" i="28"/>
  <c r="AH101" i="28"/>
  <c r="AF100" i="28"/>
  <c r="AE100" i="28"/>
  <c r="AD100" i="28"/>
  <c r="AC100" i="28"/>
  <c r="AB100" i="28"/>
  <c r="AA100" i="28"/>
  <c r="Z100" i="28"/>
  <c r="Y100" i="28"/>
  <c r="X100" i="28"/>
  <c r="W100" i="28"/>
  <c r="V100" i="28"/>
  <c r="U100" i="28"/>
  <c r="T100" i="28"/>
  <c r="S100" i="28"/>
  <c r="R100" i="28"/>
  <c r="Q100" i="28"/>
  <c r="AI99" i="28"/>
  <c r="AH99" i="28"/>
  <c r="AI98" i="28"/>
  <c r="AH98" i="28"/>
  <c r="AI97" i="28"/>
  <c r="AH97" i="28"/>
  <c r="AI96" i="28"/>
  <c r="AH96" i="28"/>
  <c r="AI95" i="28"/>
  <c r="AH95" i="28"/>
  <c r="AI94" i="28"/>
  <c r="AH94" i="28"/>
  <c r="AI93" i="28"/>
  <c r="AH93" i="28"/>
  <c r="AI92" i="28"/>
  <c r="AH92" i="28"/>
  <c r="AI91" i="28"/>
  <c r="AH91" i="28"/>
  <c r="AI88" i="28"/>
  <c r="AH88" i="28"/>
  <c r="AF87" i="28"/>
  <c r="AE87" i="28"/>
  <c r="AD87" i="28"/>
  <c r="AC87" i="28"/>
  <c r="AB87" i="28"/>
  <c r="AA87" i="28"/>
  <c r="Z87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AF86" i="28"/>
  <c r="AE86" i="28"/>
  <c r="AD86" i="28"/>
  <c r="AC86" i="28"/>
  <c r="AB86" i="28"/>
  <c r="AA86" i="28"/>
  <c r="Z86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AF85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AF84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AF83" i="28"/>
  <c r="AF89" i="28" s="1"/>
  <c r="AE83" i="28"/>
  <c r="AD83" i="28"/>
  <c r="AC83" i="28"/>
  <c r="AB83" i="28"/>
  <c r="AA83" i="28"/>
  <c r="Z83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I89" i="28" s="1"/>
  <c r="H83" i="28"/>
  <c r="H89" i="28" s="1"/>
  <c r="G83" i="28"/>
  <c r="F83" i="28"/>
  <c r="E83" i="28"/>
  <c r="D83" i="28"/>
  <c r="C83" i="28"/>
  <c r="AI80" i="28"/>
  <c r="AH80" i="28"/>
  <c r="AI78" i="28"/>
  <c r="AH78" i="28"/>
  <c r="AG78" i="28"/>
  <c r="AI77" i="28"/>
  <c r="AH77" i="28"/>
  <c r="AI76" i="28"/>
  <c r="AH76" i="28"/>
  <c r="AI75" i="28"/>
  <c r="AH75" i="28"/>
  <c r="AG74" i="28"/>
  <c r="AF74" i="28"/>
  <c r="AE74" i="28"/>
  <c r="AD74" i="28"/>
  <c r="AC5" i="28" s="1"/>
  <c r="AC74" i="28"/>
  <c r="AB74" i="28"/>
  <c r="AA74" i="28"/>
  <c r="Z5" i="28" s="1"/>
  <c r="Z74" i="28"/>
  <c r="Y5" i="28" s="1"/>
  <c r="Y74" i="28"/>
  <c r="X5" i="28" s="1"/>
  <c r="X74" i="28"/>
  <c r="W74" i="28"/>
  <c r="V74" i="28"/>
  <c r="U5" i="28" s="1"/>
  <c r="U74" i="28"/>
  <c r="T74" i="28"/>
  <c r="S74" i="28"/>
  <c r="R74" i="28"/>
  <c r="Q74" i="28"/>
  <c r="P5" i="28" s="1"/>
  <c r="P74" i="28"/>
  <c r="O74" i="28"/>
  <c r="N74" i="28"/>
  <c r="M74" i="28"/>
  <c r="L74" i="28"/>
  <c r="K5" i="28" s="1"/>
  <c r="K74" i="28"/>
  <c r="J5" i="28" s="1"/>
  <c r="J74" i="28"/>
  <c r="I5" i="28" s="1"/>
  <c r="I74" i="28"/>
  <c r="H5" i="28" s="1"/>
  <c r="H74" i="28"/>
  <c r="G74" i="28"/>
  <c r="F74" i="28"/>
  <c r="E5" i="28" s="1"/>
  <c r="E74" i="28"/>
  <c r="D74" i="28"/>
  <c r="C74" i="28"/>
  <c r="B5" i="28" s="1"/>
  <c r="AI73" i="28"/>
  <c r="AH73" i="28"/>
  <c r="AI72" i="28"/>
  <c r="AH72" i="28"/>
  <c r="AI71" i="28"/>
  <c r="AH71" i="28"/>
  <c r="AI70" i="28"/>
  <c r="AH70" i="28"/>
  <c r="AI69" i="28"/>
  <c r="AH69" i="28"/>
  <c r="AI68" i="28"/>
  <c r="AH68" i="28"/>
  <c r="AI67" i="28"/>
  <c r="AH67" i="28"/>
  <c r="AI66" i="28"/>
  <c r="AH66" i="28"/>
  <c r="AI65" i="28"/>
  <c r="AH65" i="28"/>
  <c r="AI64" i="28"/>
  <c r="AH64" i="28"/>
  <c r="AI63" i="28"/>
  <c r="AH63" i="28"/>
  <c r="AG62" i="28"/>
  <c r="AF62" i="28"/>
  <c r="AE62" i="28"/>
  <c r="AD62" i="28"/>
  <c r="AC62" i="28"/>
  <c r="AB62" i="28"/>
  <c r="AA62" i="28"/>
  <c r="Z62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AI61" i="28"/>
  <c r="AH61" i="28"/>
  <c r="AI60" i="28"/>
  <c r="AH60" i="28"/>
  <c r="AI59" i="28"/>
  <c r="AH59" i="28"/>
  <c r="AF58" i="28"/>
  <c r="AE58" i="28"/>
  <c r="AD58" i="28"/>
  <c r="AC58" i="28"/>
  <c r="AB58" i="28"/>
  <c r="AA58" i="28"/>
  <c r="Z58" i="28"/>
  <c r="Y58" i="28"/>
  <c r="X58" i="28"/>
  <c r="W58" i="28"/>
  <c r="V58" i="28"/>
  <c r="U58" i="28"/>
  <c r="T58" i="28"/>
  <c r="S58" i="28"/>
  <c r="R58" i="28"/>
  <c r="Q58" i="28"/>
  <c r="P58" i="28"/>
  <c r="O58" i="28"/>
  <c r="N58" i="28"/>
  <c r="M58" i="28"/>
  <c r="L58" i="28"/>
  <c r="K58" i="28"/>
  <c r="J58" i="28"/>
  <c r="I58" i="28"/>
  <c r="H58" i="28"/>
  <c r="G58" i="28"/>
  <c r="F58" i="28"/>
  <c r="E58" i="28"/>
  <c r="D58" i="28"/>
  <c r="C58" i="28"/>
  <c r="AI57" i="28"/>
  <c r="AH57" i="28"/>
  <c r="AI56" i="28"/>
  <c r="AH56" i="28"/>
  <c r="AI55" i="28"/>
  <c r="AH55" i="28"/>
  <c r="AI54" i="28"/>
  <c r="AH54" i="28"/>
  <c r="AI53" i="28"/>
  <c r="AH53" i="28"/>
  <c r="AI52" i="28"/>
  <c r="AH52" i="28"/>
  <c r="AI51" i="28"/>
  <c r="AH51" i="28"/>
  <c r="AI50" i="28"/>
  <c r="AH50" i="28"/>
  <c r="AI49" i="28"/>
  <c r="AH49" i="28"/>
  <c r="AI48" i="28"/>
  <c r="AH48" i="28"/>
  <c r="AI47" i="28"/>
  <c r="AH47" i="28"/>
  <c r="AI46" i="28"/>
  <c r="AH46" i="28"/>
  <c r="AI45" i="28"/>
  <c r="AH45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AI43" i="28"/>
  <c r="AH43" i="28"/>
  <c r="AI42" i="28"/>
  <c r="AH42" i="28"/>
  <c r="AI41" i="28"/>
  <c r="AH41" i="28"/>
  <c r="AG40" i="28"/>
  <c r="AG79" i="28" s="1"/>
  <c r="AF40" i="28"/>
  <c r="AE40" i="28"/>
  <c r="AD40" i="28"/>
  <c r="AC40" i="28"/>
  <c r="AB40" i="28"/>
  <c r="AA40" i="28"/>
  <c r="Z40" i="28"/>
  <c r="Z79" i="28" s="1"/>
  <c r="Z81" i="28" s="1"/>
  <c r="Y40" i="28"/>
  <c r="X40" i="28"/>
  <c r="W40" i="28"/>
  <c r="V40" i="28"/>
  <c r="U40" i="28"/>
  <c r="T40" i="28"/>
  <c r="S40" i="28"/>
  <c r="R40" i="28"/>
  <c r="O40" i="28"/>
  <c r="O79" i="28" s="1"/>
  <c r="O81" i="28" s="1"/>
  <c r="N40" i="28"/>
  <c r="M40" i="28"/>
  <c r="J40" i="28"/>
  <c r="I40" i="28"/>
  <c r="H40" i="28"/>
  <c r="G40" i="28"/>
  <c r="F40" i="28"/>
  <c r="E40" i="28"/>
  <c r="D40" i="28"/>
  <c r="C40" i="28"/>
  <c r="AI38" i="28"/>
  <c r="AH38" i="28"/>
  <c r="AI37" i="28"/>
  <c r="AH37" i="28"/>
  <c r="AI36" i="28"/>
  <c r="AH36" i="28"/>
  <c r="AI35" i="28"/>
  <c r="AH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AI23" i="28"/>
  <c r="AH23" i="28"/>
  <c r="AI22" i="28"/>
  <c r="AH22" i="28"/>
  <c r="AI21" i="28"/>
  <c r="AH21" i="28"/>
  <c r="AI20" i="28"/>
  <c r="AH20" i="28"/>
  <c r="AI19" i="28"/>
  <c r="AH19" i="28"/>
  <c r="AI18" i="28"/>
  <c r="AH18" i="28"/>
  <c r="AI17" i="28"/>
  <c r="AH17" i="28"/>
  <c r="AI16" i="28"/>
  <c r="AH16" i="28"/>
  <c r="AI15" i="28"/>
  <c r="AH15" i="28"/>
  <c r="AI14" i="28"/>
  <c r="AH14" i="28"/>
  <c r="AI13" i="28"/>
  <c r="AH13" i="28"/>
  <c r="AI12" i="28"/>
  <c r="AH12" i="28"/>
  <c r="AI11" i="28"/>
  <c r="AH11" i="28"/>
  <c r="AF5" i="28"/>
  <c r="AE5" i="28"/>
  <c r="W5" i="28"/>
  <c r="S5" i="28"/>
  <c r="R5" i="28"/>
  <c r="Q5" i="28"/>
  <c r="M5" i="28"/>
  <c r="AG4" i="28"/>
  <c r="K4" i="28"/>
  <c r="B4" i="28"/>
  <c r="S235" i="28" s="1"/>
  <c r="AF39" i="27"/>
  <c r="AF103" i="27"/>
  <c r="AF100" i="27" s="1"/>
  <c r="AE103" i="27"/>
  <c r="AE100" i="27" s="1"/>
  <c r="AE39" i="27"/>
  <c r="AD39" i="27"/>
  <c r="AD103" i="27"/>
  <c r="AC103" i="27"/>
  <c r="AC39" i="27"/>
  <c r="AB103" i="27"/>
  <c r="AB39" i="27"/>
  <c r="X100" i="27"/>
  <c r="Y100" i="27"/>
  <c r="U39" i="27"/>
  <c r="T39" i="27"/>
  <c r="S39" i="27"/>
  <c r="R39" i="27"/>
  <c r="Q39" i="27"/>
  <c r="P39" i="27"/>
  <c r="O103" i="27"/>
  <c r="O39" i="27"/>
  <c r="N103" i="27"/>
  <c r="N39" i="27"/>
  <c r="M103" i="27"/>
  <c r="M39" i="27"/>
  <c r="L103" i="27"/>
  <c r="L39" i="27"/>
  <c r="K103" i="27"/>
  <c r="K39" i="27"/>
  <c r="J103" i="27"/>
  <c r="J39" i="27"/>
  <c r="I103" i="27"/>
  <c r="I39" i="27"/>
  <c r="H103" i="27"/>
  <c r="H39" i="27"/>
  <c r="G103" i="27"/>
  <c r="G39" i="27"/>
  <c r="F103" i="27"/>
  <c r="F39" i="27"/>
  <c r="E103" i="27"/>
  <c r="E39" i="27"/>
  <c r="D103" i="27"/>
  <c r="D39" i="27"/>
  <c r="C103" i="27"/>
  <c r="C100" i="27" s="1"/>
  <c r="C39" i="27"/>
  <c r="B103" i="27"/>
  <c r="AF263" i="27"/>
  <c r="AE263" i="27"/>
  <c r="AD263" i="27"/>
  <c r="AC263" i="27"/>
  <c r="AB263" i="27"/>
  <c r="AA263" i="27"/>
  <c r="Z263" i="27"/>
  <c r="Y263" i="27"/>
  <c r="X263" i="27"/>
  <c r="W263" i="27"/>
  <c r="V263" i="27"/>
  <c r="U263" i="27"/>
  <c r="T263" i="27"/>
  <c r="S263" i="27"/>
  <c r="R263" i="27"/>
  <c r="Q263" i="27"/>
  <c r="P263" i="27"/>
  <c r="O263" i="27"/>
  <c r="N263" i="27"/>
  <c r="M263" i="27"/>
  <c r="L263" i="27"/>
  <c r="K263" i="27"/>
  <c r="J263" i="27"/>
  <c r="I263" i="27"/>
  <c r="H263" i="27"/>
  <c r="G263" i="27"/>
  <c r="F263" i="27"/>
  <c r="E263" i="27"/>
  <c r="D263" i="27"/>
  <c r="C263" i="27"/>
  <c r="B263" i="27"/>
  <c r="A263" i="27"/>
  <c r="AF262" i="27"/>
  <c r="AE262" i="27"/>
  <c r="AD262" i="27"/>
  <c r="AC262" i="27"/>
  <c r="AB262" i="27"/>
  <c r="AA262" i="27"/>
  <c r="Z262" i="27"/>
  <c r="Y262" i="27"/>
  <c r="X262" i="27"/>
  <c r="W262" i="27"/>
  <c r="V262" i="27"/>
  <c r="U262" i="27"/>
  <c r="T262" i="27"/>
  <c r="S262" i="27"/>
  <c r="R262" i="27"/>
  <c r="Q262" i="27"/>
  <c r="P262" i="27"/>
  <c r="O262" i="27"/>
  <c r="N262" i="27"/>
  <c r="M262" i="27"/>
  <c r="L262" i="27"/>
  <c r="K262" i="27"/>
  <c r="J262" i="27"/>
  <c r="I262" i="27"/>
  <c r="H262" i="27"/>
  <c r="G262" i="27"/>
  <c r="F262" i="27"/>
  <c r="E262" i="27"/>
  <c r="D262" i="27"/>
  <c r="C262" i="27"/>
  <c r="B262" i="27"/>
  <c r="A262" i="27"/>
  <c r="AF261" i="27"/>
  <c r="AE261" i="27"/>
  <c r="AD261" i="27"/>
  <c r="AC261" i="27"/>
  <c r="AB261" i="27"/>
  <c r="AA261" i="27"/>
  <c r="Z261" i="27"/>
  <c r="Y261" i="27"/>
  <c r="X261" i="27"/>
  <c r="W261" i="27"/>
  <c r="V261" i="27"/>
  <c r="U261" i="27"/>
  <c r="T261" i="27"/>
  <c r="S261" i="27"/>
  <c r="R261" i="27"/>
  <c r="Q261" i="27"/>
  <c r="P261" i="27"/>
  <c r="O261" i="27"/>
  <c r="N261" i="27"/>
  <c r="M261" i="27"/>
  <c r="L261" i="27"/>
  <c r="K261" i="27"/>
  <c r="J261" i="27"/>
  <c r="I261" i="27"/>
  <c r="H261" i="27"/>
  <c r="G261" i="27"/>
  <c r="F261" i="27"/>
  <c r="E261" i="27"/>
  <c r="D261" i="27"/>
  <c r="C261" i="27"/>
  <c r="B261" i="27"/>
  <c r="A261" i="27"/>
  <c r="AF260" i="27"/>
  <c r="AE260" i="27"/>
  <c r="AD260" i="27"/>
  <c r="AC260" i="27"/>
  <c r="AB260" i="27"/>
  <c r="AA260" i="27"/>
  <c r="Z260" i="27"/>
  <c r="Y260" i="27"/>
  <c r="X260" i="27"/>
  <c r="W260" i="27"/>
  <c r="V260" i="27"/>
  <c r="U260" i="27"/>
  <c r="T260" i="27"/>
  <c r="S260" i="27"/>
  <c r="R260" i="27"/>
  <c r="Q260" i="27"/>
  <c r="P260" i="27"/>
  <c r="O260" i="27"/>
  <c r="N260" i="27"/>
  <c r="M260" i="27"/>
  <c r="L260" i="27"/>
  <c r="K260" i="27"/>
  <c r="J260" i="27"/>
  <c r="I260" i="27"/>
  <c r="H260" i="27"/>
  <c r="G260" i="27"/>
  <c r="F260" i="27"/>
  <c r="E260" i="27"/>
  <c r="D260" i="27"/>
  <c r="C260" i="27"/>
  <c r="B260" i="27"/>
  <c r="A260" i="27"/>
  <c r="AE259" i="27"/>
  <c r="AD259" i="27"/>
  <c r="AC259" i="27"/>
  <c r="AB259" i="27"/>
  <c r="AA259" i="27"/>
  <c r="Z259" i="27"/>
  <c r="Y259" i="27"/>
  <c r="X259" i="27"/>
  <c r="W259" i="27"/>
  <c r="V259" i="27"/>
  <c r="U259" i="27"/>
  <c r="T259" i="27"/>
  <c r="S259" i="27"/>
  <c r="R259" i="27"/>
  <c r="Q259" i="27"/>
  <c r="P259" i="27"/>
  <c r="C259" i="27"/>
  <c r="B259" i="27"/>
  <c r="S234" i="27"/>
  <c r="AG224" i="27"/>
  <c r="AG57" i="27" s="1"/>
  <c r="AG58" i="27" s="1"/>
  <c r="AG3" i="27" s="1"/>
  <c r="AF224" i="27"/>
  <c r="AE224" i="27"/>
  <c r="AD224" i="27"/>
  <c r="AC224" i="27"/>
  <c r="AB224" i="27"/>
  <c r="AA224" i="27"/>
  <c r="Z224" i="27"/>
  <c r="Y224" i="27"/>
  <c r="X224" i="27"/>
  <c r="W224" i="27"/>
  <c r="V224" i="27"/>
  <c r="U224" i="27"/>
  <c r="T224" i="27"/>
  <c r="S224" i="27"/>
  <c r="R224" i="27"/>
  <c r="Q224" i="27"/>
  <c r="C224" i="27"/>
  <c r="E223" i="27"/>
  <c r="D259" i="27" s="1"/>
  <c r="D223" i="27"/>
  <c r="B223" i="27"/>
  <c r="AF259" i="27" s="1"/>
  <c r="D222" i="27"/>
  <c r="E222" i="27" s="1"/>
  <c r="F222" i="27" s="1"/>
  <c r="G222" i="27" s="1"/>
  <c r="H222" i="27" s="1"/>
  <c r="I222" i="27" s="1"/>
  <c r="J222" i="27" s="1"/>
  <c r="K222" i="27" s="1"/>
  <c r="L222" i="27" s="1"/>
  <c r="M222" i="27" s="1"/>
  <c r="N222" i="27" s="1"/>
  <c r="O222" i="27" s="1"/>
  <c r="P222" i="27" s="1"/>
  <c r="B222" i="27"/>
  <c r="D221" i="27"/>
  <c r="E221" i="27" s="1"/>
  <c r="F221" i="27" s="1"/>
  <c r="G221" i="27" s="1"/>
  <c r="H221" i="27" s="1"/>
  <c r="I221" i="27" s="1"/>
  <c r="J221" i="27" s="1"/>
  <c r="K221" i="27" s="1"/>
  <c r="L221" i="27" s="1"/>
  <c r="M221" i="27" s="1"/>
  <c r="N221" i="27" s="1"/>
  <c r="O221" i="27" s="1"/>
  <c r="P221" i="27" s="1"/>
  <c r="B221" i="27"/>
  <c r="D220" i="27"/>
  <c r="E220" i="27" s="1"/>
  <c r="F220" i="27" s="1"/>
  <c r="G220" i="27" s="1"/>
  <c r="H220" i="27" s="1"/>
  <c r="I220" i="27" s="1"/>
  <c r="J220" i="27" s="1"/>
  <c r="K220" i="27" s="1"/>
  <c r="L220" i="27" s="1"/>
  <c r="M220" i="27" s="1"/>
  <c r="N220" i="27" s="1"/>
  <c r="O220" i="27" s="1"/>
  <c r="P220" i="27" s="1"/>
  <c r="B220" i="27"/>
  <c r="D219" i="27"/>
  <c r="E219" i="27" s="1"/>
  <c r="F219" i="27" s="1"/>
  <c r="G219" i="27" s="1"/>
  <c r="H219" i="27" s="1"/>
  <c r="I219" i="27" s="1"/>
  <c r="J219" i="27" s="1"/>
  <c r="K219" i="27" s="1"/>
  <c r="L219" i="27" s="1"/>
  <c r="M219" i="27" s="1"/>
  <c r="N219" i="27" s="1"/>
  <c r="O219" i="27" s="1"/>
  <c r="P219" i="27" s="1"/>
  <c r="B219" i="27"/>
  <c r="F218" i="27"/>
  <c r="G218" i="27" s="1"/>
  <c r="E218" i="27"/>
  <c r="E100" i="27" s="1"/>
  <c r="D218" i="27"/>
  <c r="B218" i="27"/>
  <c r="AG216" i="27"/>
  <c r="AF216" i="27"/>
  <c r="AE216" i="27"/>
  <c r="AD216" i="27"/>
  <c r="AC216" i="27"/>
  <c r="AB216" i="27"/>
  <c r="AA216" i="27"/>
  <c r="Z216" i="27"/>
  <c r="Y216" i="27"/>
  <c r="X216" i="27"/>
  <c r="W216" i="27"/>
  <c r="V216" i="27"/>
  <c r="U216" i="27"/>
  <c r="T216" i="27"/>
  <c r="S216" i="27"/>
  <c r="R216" i="27"/>
  <c r="Q216" i="27"/>
  <c r="P216" i="27"/>
  <c r="O216" i="27"/>
  <c r="N216" i="27"/>
  <c r="M216" i="27"/>
  <c r="L216" i="27"/>
  <c r="K216" i="27"/>
  <c r="J216" i="27"/>
  <c r="I216" i="27"/>
  <c r="H216" i="27"/>
  <c r="G216" i="27"/>
  <c r="F216" i="27"/>
  <c r="E216" i="27"/>
  <c r="D216" i="27"/>
  <c r="C216" i="27"/>
  <c r="B216" i="27"/>
  <c r="AI109" i="27"/>
  <c r="AH109" i="27"/>
  <c r="AI108" i="27"/>
  <c r="AH108" i="27"/>
  <c r="AI107" i="27"/>
  <c r="AH107" i="27"/>
  <c r="AI106" i="27"/>
  <c r="AH106" i="27"/>
  <c r="AI105" i="27"/>
  <c r="AH105" i="27"/>
  <c r="AI104" i="27"/>
  <c r="AH104" i="27"/>
  <c r="AH103" i="27"/>
  <c r="AI102" i="27"/>
  <c r="AH102" i="27"/>
  <c r="AI101" i="27"/>
  <c r="AH101" i="27"/>
  <c r="AD100" i="27"/>
  <c r="AC100" i="27"/>
  <c r="AB100" i="27"/>
  <c r="AA100" i="27"/>
  <c r="Z100" i="27"/>
  <c r="W100" i="27"/>
  <c r="V100" i="27"/>
  <c r="U100" i="27"/>
  <c r="T100" i="27"/>
  <c r="S100" i="27"/>
  <c r="R100" i="27"/>
  <c r="Q100" i="27"/>
  <c r="AI99" i="27"/>
  <c r="AH99" i="27"/>
  <c r="AI98" i="27"/>
  <c r="AH98" i="27"/>
  <c r="AI97" i="27"/>
  <c r="AH97" i="27"/>
  <c r="AI96" i="27"/>
  <c r="AH96" i="27"/>
  <c r="AI95" i="27"/>
  <c r="AH95" i="27"/>
  <c r="AI94" i="27"/>
  <c r="AH94" i="27"/>
  <c r="AI93" i="27"/>
  <c r="AH93" i="27"/>
  <c r="AI92" i="27"/>
  <c r="AH92" i="27"/>
  <c r="AI91" i="27"/>
  <c r="AH91" i="27"/>
  <c r="AI88" i="27"/>
  <c r="AH88" i="27"/>
  <c r="AF87" i="27"/>
  <c r="AE87" i="27"/>
  <c r="AD87" i="27"/>
  <c r="AC87" i="27"/>
  <c r="AB87" i="27"/>
  <c r="AA87" i="27"/>
  <c r="Z87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AF86" i="27"/>
  <c r="AE86" i="27"/>
  <c r="AD86" i="27"/>
  <c r="AC86" i="27"/>
  <c r="AB86" i="27"/>
  <c r="AA86" i="27"/>
  <c r="Z86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AF85" i="27"/>
  <c r="AE85" i="27"/>
  <c r="AD85" i="27"/>
  <c r="AC85" i="27"/>
  <c r="AB85" i="27"/>
  <c r="AA85" i="27"/>
  <c r="Z85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AF84" i="27"/>
  <c r="AE84" i="27"/>
  <c r="AD84" i="27"/>
  <c r="AC84" i="27"/>
  <c r="AB84" i="27"/>
  <c r="AA84" i="27"/>
  <c r="Z84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AF83" i="27"/>
  <c r="AE83" i="27"/>
  <c r="AD83" i="27"/>
  <c r="AC83" i="27"/>
  <c r="AB83" i="27"/>
  <c r="AA83" i="27"/>
  <c r="Z83" i="27"/>
  <c r="Z89" i="27" s="1"/>
  <c r="Y83" i="27"/>
  <c r="X83" i="27"/>
  <c r="W83" i="27"/>
  <c r="V83" i="27"/>
  <c r="U83" i="27"/>
  <c r="T83" i="27"/>
  <c r="T89" i="27" s="1"/>
  <c r="S83" i="27"/>
  <c r="R83" i="27"/>
  <c r="Q83" i="27"/>
  <c r="P83" i="27"/>
  <c r="O83" i="27"/>
  <c r="N83" i="27"/>
  <c r="M83" i="27"/>
  <c r="L83" i="27"/>
  <c r="K83" i="27"/>
  <c r="J83" i="27"/>
  <c r="J89" i="27" s="1"/>
  <c r="I83" i="27"/>
  <c r="H83" i="27"/>
  <c r="G83" i="27"/>
  <c r="F83" i="27"/>
  <c r="E83" i="27"/>
  <c r="D83" i="27"/>
  <c r="D89" i="27" s="1"/>
  <c r="C83" i="27"/>
  <c r="C89" i="27" s="1"/>
  <c r="C90" i="27" s="1"/>
  <c r="B83" i="27"/>
  <c r="AI80" i="27"/>
  <c r="AH80" i="27"/>
  <c r="AI78" i="27"/>
  <c r="AH78" i="27"/>
  <c r="AG78" i="27"/>
  <c r="AI77" i="27"/>
  <c r="AH77" i="27"/>
  <c r="AI76" i="27"/>
  <c r="AH76" i="27"/>
  <c r="AI75" i="27"/>
  <c r="AH75" i="27"/>
  <c r="AG74" i="27"/>
  <c r="AF74" i="27"/>
  <c r="AE5" i="27" s="1"/>
  <c r="AE74" i="27"/>
  <c r="AD5" i="27" s="1"/>
  <c r="AD74" i="27"/>
  <c r="AC74" i="27"/>
  <c r="AB74" i="27"/>
  <c r="AA74" i="27"/>
  <c r="Z5" i="27" s="1"/>
  <c r="Z74" i="27"/>
  <c r="Y5" i="27" s="1"/>
  <c r="Y74" i="27"/>
  <c r="X5" i="27" s="1"/>
  <c r="X74" i="27"/>
  <c r="W5" i="27" s="1"/>
  <c r="W74" i="27"/>
  <c r="V5" i="27" s="1"/>
  <c r="V74" i="27"/>
  <c r="U5" i="27" s="1"/>
  <c r="U74" i="27"/>
  <c r="T74" i="27"/>
  <c r="S74" i="27"/>
  <c r="R5" i="27" s="1"/>
  <c r="R74" i="27"/>
  <c r="Q5" i="27" s="1"/>
  <c r="Q74" i="27"/>
  <c r="P5" i="27" s="1"/>
  <c r="P74" i="27"/>
  <c r="O5" i="27" s="1"/>
  <c r="O74" i="27"/>
  <c r="N5" i="27" s="1"/>
  <c r="N74" i="27"/>
  <c r="M5" i="27" s="1"/>
  <c r="M74" i="27"/>
  <c r="L74" i="27"/>
  <c r="K74" i="27"/>
  <c r="J5" i="27" s="1"/>
  <c r="J74" i="27"/>
  <c r="I5" i="27" s="1"/>
  <c r="I74" i="27"/>
  <c r="H5" i="27" s="1"/>
  <c r="H74" i="27"/>
  <c r="G5" i="27" s="1"/>
  <c r="G74" i="27"/>
  <c r="F5" i="27" s="1"/>
  <c r="F74" i="27"/>
  <c r="E5" i="27" s="1"/>
  <c r="E74" i="27"/>
  <c r="D74" i="27"/>
  <c r="C74" i="27"/>
  <c r="B74" i="27"/>
  <c r="AF5" i="27" s="1"/>
  <c r="AI73" i="27"/>
  <c r="AH73" i="27"/>
  <c r="AI72" i="27"/>
  <c r="AH72" i="27"/>
  <c r="AI71" i="27"/>
  <c r="AH71" i="27"/>
  <c r="AI70" i="27"/>
  <c r="AH70" i="27"/>
  <c r="AI69" i="27"/>
  <c r="AH69" i="27"/>
  <c r="AI68" i="27"/>
  <c r="AH68" i="27"/>
  <c r="AI67" i="27"/>
  <c r="AH67" i="27"/>
  <c r="AI66" i="27"/>
  <c r="AH66" i="27"/>
  <c r="AI65" i="27"/>
  <c r="AH65" i="27"/>
  <c r="AI64" i="27"/>
  <c r="AH64" i="27"/>
  <c r="AI63" i="27"/>
  <c r="AH63" i="27"/>
  <c r="AG62" i="27"/>
  <c r="AF62" i="27"/>
  <c r="AE62" i="27"/>
  <c r="AD62" i="27"/>
  <c r="AC62" i="27"/>
  <c r="AB62" i="27"/>
  <c r="AA62" i="27"/>
  <c r="Z62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AI61" i="27"/>
  <c r="AH61" i="27"/>
  <c r="AI60" i="27"/>
  <c r="AH60" i="27"/>
  <c r="AI59" i="27"/>
  <c r="AH59" i="27"/>
  <c r="AF58" i="27"/>
  <c r="AE58" i="27"/>
  <c r="AD58" i="27"/>
  <c r="AC58" i="27"/>
  <c r="AB58" i="27"/>
  <c r="AA58" i="27"/>
  <c r="Z58" i="27"/>
  <c r="Y58" i="27"/>
  <c r="X58" i="27"/>
  <c r="W58" i="27"/>
  <c r="V58" i="27"/>
  <c r="U58" i="27"/>
  <c r="T58" i="27"/>
  <c r="S58" i="27"/>
  <c r="R58" i="27"/>
  <c r="Q58" i="27"/>
  <c r="P58" i="27"/>
  <c r="O58" i="27"/>
  <c r="N58" i="27"/>
  <c r="M58" i="27"/>
  <c r="L58" i="27"/>
  <c r="K58" i="27"/>
  <c r="J58" i="27"/>
  <c r="I58" i="27"/>
  <c r="H58" i="27"/>
  <c r="G58" i="27"/>
  <c r="F58" i="27"/>
  <c r="E58" i="27"/>
  <c r="D58" i="27"/>
  <c r="C58" i="27"/>
  <c r="B58" i="27"/>
  <c r="AI57" i="27"/>
  <c r="AH57" i="27"/>
  <c r="AI56" i="27"/>
  <c r="AH56" i="27"/>
  <c r="AI55" i="27"/>
  <c r="AH55" i="27"/>
  <c r="AI54" i="27"/>
  <c r="AH54" i="27"/>
  <c r="AI53" i="27"/>
  <c r="AH53" i="27"/>
  <c r="AI52" i="27"/>
  <c r="AH52" i="27"/>
  <c r="AI51" i="27"/>
  <c r="AH51" i="27"/>
  <c r="AI50" i="27"/>
  <c r="AH50" i="27"/>
  <c r="AI49" i="27"/>
  <c r="AH49" i="27"/>
  <c r="AI48" i="27"/>
  <c r="AH48" i="27"/>
  <c r="AI47" i="27"/>
  <c r="AH47" i="27"/>
  <c r="AI46" i="27"/>
  <c r="AH46" i="27"/>
  <c r="AI45" i="27"/>
  <c r="AH45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AI43" i="27"/>
  <c r="AH43" i="27"/>
  <c r="AI42" i="27"/>
  <c r="AH42" i="27"/>
  <c r="AI41" i="27"/>
  <c r="AH41" i="27"/>
  <c r="AG40" i="27"/>
  <c r="AG79" i="27" s="1"/>
  <c r="AF40" i="27"/>
  <c r="AE40" i="27"/>
  <c r="AD40" i="27"/>
  <c r="AC40" i="27"/>
  <c r="AB40" i="27"/>
  <c r="AA40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AI38" i="27"/>
  <c r="AH38" i="27"/>
  <c r="AI37" i="27"/>
  <c r="AH37" i="27"/>
  <c r="AI36" i="27"/>
  <c r="AH36" i="27"/>
  <c r="AI35" i="27"/>
  <c r="AH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AI21" i="27"/>
  <c r="AH21" i="27"/>
  <c r="AI20" i="27"/>
  <c r="AH20" i="27"/>
  <c r="AI19" i="27"/>
  <c r="AH19" i="27"/>
  <c r="AI18" i="27"/>
  <c r="AH18" i="27"/>
  <c r="AI17" i="27"/>
  <c r="AH17" i="27"/>
  <c r="AI16" i="27"/>
  <c r="AH16" i="27"/>
  <c r="AI15" i="27"/>
  <c r="AH15" i="27"/>
  <c r="AI14" i="27"/>
  <c r="AH14" i="27"/>
  <c r="AI13" i="27"/>
  <c r="AH13" i="27"/>
  <c r="AI12" i="27"/>
  <c r="AH12" i="27"/>
  <c r="AI11" i="27"/>
  <c r="AH11" i="27"/>
  <c r="AC5" i="27"/>
  <c r="AB5" i="27"/>
  <c r="T5" i="27"/>
  <c r="L5" i="27"/>
  <c r="B5" i="27"/>
  <c r="AG4" i="27"/>
  <c r="K4" i="27"/>
  <c r="B4" i="27"/>
  <c r="S235" i="27" s="1"/>
  <c r="AF103" i="26"/>
  <c r="AF39" i="26"/>
  <c r="AE103" i="26"/>
  <c r="AE39" i="26"/>
  <c r="AD103" i="26"/>
  <c r="AD39" i="26"/>
  <c r="AE100" i="26"/>
  <c r="AC103" i="26"/>
  <c r="AC100" i="26" s="1"/>
  <c r="AC39" i="26"/>
  <c r="AB39" i="26"/>
  <c r="AA39" i="26"/>
  <c r="Z39" i="26"/>
  <c r="Y39" i="26"/>
  <c r="W39" i="26"/>
  <c r="R103" i="26"/>
  <c r="R100" i="26" s="1"/>
  <c r="R39" i="26"/>
  <c r="Q103" i="26"/>
  <c r="Q39" i="26"/>
  <c r="P39" i="26"/>
  <c r="O39" i="26"/>
  <c r="N39" i="26"/>
  <c r="M39" i="26"/>
  <c r="L103" i="26"/>
  <c r="I65" i="26"/>
  <c r="G65" i="26"/>
  <c r="F65" i="26"/>
  <c r="E65" i="26"/>
  <c r="E86" i="26" s="1"/>
  <c r="K103" i="26"/>
  <c r="K39" i="26"/>
  <c r="L39" i="26"/>
  <c r="J39" i="26"/>
  <c r="J103" i="26"/>
  <c r="AI103" i="26" s="1"/>
  <c r="F103" i="26"/>
  <c r="G103" i="26"/>
  <c r="H103" i="26"/>
  <c r="I103" i="26"/>
  <c r="F39" i="26"/>
  <c r="G39" i="26"/>
  <c r="H39" i="26"/>
  <c r="I39" i="26"/>
  <c r="E103" i="26"/>
  <c r="E39" i="26"/>
  <c r="D103" i="26"/>
  <c r="D39" i="26"/>
  <c r="D65" i="26"/>
  <c r="C103" i="26"/>
  <c r="C39" i="26"/>
  <c r="C65" i="26"/>
  <c r="B103" i="26"/>
  <c r="B87" i="26"/>
  <c r="B86" i="26"/>
  <c r="B85" i="26"/>
  <c r="B84" i="26"/>
  <c r="B83" i="26"/>
  <c r="B74" i="26"/>
  <c r="B62" i="26"/>
  <c r="B58" i="26"/>
  <c r="B44" i="26"/>
  <c r="B40" i="26"/>
  <c r="B39" i="26"/>
  <c r="AF263" i="26"/>
  <c r="AE263" i="26"/>
  <c r="AD263" i="26"/>
  <c r="AC263" i="26"/>
  <c r="AB263" i="26"/>
  <c r="AA263" i="26"/>
  <c r="Z263" i="26"/>
  <c r="Y263" i="26"/>
  <c r="X263" i="26"/>
  <c r="W263" i="26"/>
  <c r="V263" i="26"/>
  <c r="U263" i="26"/>
  <c r="T263" i="26"/>
  <c r="S263" i="26"/>
  <c r="R263" i="26"/>
  <c r="Q263" i="26"/>
  <c r="P263" i="26"/>
  <c r="O263" i="26"/>
  <c r="N263" i="26"/>
  <c r="M263" i="26"/>
  <c r="L263" i="26"/>
  <c r="K263" i="26"/>
  <c r="J263" i="26"/>
  <c r="I263" i="26"/>
  <c r="H263" i="26"/>
  <c r="G263" i="26"/>
  <c r="F263" i="26"/>
  <c r="E263" i="26"/>
  <c r="D263" i="26"/>
  <c r="C263" i="26"/>
  <c r="B263" i="26"/>
  <c r="A263" i="26"/>
  <c r="AF262" i="26"/>
  <c r="AE262" i="26"/>
  <c r="AD262" i="26"/>
  <c r="AC262" i="26"/>
  <c r="AB262" i="26"/>
  <c r="AA262" i="26"/>
  <c r="Z262" i="26"/>
  <c r="Y262" i="26"/>
  <c r="X262" i="26"/>
  <c r="W262" i="26"/>
  <c r="V262" i="26"/>
  <c r="U262" i="26"/>
  <c r="T262" i="26"/>
  <c r="S262" i="26"/>
  <c r="R262" i="26"/>
  <c r="Q262" i="26"/>
  <c r="P262" i="26"/>
  <c r="O262" i="26"/>
  <c r="N262" i="26"/>
  <c r="M262" i="26"/>
  <c r="L262" i="26"/>
  <c r="K262" i="26"/>
  <c r="J262" i="26"/>
  <c r="I262" i="26"/>
  <c r="H262" i="26"/>
  <c r="G262" i="26"/>
  <c r="F262" i="26"/>
  <c r="E262" i="26"/>
  <c r="D262" i="26"/>
  <c r="C262" i="26"/>
  <c r="B262" i="26"/>
  <c r="A262" i="26"/>
  <c r="AF261" i="26"/>
  <c r="AE261" i="26"/>
  <c r="AD261" i="26"/>
  <c r="AC261" i="26"/>
  <c r="AB261" i="26"/>
  <c r="AA261" i="26"/>
  <c r="Z261" i="26"/>
  <c r="Y261" i="26"/>
  <c r="X261" i="26"/>
  <c r="W261" i="26"/>
  <c r="V261" i="26"/>
  <c r="U261" i="26"/>
  <c r="T261" i="26"/>
  <c r="S261" i="26"/>
  <c r="R261" i="26"/>
  <c r="Q261" i="26"/>
  <c r="P261" i="26"/>
  <c r="O261" i="26"/>
  <c r="N261" i="26"/>
  <c r="M261" i="26"/>
  <c r="L261" i="26"/>
  <c r="K261" i="26"/>
  <c r="J261" i="26"/>
  <c r="I261" i="26"/>
  <c r="H261" i="26"/>
  <c r="G261" i="26"/>
  <c r="F261" i="26"/>
  <c r="E261" i="26"/>
  <c r="D261" i="26"/>
  <c r="C261" i="26"/>
  <c r="B261" i="26"/>
  <c r="A261" i="26"/>
  <c r="AF260" i="26"/>
  <c r="AE260" i="26"/>
  <c r="AD260" i="26"/>
  <c r="AC260" i="26"/>
  <c r="AB260" i="26"/>
  <c r="AA260" i="26"/>
  <c r="Z260" i="26"/>
  <c r="Y260" i="26"/>
  <c r="X260" i="26"/>
  <c r="W260" i="26"/>
  <c r="V260" i="26"/>
  <c r="U260" i="26"/>
  <c r="T260" i="26"/>
  <c r="S260" i="26"/>
  <c r="R260" i="26"/>
  <c r="Q260" i="26"/>
  <c r="P260" i="26"/>
  <c r="O260" i="26"/>
  <c r="N260" i="26"/>
  <c r="M260" i="26"/>
  <c r="L260" i="26"/>
  <c r="K260" i="26"/>
  <c r="J260" i="26"/>
  <c r="I260" i="26"/>
  <c r="H260" i="26"/>
  <c r="G260" i="26"/>
  <c r="F260" i="26"/>
  <c r="E260" i="26"/>
  <c r="D260" i="26"/>
  <c r="C260" i="26"/>
  <c r="B260" i="26"/>
  <c r="A260" i="26"/>
  <c r="AE259" i="26"/>
  <c r="AD259" i="26"/>
  <c r="AC259" i="26"/>
  <c r="AB259" i="26"/>
  <c r="AA259" i="26"/>
  <c r="Z259" i="26"/>
  <c r="Y259" i="26"/>
  <c r="X259" i="26"/>
  <c r="W259" i="26"/>
  <c r="V259" i="26"/>
  <c r="U259" i="26"/>
  <c r="T259" i="26"/>
  <c r="S259" i="26"/>
  <c r="R259" i="26"/>
  <c r="Q259" i="26"/>
  <c r="P259" i="26"/>
  <c r="B259" i="26"/>
  <c r="S234" i="26"/>
  <c r="AG224" i="26"/>
  <c r="AF224" i="26"/>
  <c r="AE224" i="26"/>
  <c r="AD224" i="26"/>
  <c r="AC224" i="26"/>
  <c r="AB224" i="26"/>
  <c r="AA224" i="26"/>
  <c r="Z224" i="26"/>
  <c r="Y224" i="26"/>
  <c r="X224" i="26"/>
  <c r="W224" i="26"/>
  <c r="V224" i="26"/>
  <c r="U224" i="26"/>
  <c r="T224" i="26"/>
  <c r="S224" i="26"/>
  <c r="R224" i="26"/>
  <c r="Q224" i="26"/>
  <c r="C224" i="26"/>
  <c r="D223" i="26"/>
  <c r="C259" i="26" s="1"/>
  <c r="B223" i="26"/>
  <c r="AF259" i="26" s="1"/>
  <c r="D222" i="26"/>
  <c r="E222" i="26" s="1"/>
  <c r="F222" i="26" s="1"/>
  <c r="G222" i="26" s="1"/>
  <c r="H222" i="26" s="1"/>
  <c r="I222" i="26" s="1"/>
  <c r="J222" i="26" s="1"/>
  <c r="K222" i="26" s="1"/>
  <c r="L222" i="26" s="1"/>
  <c r="M222" i="26" s="1"/>
  <c r="N222" i="26" s="1"/>
  <c r="O222" i="26" s="1"/>
  <c r="P222" i="26" s="1"/>
  <c r="B222" i="26"/>
  <c r="E221" i="26"/>
  <c r="F221" i="26" s="1"/>
  <c r="G221" i="26" s="1"/>
  <c r="H221" i="26" s="1"/>
  <c r="I221" i="26" s="1"/>
  <c r="J221" i="26" s="1"/>
  <c r="K221" i="26" s="1"/>
  <c r="L221" i="26" s="1"/>
  <c r="M221" i="26" s="1"/>
  <c r="N221" i="26" s="1"/>
  <c r="O221" i="26" s="1"/>
  <c r="P221" i="26" s="1"/>
  <c r="D221" i="26"/>
  <c r="B221" i="26"/>
  <c r="D220" i="26"/>
  <c r="E220" i="26" s="1"/>
  <c r="F220" i="26" s="1"/>
  <c r="G220" i="26" s="1"/>
  <c r="H220" i="26" s="1"/>
  <c r="I220" i="26" s="1"/>
  <c r="J220" i="26" s="1"/>
  <c r="K220" i="26" s="1"/>
  <c r="L220" i="26" s="1"/>
  <c r="M220" i="26" s="1"/>
  <c r="N220" i="26" s="1"/>
  <c r="O220" i="26" s="1"/>
  <c r="P220" i="26" s="1"/>
  <c r="B220" i="26"/>
  <c r="D219" i="26"/>
  <c r="E219" i="26" s="1"/>
  <c r="B219" i="26"/>
  <c r="E218" i="26"/>
  <c r="F218" i="26" s="1"/>
  <c r="D218" i="26"/>
  <c r="D224" i="26" s="1"/>
  <c r="B218" i="26"/>
  <c r="AG216" i="26"/>
  <c r="AF216" i="26"/>
  <c r="AE216" i="26"/>
  <c r="AD216" i="26"/>
  <c r="AC216" i="26"/>
  <c r="AB216" i="26"/>
  <c r="AA216" i="26"/>
  <c r="Z216" i="26"/>
  <c r="Y216" i="26"/>
  <c r="X216" i="26"/>
  <c r="W216" i="26"/>
  <c r="V216" i="26"/>
  <c r="U216" i="26"/>
  <c r="T216" i="26"/>
  <c r="S216" i="26"/>
  <c r="R216" i="26"/>
  <c r="Q216" i="26"/>
  <c r="P216" i="26"/>
  <c r="O216" i="26"/>
  <c r="N216" i="26"/>
  <c r="M216" i="26"/>
  <c r="L216" i="26"/>
  <c r="K216" i="26"/>
  <c r="J216" i="26"/>
  <c r="I216" i="26"/>
  <c r="H216" i="26"/>
  <c r="G216" i="26"/>
  <c r="F216" i="26"/>
  <c r="E216" i="26"/>
  <c r="D216" i="26"/>
  <c r="C216" i="26"/>
  <c r="B216" i="26"/>
  <c r="AI109" i="26"/>
  <c r="AH109" i="26"/>
  <c r="AI108" i="26"/>
  <c r="AH108" i="26"/>
  <c r="AI107" i="26"/>
  <c r="AH107" i="26"/>
  <c r="AI106" i="26"/>
  <c r="AH106" i="26"/>
  <c r="AI105" i="26"/>
  <c r="AH105" i="26"/>
  <c r="AI104" i="26"/>
  <c r="AH104" i="26"/>
  <c r="AI102" i="26"/>
  <c r="AH102" i="26"/>
  <c r="AI101" i="26"/>
  <c r="AH101" i="26"/>
  <c r="AF100" i="26"/>
  <c r="AD100" i="26"/>
  <c r="AB100" i="26"/>
  <c r="AA100" i="26"/>
  <c r="Z100" i="26"/>
  <c r="Y100" i="26"/>
  <c r="X100" i="26"/>
  <c r="W100" i="26"/>
  <c r="V100" i="26"/>
  <c r="U100" i="26"/>
  <c r="T100" i="26"/>
  <c r="S100" i="26"/>
  <c r="Q100" i="26"/>
  <c r="D100" i="26"/>
  <c r="C100" i="26"/>
  <c r="AI99" i="26"/>
  <c r="AH99" i="26"/>
  <c r="AI98" i="26"/>
  <c r="AH98" i="26"/>
  <c r="AI97" i="26"/>
  <c r="AH97" i="26"/>
  <c r="AI96" i="26"/>
  <c r="AH96" i="26"/>
  <c r="AI95" i="26"/>
  <c r="AH95" i="26"/>
  <c r="AI94" i="26"/>
  <c r="AH94" i="26"/>
  <c r="AI93" i="26"/>
  <c r="AH93" i="26"/>
  <c r="AI92" i="26"/>
  <c r="AH92" i="26"/>
  <c r="AI91" i="26"/>
  <c r="AH91" i="26"/>
  <c r="AI88" i="26"/>
  <c r="AH88" i="26"/>
  <c r="AF87" i="26"/>
  <c r="AE87" i="26"/>
  <c r="AD87" i="26"/>
  <c r="AC87" i="26"/>
  <c r="AB87" i="26"/>
  <c r="AA87" i="26"/>
  <c r="Z87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AF86" i="26"/>
  <c r="AE86" i="26"/>
  <c r="AD86" i="26"/>
  <c r="AC86" i="26"/>
  <c r="AB86" i="26"/>
  <c r="AA86" i="26"/>
  <c r="Z86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D86" i="26"/>
  <c r="C86" i="26"/>
  <c r="AF85" i="26"/>
  <c r="AE85" i="26"/>
  <c r="AD85" i="26"/>
  <c r="AC85" i="26"/>
  <c r="AB85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AF84" i="26"/>
  <c r="AE84" i="26"/>
  <c r="AD84" i="26"/>
  <c r="AC84" i="26"/>
  <c r="AB84" i="26"/>
  <c r="AA84" i="26"/>
  <c r="Z84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AF83" i="26"/>
  <c r="AE83" i="26"/>
  <c r="AD83" i="26"/>
  <c r="AC83" i="26"/>
  <c r="AB83" i="26"/>
  <c r="AA83" i="26"/>
  <c r="Z83" i="26"/>
  <c r="Y83" i="26"/>
  <c r="X83" i="26"/>
  <c r="W83" i="26"/>
  <c r="V83" i="26"/>
  <c r="U83" i="26"/>
  <c r="T83" i="26"/>
  <c r="S83" i="26"/>
  <c r="R83" i="26"/>
  <c r="Q83" i="26"/>
  <c r="Q89" i="26" s="1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AI80" i="26"/>
  <c r="AH80" i="26"/>
  <c r="AI78" i="26"/>
  <c r="AH78" i="26"/>
  <c r="AG78" i="26"/>
  <c r="AI77" i="26"/>
  <c r="AH77" i="26"/>
  <c r="AI76" i="26"/>
  <c r="AH76" i="26"/>
  <c r="AI75" i="26"/>
  <c r="AH75" i="26"/>
  <c r="AG74" i="26"/>
  <c r="AF74" i="26"/>
  <c r="AE74" i="26"/>
  <c r="AD5" i="26" s="1"/>
  <c r="AD74" i="26"/>
  <c r="AC5" i="26" s="1"/>
  <c r="AC74" i="26"/>
  <c r="AB5" i="26" s="1"/>
  <c r="AB74" i="26"/>
  <c r="AA5" i="26" s="1"/>
  <c r="AA74" i="26"/>
  <c r="Z74" i="26"/>
  <c r="Y74" i="26"/>
  <c r="X74" i="26"/>
  <c r="W74" i="26"/>
  <c r="V74" i="26"/>
  <c r="U5" i="26" s="1"/>
  <c r="U74" i="26"/>
  <c r="T5" i="26" s="1"/>
  <c r="T74" i="26"/>
  <c r="S74" i="26"/>
  <c r="R74" i="26"/>
  <c r="Q74" i="26"/>
  <c r="P74" i="26"/>
  <c r="O74" i="26"/>
  <c r="N5" i="26" s="1"/>
  <c r="N74" i="26"/>
  <c r="M5" i="26" s="1"/>
  <c r="M74" i="26"/>
  <c r="L5" i="26" s="1"/>
  <c r="L74" i="26"/>
  <c r="K5" i="26" s="1"/>
  <c r="K74" i="26"/>
  <c r="J74" i="26"/>
  <c r="I74" i="26"/>
  <c r="H5" i="26" s="1"/>
  <c r="H74" i="26"/>
  <c r="G5" i="26" s="1"/>
  <c r="G74" i="26"/>
  <c r="F5" i="26" s="1"/>
  <c r="F74" i="26"/>
  <c r="E5" i="26" s="1"/>
  <c r="E74" i="26"/>
  <c r="D5" i="26" s="1"/>
  <c r="D74" i="26"/>
  <c r="C5" i="26" s="1"/>
  <c r="C74" i="26"/>
  <c r="AI73" i="26"/>
  <c r="AH73" i="26"/>
  <c r="AI72" i="26"/>
  <c r="AH72" i="26"/>
  <c r="AI71" i="26"/>
  <c r="AH71" i="26"/>
  <c r="AI70" i="26"/>
  <c r="AH70" i="26"/>
  <c r="AI69" i="26"/>
  <c r="AH69" i="26"/>
  <c r="AI68" i="26"/>
  <c r="AH68" i="26"/>
  <c r="AI67" i="26"/>
  <c r="AH67" i="26"/>
  <c r="AI66" i="26"/>
  <c r="AH66" i="26"/>
  <c r="AI65" i="26"/>
  <c r="AH65" i="26"/>
  <c r="AI64" i="26"/>
  <c r="AH64" i="26"/>
  <c r="AI63" i="26"/>
  <c r="AH63" i="26"/>
  <c r="AG62" i="26"/>
  <c r="AF62" i="26"/>
  <c r="AE62" i="26"/>
  <c r="AD62" i="26"/>
  <c r="AC62" i="26"/>
  <c r="AB62" i="26"/>
  <c r="AA62" i="26"/>
  <c r="Z62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AI61" i="26"/>
  <c r="AH61" i="26"/>
  <c r="AI60" i="26"/>
  <c r="AH60" i="26"/>
  <c r="AI59" i="26"/>
  <c r="AH59" i="26"/>
  <c r="AF58" i="26"/>
  <c r="AE58" i="26"/>
  <c r="AD58" i="26"/>
  <c r="AC58" i="26"/>
  <c r="AB58" i="26"/>
  <c r="AA58" i="26"/>
  <c r="Z58" i="26"/>
  <c r="Y58" i="26"/>
  <c r="X58" i="26"/>
  <c r="W58" i="26"/>
  <c r="V58" i="26"/>
  <c r="U58" i="26"/>
  <c r="T58" i="26"/>
  <c r="S58" i="26"/>
  <c r="R58" i="26"/>
  <c r="Q58" i="26"/>
  <c r="P58" i="26"/>
  <c r="O58" i="26"/>
  <c r="N58" i="26"/>
  <c r="M58" i="26"/>
  <c r="L58" i="26"/>
  <c r="K58" i="26"/>
  <c r="J58" i="26"/>
  <c r="I58" i="26"/>
  <c r="H58" i="26"/>
  <c r="G58" i="26"/>
  <c r="F58" i="26"/>
  <c r="E58" i="26"/>
  <c r="D58" i="26"/>
  <c r="C58" i="26"/>
  <c r="AI57" i="26"/>
  <c r="AH57" i="26"/>
  <c r="AG57" i="26"/>
  <c r="AG58" i="26" s="1"/>
  <c r="AI56" i="26"/>
  <c r="AH56" i="26"/>
  <c r="AI55" i="26"/>
  <c r="AH55" i="26"/>
  <c r="AI54" i="26"/>
  <c r="AH54" i="26"/>
  <c r="AI53" i="26"/>
  <c r="AH53" i="26"/>
  <c r="AI52" i="26"/>
  <c r="AH52" i="26"/>
  <c r="AI51" i="26"/>
  <c r="AH51" i="26"/>
  <c r="AI50" i="26"/>
  <c r="AH50" i="26"/>
  <c r="AI49" i="26"/>
  <c r="AH49" i="26"/>
  <c r="AI48" i="26"/>
  <c r="AH48" i="26"/>
  <c r="AI47" i="26"/>
  <c r="AH47" i="26"/>
  <c r="AI46" i="26"/>
  <c r="AH46" i="26"/>
  <c r="AI45" i="26"/>
  <c r="AH45" i="26"/>
  <c r="AG44" i="26"/>
  <c r="AF44" i="26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AI43" i="26"/>
  <c r="AH43" i="26"/>
  <c r="AI42" i="26"/>
  <c r="AH42" i="26"/>
  <c r="AI41" i="26"/>
  <c r="AH41" i="26"/>
  <c r="AG40" i="26"/>
  <c r="AF40" i="26"/>
  <c r="AE40" i="26"/>
  <c r="AD40" i="26"/>
  <c r="AC40" i="26"/>
  <c r="AB40" i="26"/>
  <c r="AA40" i="26"/>
  <c r="Z40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AI38" i="26"/>
  <c r="AH38" i="26"/>
  <c r="AI37" i="26"/>
  <c r="AH37" i="26"/>
  <c r="AI36" i="26"/>
  <c r="AH36" i="26"/>
  <c r="AI35" i="26"/>
  <c r="AH35" i="26"/>
  <c r="AI34" i="26"/>
  <c r="AH34" i="26"/>
  <c r="AI33" i="26"/>
  <c r="AH33" i="26"/>
  <c r="AI32" i="26"/>
  <c r="AH32" i="26"/>
  <c r="AI31" i="26"/>
  <c r="AH31" i="26"/>
  <c r="AI30" i="26"/>
  <c r="AH30" i="26"/>
  <c r="AI29" i="26"/>
  <c r="AH29" i="26"/>
  <c r="AI28" i="26"/>
  <c r="AH28" i="26"/>
  <c r="AI27" i="26"/>
  <c r="AH27" i="26"/>
  <c r="AI26" i="26"/>
  <c r="AH26" i="26"/>
  <c r="AI25" i="26"/>
  <c r="AH25" i="26"/>
  <c r="AI24" i="26"/>
  <c r="AH24" i="26"/>
  <c r="AI23" i="26"/>
  <c r="AH23" i="26"/>
  <c r="AI22" i="26"/>
  <c r="AH22" i="26"/>
  <c r="AI21" i="26"/>
  <c r="AH21" i="26"/>
  <c r="AI20" i="26"/>
  <c r="AH20" i="26"/>
  <c r="AI19" i="26"/>
  <c r="AH19" i="26"/>
  <c r="AI18" i="26"/>
  <c r="AH18" i="26"/>
  <c r="AI17" i="26"/>
  <c r="AH17" i="26"/>
  <c r="AI16" i="26"/>
  <c r="AH16" i="26"/>
  <c r="AI15" i="26"/>
  <c r="AH15" i="26"/>
  <c r="AI14" i="26"/>
  <c r="AH14" i="26"/>
  <c r="AI13" i="26"/>
  <c r="AH13" i="26"/>
  <c r="AI12" i="26"/>
  <c r="AH12" i="26"/>
  <c r="AI11" i="26"/>
  <c r="AH11" i="26"/>
  <c r="AF5" i="26"/>
  <c r="AE5" i="26"/>
  <c r="Y5" i="26"/>
  <c r="S5" i="26"/>
  <c r="Q5" i="26"/>
  <c r="AG4" i="26"/>
  <c r="K4" i="26"/>
  <c r="B4" i="26"/>
  <c r="S235" i="26" s="1"/>
  <c r="AG2" i="26"/>
  <c r="AE103" i="25"/>
  <c r="AE39" i="25"/>
  <c r="AF103" i="25"/>
  <c r="AE74" i="25"/>
  <c r="AF74" i="25"/>
  <c r="AE44" i="25"/>
  <c r="AF44" i="25"/>
  <c r="AF39" i="25"/>
  <c r="AD103" i="25"/>
  <c r="AD39" i="25"/>
  <c r="AC103" i="25"/>
  <c r="AC39" i="25"/>
  <c r="AB103" i="25"/>
  <c r="AB39" i="25"/>
  <c r="AA103" i="25"/>
  <c r="AA39" i="25"/>
  <c r="Z103" i="25"/>
  <c r="Z39" i="25"/>
  <c r="Y103" i="25"/>
  <c r="Y39" i="25"/>
  <c r="X103" i="25"/>
  <c r="X39" i="25"/>
  <c r="W103" i="25"/>
  <c r="W39" i="25"/>
  <c r="V103" i="25"/>
  <c r="V39" i="25"/>
  <c r="E4" i="28"/>
  <c r="E4" i="27"/>
  <c r="E4" i="26"/>
  <c r="S89" i="26" l="1"/>
  <c r="AC89" i="26"/>
  <c r="B89" i="26"/>
  <c r="B90" i="26" s="1"/>
  <c r="AA79" i="27"/>
  <c r="AA81" i="27" s="1"/>
  <c r="M89" i="27"/>
  <c r="AI103" i="27"/>
  <c r="Z89" i="28"/>
  <c r="Z82" i="28" s="1"/>
  <c r="T89" i="28"/>
  <c r="T90" i="28" s="1"/>
  <c r="B224" i="28"/>
  <c r="H79" i="26"/>
  <c r="H81" i="26" s="1"/>
  <c r="AG2" i="28"/>
  <c r="AG6" i="28" s="1"/>
  <c r="K89" i="28"/>
  <c r="S89" i="28"/>
  <c r="B224" i="26"/>
  <c r="U79" i="27"/>
  <c r="U81" i="27" s="1"/>
  <c r="U7" i="27" s="1"/>
  <c r="F223" i="27"/>
  <c r="F100" i="27" s="1"/>
  <c r="D100" i="28"/>
  <c r="P89" i="26"/>
  <c r="AF89" i="26"/>
  <c r="B79" i="26"/>
  <c r="B81" i="26" s="1"/>
  <c r="N79" i="27"/>
  <c r="N81" i="27" s="1"/>
  <c r="E89" i="28"/>
  <c r="E90" i="28" s="1"/>
  <c r="U89" i="28"/>
  <c r="U90" i="28" s="1"/>
  <c r="AH103" i="26"/>
  <c r="B100" i="26"/>
  <c r="O79" i="27"/>
  <c r="O81" i="27" s="1"/>
  <c r="AE79" i="27"/>
  <c r="AE81" i="27" s="1"/>
  <c r="AH62" i="27"/>
  <c r="B100" i="27"/>
  <c r="AG81" i="28"/>
  <c r="N89" i="28"/>
  <c r="N90" i="28" s="1"/>
  <c r="AI39" i="28"/>
  <c r="Z89" i="26"/>
  <c r="AI62" i="27"/>
  <c r="Z90" i="27"/>
  <c r="L89" i="27"/>
  <c r="D224" i="27"/>
  <c r="G89" i="28"/>
  <c r="G90" i="28" s="1"/>
  <c r="AF90" i="28"/>
  <c r="AF79" i="28"/>
  <c r="AF81" i="28" s="1"/>
  <c r="AE89" i="28"/>
  <c r="AE90" i="28" s="1"/>
  <c r="AD5" i="28"/>
  <c r="AE79" i="28"/>
  <c r="AE81" i="28" s="1"/>
  <c r="AD89" i="28"/>
  <c r="AD79" i="28"/>
  <c r="AD81" i="28" s="1"/>
  <c r="AC89" i="28"/>
  <c r="AC90" i="28" s="1"/>
  <c r="AC79" i="28"/>
  <c r="AC81" i="28" s="1"/>
  <c r="AC82" i="28" s="1"/>
  <c r="AB89" i="28"/>
  <c r="AB90" i="28" s="1"/>
  <c r="AA5" i="28"/>
  <c r="AB79" i="28"/>
  <c r="AB81" i="28" s="1"/>
  <c r="AA79" i="28"/>
  <c r="AA81" i="28" s="1"/>
  <c r="AA89" i="28"/>
  <c r="AA90" i="28" s="1"/>
  <c r="Y79" i="28"/>
  <c r="Y81" i="28" s="1"/>
  <c r="Y89" i="28"/>
  <c r="Y82" i="28" s="1"/>
  <c r="X89" i="28"/>
  <c r="X90" i="28" s="1"/>
  <c r="X79" i="28"/>
  <c r="X81" i="28" s="1"/>
  <c r="V5" i="28"/>
  <c r="W89" i="28"/>
  <c r="W90" i="28" s="1"/>
  <c r="W79" i="28"/>
  <c r="W81" i="28" s="1"/>
  <c r="V89" i="28"/>
  <c r="V79" i="28"/>
  <c r="V81" i="28" s="1"/>
  <c r="U79" i="28"/>
  <c r="U81" i="28" s="1"/>
  <c r="U7" i="28" s="1"/>
  <c r="T79" i="28"/>
  <c r="T81" i="28" s="1"/>
  <c r="S90" i="28"/>
  <c r="S79" i="28"/>
  <c r="S81" i="28" s="1"/>
  <c r="R89" i="28"/>
  <c r="R79" i="28"/>
  <c r="R81" i="28" s="1"/>
  <c r="Q89" i="28"/>
  <c r="O89" i="28"/>
  <c r="O90" i="28" s="1"/>
  <c r="N5" i="28"/>
  <c r="Q79" i="28"/>
  <c r="Q81" i="28" s="1"/>
  <c r="P89" i="28"/>
  <c r="P90" i="28" s="1"/>
  <c r="O5" i="28"/>
  <c r="P79" i="28"/>
  <c r="P81" i="28" s="1"/>
  <c r="N79" i="28"/>
  <c r="N81" i="28" s="1"/>
  <c r="N82" i="28" s="1"/>
  <c r="M89" i="28"/>
  <c r="M90" i="28" s="1"/>
  <c r="M79" i="28"/>
  <c r="M81" i="28" s="1"/>
  <c r="AE238" i="28" s="1"/>
  <c r="L89" i="28"/>
  <c r="L90" i="28" s="1"/>
  <c r="L79" i="28"/>
  <c r="L81" i="28" s="1"/>
  <c r="AD238" i="28" s="1"/>
  <c r="K90" i="28"/>
  <c r="K79" i="28"/>
  <c r="K81" i="28" s="1"/>
  <c r="K82" i="28" s="1"/>
  <c r="J89" i="28"/>
  <c r="J79" i="28"/>
  <c r="J81" i="28" s="1"/>
  <c r="AB238" i="28" s="1"/>
  <c r="I79" i="28"/>
  <c r="I81" i="28" s="1"/>
  <c r="I7" i="28" s="1"/>
  <c r="H90" i="28"/>
  <c r="G5" i="28"/>
  <c r="H79" i="28"/>
  <c r="H81" i="28" s="1"/>
  <c r="H82" i="28" s="1"/>
  <c r="AI83" i="28"/>
  <c r="AI86" i="28"/>
  <c r="F5" i="28"/>
  <c r="G79" i="28"/>
  <c r="G81" i="28" s="1"/>
  <c r="Y238" i="28" s="1"/>
  <c r="AI85" i="28"/>
  <c r="F89" i="28"/>
  <c r="F90" i="28" s="1"/>
  <c r="AH84" i="28"/>
  <c r="F79" i="28"/>
  <c r="F81" i="28" s="1"/>
  <c r="X238" i="28" s="1"/>
  <c r="E79" i="28"/>
  <c r="E81" i="28" s="1"/>
  <c r="AI62" i="28"/>
  <c r="AH39" i="28"/>
  <c r="AH40" i="28"/>
  <c r="AH103" i="28"/>
  <c r="AI87" i="28"/>
  <c r="D89" i="28"/>
  <c r="D90" i="28"/>
  <c r="AH85" i="28"/>
  <c r="C5" i="28"/>
  <c r="AI58" i="28"/>
  <c r="AI44" i="28"/>
  <c r="D79" i="28"/>
  <c r="D81" i="28" s="1"/>
  <c r="D7" i="28" s="1"/>
  <c r="C89" i="28"/>
  <c r="C90" i="28" s="1"/>
  <c r="C79" i="28"/>
  <c r="C81" i="28" s="1"/>
  <c r="C7" i="28" s="1"/>
  <c r="H4" i="28"/>
  <c r="AG238" i="28"/>
  <c r="O7" i="28"/>
  <c r="AW238" i="28"/>
  <c r="AE82" i="28"/>
  <c r="AE7" i="28"/>
  <c r="H7" i="28"/>
  <c r="X7" i="28"/>
  <c r="AP238" i="28"/>
  <c r="Q7" i="28"/>
  <c r="AI238" i="28"/>
  <c r="Q82" i="28"/>
  <c r="V90" i="28"/>
  <c r="AD90" i="28"/>
  <c r="D259" i="28"/>
  <c r="F223" i="28"/>
  <c r="E100" i="28"/>
  <c r="R7" i="28"/>
  <c r="AJ238" i="28"/>
  <c r="R82" i="28"/>
  <c r="Z7" i="28"/>
  <c r="AR238" i="28"/>
  <c r="AO238" i="28"/>
  <c r="W82" i="28"/>
  <c r="W7" i="28"/>
  <c r="P7" i="28"/>
  <c r="AH238" i="28"/>
  <c r="P82" i="28"/>
  <c r="AF7" i="28"/>
  <c r="AX238" i="28"/>
  <c r="AF82" i="28"/>
  <c r="Y7" i="28"/>
  <c r="AQ238" i="28"/>
  <c r="AC238" i="28"/>
  <c r="AK238" i="28"/>
  <c r="S82" i="28"/>
  <c r="S7" i="28"/>
  <c r="AA7" i="28"/>
  <c r="AS238" i="28"/>
  <c r="AA82" i="28"/>
  <c r="AT238" i="28"/>
  <c r="AB7" i="28"/>
  <c r="AB82" i="28"/>
  <c r="I90" i="28"/>
  <c r="Y90" i="28"/>
  <c r="H218" i="28"/>
  <c r="E7" i="28"/>
  <c r="W238" i="28"/>
  <c r="J90" i="28"/>
  <c r="R90" i="28"/>
  <c r="AL238" i="28"/>
  <c r="T7" i="28"/>
  <c r="Q90" i="28"/>
  <c r="F7" i="28"/>
  <c r="N7" i="28"/>
  <c r="AF238" i="28"/>
  <c r="V7" i="28"/>
  <c r="AN238" i="28"/>
  <c r="V82" i="28"/>
  <c r="AD7" i="28"/>
  <c r="AV238" i="28"/>
  <c r="AD82" i="28"/>
  <c r="D235" i="28"/>
  <c r="AI84" i="28"/>
  <c r="AH58" i="28"/>
  <c r="AH62" i="28"/>
  <c r="AH74" i="28"/>
  <c r="AI74" i="28"/>
  <c r="AH83" i="28"/>
  <c r="F100" i="28"/>
  <c r="AH44" i="28"/>
  <c r="D5" i="28"/>
  <c r="L5" i="28"/>
  <c r="T5" i="28"/>
  <c r="AB5" i="28"/>
  <c r="AI40" i="28"/>
  <c r="AH86" i="28"/>
  <c r="E221" i="28"/>
  <c r="F221" i="28" s="1"/>
  <c r="G221" i="28" s="1"/>
  <c r="H221" i="28" s="1"/>
  <c r="I221" i="28" s="1"/>
  <c r="J221" i="28" s="1"/>
  <c r="K221" i="28" s="1"/>
  <c r="L221" i="28" s="1"/>
  <c r="M221" i="28" s="1"/>
  <c r="N221" i="28" s="1"/>
  <c r="O221" i="28" s="1"/>
  <c r="P221" i="28" s="1"/>
  <c r="AH87" i="28"/>
  <c r="AF89" i="27"/>
  <c r="AF79" i="27"/>
  <c r="AF81" i="27" s="1"/>
  <c r="AE89" i="27"/>
  <c r="AE90" i="27" s="1"/>
  <c r="AD89" i="27"/>
  <c r="AD90" i="27" s="1"/>
  <c r="AD79" i="27"/>
  <c r="AD81" i="27" s="1"/>
  <c r="AD7" i="27" s="1"/>
  <c r="AC89" i="27"/>
  <c r="AC90" i="27" s="1"/>
  <c r="AC79" i="27"/>
  <c r="AC81" i="27" s="1"/>
  <c r="AB89" i="27"/>
  <c r="AB90" i="27" s="1"/>
  <c r="AB79" i="27"/>
  <c r="AB81" i="27" s="1"/>
  <c r="AB7" i="27" s="1"/>
  <c r="AA89" i="27"/>
  <c r="AA90" i="27" s="1"/>
  <c r="Z79" i="27"/>
  <c r="Z81" i="27" s="1"/>
  <c r="Z7" i="27" s="1"/>
  <c r="Y89" i="27"/>
  <c r="Y90" i="27" s="1"/>
  <c r="Y79" i="27"/>
  <c r="Y81" i="27" s="1"/>
  <c r="Y82" i="27" s="1"/>
  <c r="V79" i="27"/>
  <c r="V81" i="27" s="1"/>
  <c r="W89" i="27"/>
  <c r="W90" i="27" s="1"/>
  <c r="X89" i="27"/>
  <c r="X82" i="27" s="1"/>
  <c r="X79" i="27"/>
  <c r="X81" i="27" s="1"/>
  <c r="W79" i="27"/>
  <c r="W81" i="27" s="1"/>
  <c r="V89" i="27"/>
  <c r="V90" i="27"/>
  <c r="U89" i="27"/>
  <c r="U90" i="27" s="1"/>
  <c r="AI39" i="27"/>
  <c r="T90" i="27"/>
  <c r="T79" i="27"/>
  <c r="T81" i="27" s="1"/>
  <c r="T7" i="27" s="1"/>
  <c r="S89" i="27"/>
  <c r="S90" i="27" s="1"/>
  <c r="S79" i="27"/>
  <c r="S81" i="27" s="1"/>
  <c r="R89" i="27"/>
  <c r="R90" i="27" s="1"/>
  <c r="R79" i="27"/>
  <c r="R81" i="27" s="1"/>
  <c r="R7" i="27" s="1"/>
  <c r="Q89" i="27"/>
  <c r="Q90" i="27" s="1"/>
  <c r="Q79" i="27"/>
  <c r="Q81" i="27" s="1"/>
  <c r="Q7" i="27" s="1"/>
  <c r="P89" i="27"/>
  <c r="P79" i="27"/>
  <c r="P81" i="27" s="1"/>
  <c r="O89" i="27"/>
  <c r="O90" i="27" s="1"/>
  <c r="N89" i="27"/>
  <c r="N90" i="27" s="1"/>
  <c r="M90" i="27"/>
  <c r="M79" i="27"/>
  <c r="M81" i="27" s="1"/>
  <c r="M7" i="27" s="1"/>
  <c r="L90" i="27"/>
  <c r="L79" i="27"/>
  <c r="L81" i="27" s="1"/>
  <c r="L82" i="27" s="1"/>
  <c r="K89" i="27"/>
  <c r="K90" i="27" s="1"/>
  <c r="K79" i="27"/>
  <c r="K81" i="27" s="1"/>
  <c r="J90" i="27"/>
  <c r="J79" i="27"/>
  <c r="J81" i="27" s="1"/>
  <c r="I89" i="27"/>
  <c r="I90" i="27" s="1"/>
  <c r="I79" i="27"/>
  <c r="I81" i="27" s="1"/>
  <c r="AA238" i="27" s="1"/>
  <c r="AI85" i="27"/>
  <c r="H89" i="27"/>
  <c r="H79" i="27"/>
  <c r="H81" i="27" s="1"/>
  <c r="H7" i="27" s="1"/>
  <c r="G89" i="27"/>
  <c r="G90" i="27" s="1"/>
  <c r="G79" i="27"/>
  <c r="G81" i="27" s="1"/>
  <c r="G7" i="27" s="1"/>
  <c r="F89" i="27"/>
  <c r="F90" i="27" s="1"/>
  <c r="AI87" i="27"/>
  <c r="F79" i="27"/>
  <c r="F81" i="27" s="1"/>
  <c r="F7" i="27" s="1"/>
  <c r="E89" i="27"/>
  <c r="AI86" i="27"/>
  <c r="E90" i="27"/>
  <c r="D5" i="27"/>
  <c r="E79" i="27"/>
  <c r="E81" i="27" s="1"/>
  <c r="E7" i="27" s="1"/>
  <c r="AH39" i="27"/>
  <c r="D90" i="27"/>
  <c r="D79" i="27"/>
  <c r="D81" i="27" s="1"/>
  <c r="V238" i="27" s="1"/>
  <c r="AI83" i="27"/>
  <c r="AI84" i="27"/>
  <c r="AH58" i="27"/>
  <c r="AI40" i="27"/>
  <c r="AH44" i="27"/>
  <c r="C79" i="27"/>
  <c r="C81" i="27" s="1"/>
  <c r="U238" i="27" s="1"/>
  <c r="AH85" i="27"/>
  <c r="AI74" i="27"/>
  <c r="AI58" i="27"/>
  <c r="H4" i="27"/>
  <c r="T82" i="27"/>
  <c r="N7" i="27"/>
  <c r="AF238" i="27"/>
  <c r="N82" i="27"/>
  <c r="V7" i="27"/>
  <c r="AN238" i="27"/>
  <c r="V82" i="27"/>
  <c r="AO238" i="27"/>
  <c r="W82" i="27"/>
  <c r="W7" i="27"/>
  <c r="Y238" i="27"/>
  <c r="G82" i="27"/>
  <c r="AW238" i="27"/>
  <c r="AE7" i="27"/>
  <c r="H82" i="27"/>
  <c r="P7" i="27"/>
  <c r="AH238" i="27"/>
  <c r="P82" i="27"/>
  <c r="X7" i="27"/>
  <c r="AP238" i="27"/>
  <c r="AF7" i="27"/>
  <c r="AX238" i="27"/>
  <c r="AF82" i="27"/>
  <c r="AG238" i="27"/>
  <c r="O82" i="27"/>
  <c r="O7" i="27"/>
  <c r="AQ238" i="27"/>
  <c r="H218" i="27"/>
  <c r="AR238" i="27"/>
  <c r="Z82" i="27"/>
  <c r="J7" i="27"/>
  <c r="AC238" i="27"/>
  <c r="K82" i="27"/>
  <c r="K7" i="27"/>
  <c r="S7" i="27"/>
  <c r="AK238" i="27"/>
  <c r="S82" i="27"/>
  <c r="AA7" i="27"/>
  <c r="AS238" i="27"/>
  <c r="AA82" i="27"/>
  <c r="AG81" i="27"/>
  <c r="L7" i="27"/>
  <c r="AM238" i="27"/>
  <c r="U82" i="27"/>
  <c r="AC7" i="27"/>
  <c r="AU238" i="27"/>
  <c r="AC82" i="27"/>
  <c r="D100" i="27"/>
  <c r="E224" i="27"/>
  <c r="D235" i="27"/>
  <c r="B79" i="27"/>
  <c r="AH74" i="27"/>
  <c r="H90" i="27"/>
  <c r="P90" i="27"/>
  <c r="X90" i="27"/>
  <c r="AF90" i="27"/>
  <c r="AH40" i="27"/>
  <c r="AG2" i="27"/>
  <c r="AG6" i="27" s="1"/>
  <c r="C5" i="27"/>
  <c r="K5" i="27"/>
  <c r="S5" i="27"/>
  <c r="AA5" i="27"/>
  <c r="AH83" i="27"/>
  <c r="B89" i="27"/>
  <c r="AH84" i="27"/>
  <c r="AI44" i="27"/>
  <c r="AH86" i="27"/>
  <c r="B224" i="27"/>
  <c r="AH87" i="27"/>
  <c r="AF90" i="26"/>
  <c r="AF79" i="26"/>
  <c r="AF81" i="26" s="1"/>
  <c r="AE89" i="26"/>
  <c r="AE82" i="26" s="1"/>
  <c r="AE90" i="26"/>
  <c r="AE79" i="26"/>
  <c r="AE81" i="26" s="1"/>
  <c r="AI39" i="26"/>
  <c r="AD89" i="26"/>
  <c r="AD90" i="26" s="1"/>
  <c r="AD79" i="26"/>
  <c r="AD81" i="26" s="1"/>
  <c r="AC79" i="26"/>
  <c r="AC81" i="26" s="1"/>
  <c r="AB89" i="26"/>
  <c r="AB79" i="26"/>
  <c r="AB81" i="26" s="1"/>
  <c r="AB82" i="26" s="1"/>
  <c r="AA89" i="26"/>
  <c r="AA90" i="26" s="1"/>
  <c r="Z5" i="26"/>
  <c r="Z90" i="26"/>
  <c r="Y89" i="26"/>
  <c r="Y90" i="26" s="1"/>
  <c r="Y79" i="26"/>
  <c r="Y81" i="26" s="1"/>
  <c r="X5" i="26"/>
  <c r="X89" i="26"/>
  <c r="X90" i="26" s="1"/>
  <c r="W5" i="26"/>
  <c r="W89" i="26"/>
  <c r="W90" i="26" s="1"/>
  <c r="V5" i="26"/>
  <c r="X79" i="26"/>
  <c r="X81" i="26" s="1"/>
  <c r="X7" i="26" s="1"/>
  <c r="Z79" i="26"/>
  <c r="Z81" i="26" s="1"/>
  <c r="Z7" i="26" s="1"/>
  <c r="AA79" i="26"/>
  <c r="AA81" i="26" s="1"/>
  <c r="AA7" i="26" s="1"/>
  <c r="W79" i="26"/>
  <c r="W81" i="26" s="1"/>
  <c r="AO238" i="26" s="1"/>
  <c r="V89" i="26"/>
  <c r="V90" i="26" s="1"/>
  <c r="V79" i="26"/>
  <c r="V81" i="26" s="1"/>
  <c r="V7" i="26" s="1"/>
  <c r="U89" i="26"/>
  <c r="U82" i="26" s="1"/>
  <c r="U79" i="26"/>
  <c r="U81" i="26" s="1"/>
  <c r="U7" i="26" s="1"/>
  <c r="T89" i="26"/>
  <c r="T79" i="26"/>
  <c r="T81" i="26" s="1"/>
  <c r="S90" i="26"/>
  <c r="R5" i="26"/>
  <c r="S79" i="26"/>
  <c r="S81" i="26" s="1"/>
  <c r="AK238" i="26" s="1"/>
  <c r="R89" i="26"/>
  <c r="R90" i="26"/>
  <c r="R79" i="26"/>
  <c r="R81" i="26" s="1"/>
  <c r="R7" i="26" s="1"/>
  <c r="Q90" i="26"/>
  <c r="P5" i="26"/>
  <c r="Q79" i="26"/>
  <c r="Q81" i="26" s="1"/>
  <c r="Q7" i="26" s="1"/>
  <c r="P90" i="26"/>
  <c r="O5" i="26"/>
  <c r="P79" i="26"/>
  <c r="P81" i="26" s="1"/>
  <c r="P7" i="26" s="1"/>
  <c r="O89" i="26"/>
  <c r="O90" i="26" s="1"/>
  <c r="O79" i="26"/>
  <c r="O81" i="26" s="1"/>
  <c r="AG238" i="26" s="1"/>
  <c r="N89" i="26"/>
  <c r="N79" i="26"/>
  <c r="N81" i="26" s="1"/>
  <c r="AF238" i="26" s="1"/>
  <c r="M89" i="26"/>
  <c r="AI84" i="26"/>
  <c r="M79" i="26"/>
  <c r="M81" i="26" s="1"/>
  <c r="M7" i="26" s="1"/>
  <c r="L89" i="26"/>
  <c r="L90" i="26" s="1"/>
  <c r="J5" i="26"/>
  <c r="K89" i="26"/>
  <c r="K90" i="26" s="1"/>
  <c r="L79" i="26"/>
  <c r="L81" i="26" s="1"/>
  <c r="L7" i="26" s="1"/>
  <c r="K79" i="26"/>
  <c r="K81" i="26" s="1"/>
  <c r="K7" i="26" s="1"/>
  <c r="J79" i="26"/>
  <c r="J81" i="26" s="1"/>
  <c r="J7" i="26" s="1"/>
  <c r="I5" i="26"/>
  <c r="J89" i="26"/>
  <c r="J90" i="26" s="1"/>
  <c r="I89" i="26"/>
  <c r="I90" i="26" s="1"/>
  <c r="G89" i="26"/>
  <c r="G90" i="26" s="1"/>
  <c r="H89" i="26"/>
  <c r="H82" i="26" s="1"/>
  <c r="AH84" i="26"/>
  <c r="AI86" i="26"/>
  <c r="G79" i="26"/>
  <c r="G81" i="26" s="1"/>
  <c r="Y238" i="26" s="1"/>
  <c r="I79" i="26"/>
  <c r="I81" i="26" s="1"/>
  <c r="I7" i="26" s="1"/>
  <c r="AI44" i="26"/>
  <c r="AI40" i="26"/>
  <c r="H90" i="26"/>
  <c r="AI83" i="26"/>
  <c r="AI87" i="26"/>
  <c r="F89" i="26"/>
  <c r="F79" i="26"/>
  <c r="F81" i="26" s="1"/>
  <c r="F7" i="26" s="1"/>
  <c r="E89" i="26"/>
  <c r="E90" i="26" s="1"/>
  <c r="AI62" i="26"/>
  <c r="E79" i="26"/>
  <c r="E81" i="26" s="1"/>
  <c r="W238" i="26" s="1"/>
  <c r="D79" i="26"/>
  <c r="D81" i="26" s="1"/>
  <c r="D7" i="26" s="1"/>
  <c r="D89" i="26"/>
  <c r="D90" i="26" s="1"/>
  <c r="AH39" i="26"/>
  <c r="C89" i="26"/>
  <c r="AI85" i="26"/>
  <c r="C90" i="26"/>
  <c r="B5" i="26"/>
  <c r="C79" i="26"/>
  <c r="C81" i="26" s="1"/>
  <c r="C7" i="26" s="1"/>
  <c r="AI58" i="26"/>
  <c r="B82" i="26"/>
  <c r="H4" i="26"/>
  <c r="T7" i="26"/>
  <c r="AB7" i="26"/>
  <c r="AT238" i="26"/>
  <c r="AC238" i="26"/>
  <c r="K82" i="26"/>
  <c r="AM238" i="26"/>
  <c r="AC7" i="26"/>
  <c r="AU238" i="26"/>
  <c r="AC82" i="26"/>
  <c r="N7" i="26"/>
  <c r="AN238" i="26"/>
  <c r="V82" i="26"/>
  <c r="AD7" i="26"/>
  <c r="AV238" i="26"/>
  <c r="AD82" i="26"/>
  <c r="G218" i="26"/>
  <c r="O7" i="26"/>
  <c r="AW238" i="26"/>
  <c r="AE7" i="26"/>
  <c r="S7" i="26"/>
  <c r="AH238" i="26"/>
  <c r="P82" i="26"/>
  <c r="AF7" i="26"/>
  <c r="AX238" i="26"/>
  <c r="AF82" i="26"/>
  <c r="AG81" i="26"/>
  <c r="AG3" i="26"/>
  <c r="AG6" i="26" s="1"/>
  <c r="T90" i="26"/>
  <c r="AB90" i="26"/>
  <c r="F219" i="26"/>
  <c r="G219" i="26" s="1"/>
  <c r="H219" i="26" s="1"/>
  <c r="I219" i="26" s="1"/>
  <c r="J219" i="26" s="1"/>
  <c r="K219" i="26" s="1"/>
  <c r="L219" i="26" s="1"/>
  <c r="M219" i="26" s="1"/>
  <c r="N219" i="26" s="1"/>
  <c r="O219" i="26" s="1"/>
  <c r="P219" i="26" s="1"/>
  <c r="Y7" i="26"/>
  <c r="AQ238" i="26"/>
  <c r="AG79" i="26"/>
  <c r="M90" i="26"/>
  <c r="U90" i="26"/>
  <c r="AC90" i="26"/>
  <c r="H7" i="26"/>
  <c r="Z238" i="26"/>
  <c r="AJ238" i="26"/>
  <c r="R82" i="26"/>
  <c r="F90" i="26"/>
  <c r="N90" i="26"/>
  <c r="D235" i="26"/>
  <c r="AH58" i="26"/>
  <c r="AH62" i="26"/>
  <c r="AH74" i="26"/>
  <c r="E223" i="26"/>
  <c r="E224" i="26" s="1"/>
  <c r="AI74" i="26"/>
  <c r="AH83" i="26"/>
  <c r="AH40" i="26"/>
  <c r="AH44" i="26"/>
  <c r="AH85" i="26"/>
  <c r="AH86" i="26"/>
  <c r="AH87" i="26"/>
  <c r="U103" i="25"/>
  <c r="U39" i="25"/>
  <c r="T103" i="25"/>
  <c r="T100" i="25" s="1"/>
  <c r="T39" i="25"/>
  <c r="AI23" i="25"/>
  <c r="S103" i="25"/>
  <c r="S39" i="25"/>
  <c r="R39" i="25"/>
  <c r="Q103" i="25"/>
  <c r="Q39" i="25"/>
  <c r="P39" i="25"/>
  <c r="P103" i="25"/>
  <c r="O103" i="25"/>
  <c r="O39" i="25"/>
  <c r="N103" i="25"/>
  <c r="N39" i="25"/>
  <c r="M103" i="25"/>
  <c r="M39" i="25"/>
  <c r="AH39" i="25"/>
  <c r="L103" i="25"/>
  <c r="L39" i="25"/>
  <c r="L40" i="25"/>
  <c r="K103" i="25"/>
  <c r="K39" i="25"/>
  <c r="J103" i="25"/>
  <c r="J39" i="25"/>
  <c r="I103" i="25"/>
  <c r="I39" i="25"/>
  <c r="H103" i="25"/>
  <c r="H39" i="25"/>
  <c r="G103" i="25"/>
  <c r="G39" i="25"/>
  <c r="F103" i="25"/>
  <c r="F39" i="25"/>
  <c r="AI39" i="25" s="1"/>
  <c r="E103" i="25"/>
  <c r="AH103" i="25" s="1"/>
  <c r="E39" i="25"/>
  <c r="AF263" i="25"/>
  <c r="AE263" i="25"/>
  <c r="AD263" i="25"/>
  <c r="AC263" i="25"/>
  <c r="AB263" i="25"/>
  <c r="AA263" i="25"/>
  <c r="Z263" i="25"/>
  <c r="Y263" i="25"/>
  <c r="X263" i="25"/>
  <c r="W263" i="25"/>
  <c r="V263" i="25"/>
  <c r="U263" i="25"/>
  <c r="T263" i="25"/>
  <c r="S263" i="25"/>
  <c r="R263" i="25"/>
  <c r="Q263" i="25"/>
  <c r="P263" i="25"/>
  <c r="O263" i="25"/>
  <c r="N263" i="25"/>
  <c r="M263" i="25"/>
  <c r="L263" i="25"/>
  <c r="K263" i="25"/>
  <c r="J263" i="25"/>
  <c r="I263" i="25"/>
  <c r="H263" i="25"/>
  <c r="G263" i="25"/>
  <c r="F263" i="25"/>
  <c r="E263" i="25"/>
  <c r="D263" i="25"/>
  <c r="C263" i="25"/>
  <c r="B263" i="25"/>
  <c r="A263" i="25"/>
  <c r="AF262" i="25"/>
  <c r="AE262" i="25"/>
  <c r="AD262" i="25"/>
  <c r="AC262" i="25"/>
  <c r="AB262" i="25"/>
  <c r="AA262" i="25"/>
  <c r="Z262" i="25"/>
  <c r="Y262" i="25"/>
  <c r="X262" i="25"/>
  <c r="W262" i="25"/>
  <c r="V262" i="25"/>
  <c r="U262" i="25"/>
  <c r="T262" i="25"/>
  <c r="S262" i="25"/>
  <c r="R262" i="25"/>
  <c r="Q262" i="25"/>
  <c r="P262" i="25"/>
  <c r="O262" i="25"/>
  <c r="N262" i="25"/>
  <c r="M262" i="25"/>
  <c r="L262" i="25"/>
  <c r="K262" i="25"/>
  <c r="J262" i="25"/>
  <c r="I262" i="25"/>
  <c r="H262" i="25"/>
  <c r="G262" i="25"/>
  <c r="F262" i="25"/>
  <c r="E262" i="25"/>
  <c r="D262" i="25"/>
  <c r="C262" i="25"/>
  <c r="B262" i="25"/>
  <c r="A262" i="25"/>
  <c r="AF261" i="25"/>
  <c r="AE261" i="25"/>
  <c r="AD261" i="25"/>
  <c r="AC261" i="25"/>
  <c r="AB261" i="25"/>
  <c r="AA261" i="25"/>
  <c r="Z261" i="25"/>
  <c r="Y261" i="25"/>
  <c r="X261" i="25"/>
  <c r="W261" i="25"/>
  <c r="V261" i="25"/>
  <c r="U261" i="25"/>
  <c r="T261" i="25"/>
  <c r="S261" i="25"/>
  <c r="R261" i="25"/>
  <c r="Q261" i="25"/>
  <c r="P261" i="25"/>
  <c r="O261" i="25"/>
  <c r="N261" i="25"/>
  <c r="M261" i="25"/>
  <c r="L261" i="25"/>
  <c r="K261" i="25"/>
  <c r="J261" i="25"/>
  <c r="I261" i="25"/>
  <c r="H261" i="25"/>
  <c r="G261" i="25"/>
  <c r="F261" i="25"/>
  <c r="E261" i="25"/>
  <c r="D261" i="25"/>
  <c r="C261" i="25"/>
  <c r="B261" i="25"/>
  <c r="A261" i="25"/>
  <c r="AF260" i="25"/>
  <c r="AE260" i="25"/>
  <c r="AD260" i="25"/>
  <c r="AC260" i="25"/>
  <c r="AB260" i="25"/>
  <c r="AA260" i="25"/>
  <c r="Z260" i="25"/>
  <c r="Y260" i="25"/>
  <c r="X260" i="25"/>
  <c r="W260" i="25"/>
  <c r="V260" i="25"/>
  <c r="U260" i="25"/>
  <c r="T260" i="25"/>
  <c r="S260" i="25"/>
  <c r="R260" i="25"/>
  <c r="Q260" i="25"/>
  <c r="P260" i="25"/>
  <c r="O260" i="25"/>
  <c r="N260" i="25"/>
  <c r="M260" i="25"/>
  <c r="L260" i="25"/>
  <c r="K260" i="25"/>
  <c r="J260" i="25"/>
  <c r="I260" i="25"/>
  <c r="H260" i="25"/>
  <c r="G260" i="25"/>
  <c r="F260" i="25"/>
  <c r="E260" i="25"/>
  <c r="D260" i="25"/>
  <c r="C260" i="25"/>
  <c r="B260" i="25"/>
  <c r="A260" i="25"/>
  <c r="AE259" i="25"/>
  <c r="AD259" i="25"/>
  <c r="AC259" i="25"/>
  <c r="AB259" i="25"/>
  <c r="AA259" i="25"/>
  <c r="Z259" i="25"/>
  <c r="Y259" i="25"/>
  <c r="X259" i="25"/>
  <c r="W259" i="25"/>
  <c r="V259" i="25"/>
  <c r="U259" i="25"/>
  <c r="T259" i="25"/>
  <c r="S259" i="25"/>
  <c r="R259" i="25"/>
  <c r="Q259" i="25"/>
  <c r="P259" i="25"/>
  <c r="B259" i="25"/>
  <c r="S234" i="25"/>
  <c r="AG224" i="25"/>
  <c r="AF224" i="25"/>
  <c r="AE224" i="25"/>
  <c r="AD224" i="25"/>
  <c r="AC224" i="25"/>
  <c r="AB224" i="25"/>
  <c r="AA224" i="25"/>
  <c r="Z224" i="25"/>
  <c r="Y224" i="25"/>
  <c r="X224" i="25"/>
  <c r="W224" i="25"/>
  <c r="V224" i="25"/>
  <c r="U224" i="25"/>
  <c r="T224" i="25"/>
  <c r="S224" i="25"/>
  <c r="R224" i="25"/>
  <c r="Q224" i="25"/>
  <c r="C224" i="25"/>
  <c r="D223" i="25"/>
  <c r="C259" i="25" s="1"/>
  <c r="B223" i="25"/>
  <c r="AF259" i="25" s="1"/>
  <c r="E222" i="25"/>
  <c r="F222" i="25" s="1"/>
  <c r="G222" i="25" s="1"/>
  <c r="H222" i="25" s="1"/>
  <c r="I222" i="25" s="1"/>
  <c r="J222" i="25" s="1"/>
  <c r="K222" i="25" s="1"/>
  <c r="L222" i="25" s="1"/>
  <c r="M222" i="25" s="1"/>
  <c r="N222" i="25" s="1"/>
  <c r="O222" i="25" s="1"/>
  <c r="P222" i="25" s="1"/>
  <c r="D222" i="25"/>
  <c r="B222" i="25"/>
  <c r="E221" i="25"/>
  <c r="F221" i="25" s="1"/>
  <c r="G221" i="25" s="1"/>
  <c r="H221" i="25" s="1"/>
  <c r="I221" i="25" s="1"/>
  <c r="J221" i="25" s="1"/>
  <c r="K221" i="25" s="1"/>
  <c r="L221" i="25" s="1"/>
  <c r="M221" i="25" s="1"/>
  <c r="N221" i="25" s="1"/>
  <c r="O221" i="25" s="1"/>
  <c r="P221" i="25" s="1"/>
  <c r="D221" i="25"/>
  <c r="B221" i="25"/>
  <c r="D220" i="25"/>
  <c r="E220" i="25" s="1"/>
  <c r="F220" i="25" s="1"/>
  <c r="G220" i="25" s="1"/>
  <c r="H220" i="25" s="1"/>
  <c r="I220" i="25" s="1"/>
  <c r="J220" i="25" s="1"/>
  <c r="K220" i="25" s="1"/>
  <c r="L220" i="25" s="1"/>
  <c r="M220" i="25" s="1"/>
  <c r="N220" i="25" s="1"/>
  <c r="O220" i="25" s="1"/>
  <c r="P220" i="25" s="1"/>
  <c r="B220" i="25"/>
  <c r="D219" i="25"/>
  <c r="B219" i="25"/>
  <c r="D218" i="25"/>
  <c r="E218" i="25" s="1"/>
  <c r="F218" i="25" s="1"/>
  <c r="B218" i="25"/>
  <c r="AG216" i="25"/>
  <c r="AF216" i="25"/>
  <c r="AE216" i="25"/>
  <c r="AD216" i="25"/>
  <c r="AC216" i="25"/>
  <c r="AB216" i="25"/>
  <c r="AA216" i="25"/>
  <c r="Z216" i="25"/>
  <c r="Y216" i="25"/>
  <c r="X216" i="25"/>
  <c r="W216" i="25"/>
  <c r="V216" i="25"/>
  <c r="U216" i="25"/>
  <c r="T216" i="25"/>
  <c r="S216" i="25"/>
  <c r="R216" i="25"/>
  <c r="Q216" i="25"/>
  <c r="P216" i="25"/>
  <c r="O216" i="25"/>
  <c r="N216" i="25"/>
  <c r="M216" i="25"/>
  <c r="L216" i="25"/>
  <c r="K216" i="25"/>
  <c r="J216" i="25"/>
  <c r="I216" i="25"/>
  <c r="H216" i="25"/>
  <c r="G216" i="25"/>
  <c r="F216" i="25"/>
  <c r="E216" i="25"/>
  <c r="D216" i="25"/>
  <c r="C216" i="25"/>
  <c r="B216" i="25"/>
  <c r="AI109" i="25"/>
  <c r="AH109" i="25"/>
  <c r="AI108" i="25"/>
  <c r="AH108" i="25"/>
  <c r="AI107" i="25"/>
  <c r="AH107" i="25"/>
  <c r="AI106" i="25"/>
  <c r="AH106" i="25"/>
  <c r="AI105" i="25"/>
  <c r="AH105" i="25"/>
  <c r="AI104" i="25"/>
  <c r="AH104" i="25"/>
  <c r="AI102" i="25"/>
  <c r="AH102" i="25"/>
  <c r="AI101" i="25"/>
  <c r="AH101" i="25"/>
  <c r="AF100" i="25"/>
  <c r="AE100" i="25"/>
  <c r="AD100" i="25"/>
  <c r="AC100" i="25"/>
  <c r="AB100" i="25"/>
  <c r="AA100" i="25"/>
  <c r="Z100" i="25"/>
  <c r="Y100" i="25"/>
  <c r="X100" i="25"/>
  <c r="W100" i="25"/>
  <c r="V100" i="25"/>
  <c r="U100" i="25"/>
  <c r="S100" i="25"/>
  <c r="R100" i="25"/>
  <c r="Q100" i="25"/>
  <c r="D100" i="25"/>
  <c r="C100" i="25"/>
  <c r="AI99" i="25"/>
  <c r="AH99" i="25"/>
  <c r="AI98" i="25"/>
  <c r="AH98" i="25"/>
  <c r="AI97" i="25"/>
  <c r="AH97" i="25"/>
  <c r="AI96" i="25"/>
  <c r="AH96" i="25"/>
  <c r="AI95" i="25"/>
  <c r="AH95" i="25"/>
  <c r="AI94" i="25"/>
  <c r="AH94" i="25"/>
  <c r="AI93" i="25"/>
  <c r="AH93" i="25"/>
  <c r="AI92" i="25"/>
  <c r="AH92" i="25"/>
  <c r="AI91" i="25"/>
  <c r="AH91" i="25"/>
  <c r="AI88" i="25"/>
  <c r="AH88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AF85" i="25"/>
  <c r="AE85" i="25"/>
  <c r="AD85" i="25"/>
  <c r="AC85" i="25"/>
  <c r="AB85" i="25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AF83" i="25"/>
  <c r="AE83" i="25"/>
  <c r="AD83" i="25"/>
  <c r="AC83" i="25"/>
  <c r="AB83" i="25"/>
  <c r="AA83" i="25"/>
  <c r="Z83" i="25"/>
  <c r="Z89" i="25" s="1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AI80" i="25"/>
  <c r="AH80" i="25"/>
  <c r="AI78" i="25"/>
  <c r="AH78" i="25"/>
  <c r="AG78" i="25"/>
  <c r="AI77" i="25"/>
  <c r="AH77" i="25"/>
  <c r="AI76" i="25"/>
  <c r="AH76" i="25"/>
  <c r="AI75" i="25"/>
  <c r="AH75" i="25"/>
  <c r="AG74" i="25"/>
  <c r="AD74" i="25"/>
  <c r="AC74" i="25"/>
  <c r="AB74" i="25"/>
  <c r="AA5" i="25" s="1"/>
  <c r="AA74" i="25"/>
  <c r="Z5" i="25" s="1"/>
  <c r="Z74" i="25"/>
  <c r="Y74" i="25"/>
  <c r="X74" i="25"/>
  <c r="W5" i="25" s="1"/>
  <c r="W74" i="25"/>
  <c r="V74" i="25"/>
  <c r="U5" i="25" s="1"/>
  <c r="U74" i="25"/>
  <c r="T74" i="25"/>
  <c r="S5" i="25" s="1"/>
  <c r="S74" i="25"/>
  <c r="R5" i="25" s="1"/>
  <c r="R74" i="25"/>
  <c r="Q74" i="25"/>
  <c r="P74" i="25"/>
  <c r="O74" i="25"/>
  <c r="N5" i="25" s="1"/>
  <c r="N74" i="25"/>
  <c r="M5" i="25" s="1"/>
  <c r="M74" i="25"/>
  <c r="L5" i="25" s="1"/>
  <c r="L74" i="25"/>
  <c r="K5" i="25" s="1"/>
  <c r="K74" i="25"/>
  <c r="J5" i="25" s="1"/>
  <c r="J74" i="25"/>
  <c r="I74" i="25"/>
  <c r="H74" i="25"/>
  <c r="G74" i="25"/>
  <c r="F5" i="25" s="1"/>
  <c r="F74" i="25"/>
  <c r="E74" i="25"/>
  <c r="D5" i="25" s="1"/>
  <c r="D74" i="25"/>
  <c r="C5" i="25" s="1"/>
  <c r="C74" i="25"/>
  <c r="B5" i="25" s="1"/>
  <c r="B74" i="25"/>
  <c r="AI73" i="25"/>
  <c r="AH73" i="25"/>
  <c r="AI72" i="25"/>
  <c r="AH72" i="25"/>
  <c r="AI71" i="25"/>
  <c r="AH71" i="25"/>
  <c r="AI70" i="25"/>
  <c r="AH70" i="25"/>
  <c r="AI69" i="25"/>
  <c r="AH69" i="25"/>
  <c r="AI68" i="25"/>
  <c r="AH68" i="25"/>
  <c r="AI67" i="25"/>
  <c r="AH67" i="25"/>
  <c r="AI66" i="25"/>
  <c r="AH66" i="25"/>
  <c r="AI65" i="25"/>
  <c r="AH65" i="25"/>
  <c r="AI64" i="25"/>
  <c r="AH64" i="25"/>
  <c r="AI63" i="25"/>
  <c r="AH63" i="25"/>
  <c r="AG62" i="25"/>
  <c r="AG4" i="25" s="1"/>
  <c r="AF62" i="25"/>
  <c r="AE62" i="25"/>
  <c r="AD62" i="25"/>
  <c r="AC62" i="25"/>
  <c r="AB62" i="25"/>
  <c r="AA62" i="25"/>
  <c r="Z62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AI61" i="25"/>
  <c r="AH61" i="25"/>
  <c r="AI60" i="25"/>
  <c r="AH60" i="25"/>
  <c r="AI59" i="25"/>
  <c r="AH59" i="25"/>
  <c r="AF58" i="25"/>
  <c r="AE58" i="25"/>
  <c r="AD58" i="25"/>
  <c r="AC58" i="25"/>
  <c r="AB58" i="25"/>
  <c r="AA58" i="25"/>
  <c r="Z58" i="25"/>
  <c r="Y58" i="25"/>
  <c r="X58" i="25"/>
  <c r="W58" i="25"/>
  <c r="V58" i="25"/>
  <c r="U58" i="25"/>
  <c r="T58" i="25"/>
  <c r="S58" i="25"/>
  <c r="R58" i="25"/>
  <c r="Q58" i="25"/>
  <c r="P58" i="25"/>
  <c r="O58" i="25"/>
  <c r="N58" i="25"/>
  <c r="M58" i="25"/>
  <c r="L58" i="25"/>
  <c r="K58" i="25"/>
  <c r="J58" i="25"/>
  <c r="I58" i="25"/>
  <c r="H58" i="25"/>
  <c r="G58" i="25"/>
  <c r="F58" i="25"/>
  <c r="E58" i="25"/>
  <c r="D58" i="25"/>
  <c r="C58" i="25"/>
  <c r="B58" i="25"/>
  <c r="AI57" i="25"/>
  <c r="AH57" i="25"/>
  <c r="AG57" i="25"/>
  <c r="AG58" i="25" s="1"/>
  <c r="AG3" i="25" s="1"/>
  <c r="AI56" i="25"/>
  <c r="AH56" i="25"/>
  <c r="AI55" i="25"/>
  <c r="AH55" i="25"/>
  <c r="AI54" i="25"/>
  <c r="AH54" i="25"/>
  <c r="AI53" i="25"/>
  <c r="AH53" i="25"/>
  <c r="AI52" i="25"/>
  <c r="AH52" i="25"/>
  <c r="AI51" i="25"/>
  <c r="AH51" i="25"/>
  <c r="AI50" i="25"/>
  <c r="AH50" i="25"/>
  <c r="AI49" i="25"/>
  <c r="AH49" i="25"/>
  <c r="AI48" i="25"/>
  <c r="AH48" i="25"/>
  <c r="AI47" i="25"/>
  <c r="AH47" i="25"/>
  <c r="AI46" i="25"/>
  <c r="AH46" i="25"/>
  <c r="AI45" i="25"/>
  <c r="AH45" i="25"/>
  <c r="AG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AI43" i="25"/>
  <c r="AH43" i="25"/>
  <c r="AI42" i="25"/>
  <c r="AH42" i="25"/>
  <c r="AI41" i="25"/>
  <c r="AH41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U79" i="25" s="1"/>
  <c r="U81" i="25" s="1"/>
  <c r="T40" i="25"/>
  <c r="S40" i="25"/>
  <c r="R40" i="25"/>
  <c r="Q40" i="25"/>
  <c r="P40" i="25"/>
  <c r="O40" i="25"/>
  <c r="N40" i="25"/>
  <c r="M40" i="25"/>
  <c r="K40" i="25"/>
  <c r="J40" i="25"/>
  <c r="I40" i="25"/>
  <c r="H40" i="25"/>
  <c r="G40" i="25"/>
  <c r="F40" i="25"/>
  <c r="E40" i="25"/>
  <c r="D40" i="25"/>
  <c r="C40" i="25"/>
  <c r="B40" i="25"/>
  <c r="AI38" i="25"/>
  <c r="AH38" i="25"/>
  <c r="AI37" i="25"/>
  <c r="AH37" i="25"/>
  <c r="AI36" i="25"/>
  <c r="AH36" i="25"/>
  <c r="AI35" i="25"/>
  <c r="AH35" i="25"/>
  <c r="AI34" i="25"/>
  <c r="AH34" i="25"/>
  <c r="AI33" i="25"/>
  <c r="AH33" i="25"/>
  <c r="AI32" i="25"/>
  <c r="AH32" i="25"/>
  <c r="AI31" i="25"/>
  <c r="AH31" i="25"/>
  <c r="AI30" i="25"/>
  <c r="AH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AI22" i="25"/>
  <c r="AH22" i="25"/>
  <c r="AI21" i="25"/>
  <c r="AH21" i="25"/>
  <c r="AI20" i="25"/>
  <c r="AH20" i="25"/>
  <c r="AI19" i="25"/>
  <c r="AH19" i="25"/>
  <c r="AI18" i="25"/>
  <c r="AH18" i="25"/>
  <c r="AI17" i="25"/>
  <c r="AH17" i="25"/>
  <c r="AI16" i="25"/>
  <c r="AH16" i="25"/>
  <c r="AI15" i="25"/>
  <c r="AH15" i="25"/>
  <c r="AI14" i="25"/>
  <c r="AH14" i="25"/>
  <c r="AI13" i="25"/>
  <c r="AH13" i="25"/>
  <c r="AI12" i="25"/>
  <c r="AH12" i="25"/>
  <c r="AI11" i="25"/>
  <c r="AH11" i="25"/>
  <c r="AF5" i="25"/>
  <c r="AE5" i="25"/>
  <c r="AD5" i="25"/>
  <c r="V5" i="25"/>
  <c r="T5" i="25"/>
  <c r="P5" i="25"/>
  <c r="H5" i="25"/>
  <c r="K4" i="25"/>
  <c r="B4" i="25"/>
  <c r="S235" i="25" s="1"/>
  <c r="AE39" i="24"/>
  <c r="AD39" i="24"/>
  <c r="AC39" i="24"/>
  <c r="AB39" i="24"/>
  <c r="AA103" i="24"/>
  <c r="AA39" i="24"/>
  <c r="Z103" i="24"/>
  <c r="Z39" i="24"/>
  <c r="Y103" i="24"/>
  <c r="Y100" i="24" s="1"/>
  <c r="X103" i="24"/>
  <c r="X100" i="24" s="1"/>
  <c r="X39" i="24"/>
  <c r="W103" i="24"/>
  <c r="W39" i="24"/>
  <c r="V103" i="24"/>
  <c r="V39" i="24"/>
  <c r="U103" i="24"/>
  <c r="U39" i="24"/>
  <c r="T103" i="24"/>
  <c r="T100" i="24" s="1"/>
  <c r="T39" i="24"/>
  <c r="S103" i="24"/>
  <c r="S39" i="24"/>
  <c r="R103" i="24"/>
  <c r="R39" i="24"/>
  <c r="Q103" i="24"/>
  <c r="Q39" i="24"/>
  <c r="P103" i="24"/>
  <c r="P39" i="24"/>
  <c r="P40" i="24"/>
  <c r="O103" i="24"/>
  <c r="O39" i="24"/>
  <c r="N103" i="24"/>
  <c r="N39" i="24"/>
  <c r="M103" i="24"/>
  <c r="AI103" i="24" s="1"/>
  <c r="M39" i="24"/>
  <c r="L39" i="24"/>
  <c r="K39" i="24"/>
  <c r="J39" i="24"/>
  <c r="I39" i="24"/>
  <c r="H39" i="24"/>
  <c r="G39" i="24"/>
  <c r="AJ8" i="24"/>
  <c r="F39" i="24"/>
  <c r="E39" i="24"/>
  <c r="D103" i="24"/>
  <c r="D39" i="24"/>
  <c r="C103" i="24"/>
  <c r="C39" i="24"/>
  <c r="B103" i="24"/>
  <c r="AF263" i="24"/>
  <c r="AE263" i="24"/>
  <c r="AD263" i="24"/>
  <c r="AC263" i="24"/>
  <c r="AB263" i="24"/>
  <c r="AA263" i="24"/>
  <c r="Z263" i="24"/>
  <c r="Y263" i="24"/>
  <c r="X263" i="24"/>
  <c r="W263" i="24"/>
  <c r="V263" i="24"/>
  <c r="U263" i="24"/>
  <c r="T263" i="24"/>
  <c r="S263" i="24"/>
  <c r="R263" i="24"/>
  <c r="Q263" i="24"/>
  <c r="P263" i="24"/>
  <c r="O263" i="24"/>
  <c r="N263" i="24"/>
  <c r="M263" i="24"/>
  <c r="L263" i="24"/>
  <c r="K263" i="24"/>
  <c r="J263" i="24"/>
  <c r="I263" i="24"/>
  <c r="H263" i="24"/>
  <c r="G263" i="24"/>
  <c r="F263" i="24"/>
  <c r="E263" i="24"/>
  <c r="D263" i="24"/>
  <c r="C263" i="24"/>
  <c r="B263" i="24"/>
  <c r="A263" i="24"/>
  <c r="AF262" i="24"/>
  <c r="AE262" i="24"/>
  <c r="AD262" i="24"/>
  <c r="AC262" i="24"/>
  <c r="AB262" i="24"/>
  <c r="AA262" i="24"/>
  <c r="Z262" i="24"/>
  <c r="Y262" i="24"/>
  <c r="X262" i="24"/>
  <c r="W262" i="24"/>
  <c r="V262" i="24"/>
  <c r="U262" i="24"/>
  <c r="T262" i="24"/>
  <c r="S262" i="24"/>
  <c r="R262" i="24"/>
  <c r="Q262" i="24"/>
  <c r="P262" i="24"/>
  <c r="O262" i="24"/>
  <c r="N262" i="24"/>
  <c r="M262" i="24"/>
  <c r="L262" i="24"/>
  <c r="K262" i="24"/>
  <c r="J262" i="24"/>
  <c r="I262" i="24"/>
  <c r="H262" i="24"/>
  <c r="G262" i="24"/>
  <c r="F262" i="24"/>
  <c r="E262" i="24"/>
  <c r="D262" i="24"/>
  <c r="C262" i="24"/>
  <c r="B262" i="24"/>
  <c r="A262" i="24"/>
  <c r="AF261" i="24"/>
  <c r="AE261" i="24"/>
  <c r="AD261" i="24"/>
  <c r="AC261" i="24"/>
  <c r="AB261" i="24"/>
  <c r="AA261" i="24"/>
  <c r="Z261" i="24"/>
  <c r="Y261" i="24"/>
  <c r="X261" i="24"/>
  <c r="W261" i="24"/>
  <c r="V261" i="24"/>
  <c r="U261" i="24"/>
  <c r="T261" i="24"/>
  <c r="S261" i="24"/>
  <c r="R261" i="24"/>
  <c r="Q261" i="24"/>
  <c r="P261" i="24"/>
  <c r="O261" i="24"/>
  <c r="N261" i="24"/>
  <c r="M261" i="24"/>
  <c r="L261" i="24"/>
  <c r="K261" i="24"/>
  <c r="J261" i="24"/>
  <c r="I261" i="24"/>
  <c r="H261" i="24"/>
  <c r="G261" i="24"/>
  <c r="F261" i="24"/>
  <c r="E261" i="24"/>
  <c r="D261" i="24"/>
  <c r="C261" i="24"/>
  <c r="B261" i="24"/>
  <c r="A261" i="24"/>
  <c r="AF260" i="24"/>
  <c r="AE260" i="24"/>
  <c r="AD260" i="24"/>
  <c r="AC260" i="24"/>
  <c r="AB260" i="24"/>
  <c r="AA260" i="24"/>
  <c r="Z260" i="24"/>
  <c r="Y260" i="24"/>
  <c r="X260" i="24"/>
  <c r="W260" i="24"/>
  <c r="V260" i="24"/>
  <c r="U260" i="24"/>
  <c r="T260" i="24"/>
  <c r="S260" i="24"/>
  <c r="R260" i="24"/>
  <c r="Q260" i="24"/>
  <c r="P260" i="24"/>
  <c r="O260" i="24"/>
  <c r="N260" i="24"/>
  <c r="M260" i="24"/>
  <c r="L260" i="24"/>
  <c r="K260" i="24"/>
  <c r="J260" i="24"/>
  <c r="I260" i="24"/>
  <c r="H260" i="24"/>
  <c r="G260" i="24"/>
  <c r="F260" i="24"/>
  <c r="E260" i="24"/>
  <c r="D260" i="24"/>
  <c r="C260" i="24"/>
  <c r="B260" i="24"/>
  <c r="A260" i="24"/>
  <c r="AE259" i="24"/>
  <c r="AD259" i="24"/>
  <c r="AC259" i="24"/>
  <c r="AB259" i="24"/>
  <c r="AA259" i="24"/>
  <c r="Z259" i="24"/>
  <c r="Y259" i="24"/>
  <c r="X259" i="24"/>
  <c r="W259" i="24"/>
  <c r="V259" i="24"/>
  <c r="U259" i="24"/>
  <c r="T259" i="24"/>
  <c r="S259" i="24"/>
  <c r="R259" i="24"/>
  <c r="Q259" i="24"/>
  <c r="P259" i="24"/>
  <c r="B259" i="24"/>
  <c r="S234" i="24"/>
  <c r="AG224" i="24"/>
  <c r="AG57" i="24" s="1"/>
  <c r="AG58" i="24" s="1"/>
  <c r="AF224" i="24"/>
  <c r="AE224" i="24"/>
  <c r="AD224" i="24"/>
  <c r="AC224" i="24"/>
  <c r="AB224" i="24"/>
  <c r="AA224" i="24"/>
  <c r="Z224" i="24"/>
  <c r="Y224" i="24"/>
  <c r="X224" i="24"/>
  <c r="W224" i="24"/>
  <c r="V224" i="24"/>
  <c r="U224" i="24"/>
  <c r="T224" i="24"/>
  <c r="S224" i="24"/>
  <c r="R224" i="24"/>
  <c r="Q224" i="24"/>
  <c r="C224" i="24"/>
  <c r="D223" i="24"/>
  <c r="C259" i="24" s="1"/>
  <c r="B223" i="24"/>
  <c r="AF259" i="24" s="1"/>
  <c r="E222" i="24"/>
  <c r="F222" i="24" s="1"/>
  <c r="G222" i="24" s="1"/>
  <c r="H222" i="24" s="1"/>
  <c r="I222" i="24" s="1"/>
  <c r="J222" i="24" s="1"/>
  <c r="K222" i="24" s="1"/>
  <c r="L222" i="24" s="1"/>
  <c r="M222" i="24" s="1"/>
  <c r="N222" i="24" s="1"/>
  <c r="O222" i="24" s="1"/>
  <c r="P222" i="24" s="1"/>
  <c r="D222" i="24"/>
  <c r="B222" i="24"/>
  <c r="D221" i="24"/>
  <c r="E221" i="24" s="1"/>
  <c r="F221" i="24" s="1"/>
  <c r="G221" i="24" s="1"/>
  <c r="H221" i="24" s="1"/>
  <c r="I221" i="24" s="1"/>
  <c r="J221" i="24" s="1"/>
  <c r="K221" i="24" s="1"/>
  <c r="L221" i="24" s="1"/>
  <c r="M221" i="24" s="1"/>
  <c r="N221" i="24" s="1"/>
  <c r="O221" i="24" s="1"/>
  <c r="P221" i="24" s="1"/>
  <c r="B221" i="24"/>
  <c r="D220" i="24"/>
  <c r="E220" i="24" s="1"/>
  <c r="F220" i="24" s="1"/>
  <c r="G220" i="24" s="1"/>
  <c r="H220" i="24" s="1"/>
  <c r="I220" i="24" s="1"/>
  <c r="J220" i="24" s="1"/>
  <c r="K220" i="24" s="1"/>
  <c r="L220" i="24" s="1"/>
  <c r="M220" i="24" s="1"/>
  <c r="N220" i="24" s="1"/>
  <c r="O220" i="24" s="1"/>
  <c r="P220" i="24" s="1"/>
  <c r="B220" i="24"/>
  <c r="D219" i="24"/>
  <c r="E219" i="24" s="1"/>
  <c r="F219" i="24" s="1"/>
  <c r="G219" i="24" s="1"/>
  <c r="H219" i="24" s="1"/>
  <c r="I219" i="24" s="1"/>
  <c r="J219" i="24" s="1"/>
  <c r="K219" i="24" s="1"/>
  <c r="L219" i="24" s="1"/>
  <c r="M219" i="24" s="1"/>
  <c r="N219" i="24" s="1"/>
  <c r="O219" i="24" s="1"/>
  <c r="P219" i="24" s="1"/>
  <c r="B219" i="24"/>
  <c r="D218" i="24"/>
  <c r="E218" i="24" s="1"/>
  <c r="B218" i="24"/>
  <c r="B100" i="24" s="1"/>
  <c r="AG216" i="24"/>
  <c r="AF216" i="24"/>
  <c r="AE216" i="24"/>
  <c r="AD216" i="24"/>
  <c r="AC216" i="24"/>
  <c r="AB216" i="24"/>
  <c r="AA216" i="24"/>
  <c r="Z216" i="24"/>
  <c r="Y216" i="24"/>
  <c r="X216" i="24"/>
  <c r="W216" i="24"/>
  <c r="V216" i="24"/>
  <c r="U216" i="24"/>
  <c r="T216" i="24"/>
  <c r="S216" i="24"/>
  <c r="R216" i="24"/>
  <c r="Q216" i="24"/>
  <c r="P216" i="24"/>
  <c r="O216" i="24"/>
  <c r="N216" i="24"/>
  <c r="M216" i="24"/>
  <c r="L216" i="24"/>
  <c r="K216" i="24"/>
  <c r="J216" i="24"/>
  <c r="I216" i="24"/>
  <c r="H216" i="24"/>
  <c r="G216" i="24"/>
  <c r="F216" i="24"/>
  <c r="E216" i="24"/>
  <c r="D216" i="24"/>
  <c r="C216" i="24"/>
  <c r="B216" i="24"/>
  <c r="AI109" i="24"/>
  <c r="AH109" i="24"/>
  <c r="AI108" i="24"/>
  <c r="AH108" i="24"/>
  <c r="AI107" i="24"/>
  <c r="AH107" i="24"/>
  <c r="AI106" i="24"/>
  <c r="AH106" i="24"/>
  <c r="AI105" i="24"/>
  <c r="AH105" i="24"/>
  <c r="AI104" i="24"/>
  <c r="AH104" i="24"/>
  <c r="AI102" i="24"/>
  <c r="AH102" i="24"/>
  <c r="AI101" i="24"/>
  <c r="AH101" i="24"/>
  <c r="AF100" i="24"/>
  <c r="AE100" i="24"/>
  <c r="AD100" i="24"/>
  <c r="AC100" i="24"/>
  <c r="AB100" i="24"/>
  <c r="AA100" i="24"/>
  <c r="Z100" i="24"/>
  <c r="W100" i="24"/>
  <c r="V100" i="24"/>
  <c r="U100" i="24"/>
  <c r="S100" i="24"/>
  <c r="R100" i="24"/>
  <c r="Q100" i="24"/>
  <c r="C100" i="24"/>
  <c r="AI99" i="24"/>
  <c r="AH99" i="24"/>
  <c r="AI98" i="24"/>
  <c r="AH98" i="24"/>
  <c r="AI97" i="24"/>
  <c r="AH97" i="24"/>
  <c r="AI96" i="24"/>
  <c r="AH96" i="24"/>
  <c r="AI95" i="24"/>
  <c r="AH95" i="24"/>
  <c r="AI94" i="24"/>
  <c r="AH94" i="24"/>
  <c r="AI93" i="24"/>
  <c r="AH93" i="24"/>
  <c r="AI92" i="24"/>
  <c r="AH92" i="24"/>
  <c r="AI91" i="24"/>
  <c r="AH91" i="24"/>
  <c r="AI88" i="24"/>
  <c r="AH88" i="24"/>
  <c r="AF87" i="24"/>
  <c r="AE87" i="24"/>
  <c r="AD87" i="24"/>
  <c r="AC87" i="24"/>
  <c r="AB87" i="24"/>
  <c r="AA87" i="24"/>
  <c r="Z87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AF86" i="24"/>
  <c r="AE86" i="24"/>
  <c r="AD86" i="24"/>
  <c r="AC86" i="24"/>
  <c r="AB86" i="24"/>
  <c r="AA86" i="24"/>
  <c r="Z86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AF85" i="24"/>
  <c r="AE85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AF83" i="24"/>
  <c r="AE83" i="24"/>
  <c r="AD83" i="24"/>
  <c r="AC83" i="24"/>
  <c r="AB83" i="24"/>
  <c r="AA83" i="24"/>
  <c r="Z83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AI80" i="24"/>
  <c r="AH80" i="24"/>
  <c r="AI78" i="24"/>
  <c r="AH78" i="24"/>
  <c r="AG78" i="24"/>
  <c r="AG81" i="24" s="1"/>
  <c r="AI77" i="24"/>
  <c r="AH77" i="24"/>
  <c r="AI76" i="24"/>
  <c r="AH76" i="24"/>
  <c r="AI75" i="24"/>
  <c r="AH75" i="24"/>
  <c r="AG74" i="24"/>
  <c r="AF74" i="24"/>
  <c r="AE5" i="24" s="1"/>
  <c r="AE74" i="24"/>
  <c r="AD5" i="24" s="1"/>
  <c r="AD74" i="24"/>
  <c r="AC5" i="24" s="1"/>
  <c r="AC74" i="24"/>
  <c r="AB5" i="24" s="1"/>
  <c r="AB74" i="24"/>
  <c r="AA5" i="24" s="1"/>
  <c r="AA74" i="24"/>
  <c r="Z5" i="24" s="1"/>
  <c r="Z74" i="24"/>
  <c r="Y5" i="24" s="1"/>
  <c r="Y74" i="24"/>
  <c r="X5" i="24" s="1"/>
  <c r="X74" i="24"/>
  <c r="W5" i="24" s="1"/>
  <c r="W74" i="24"/>
  <c r="V74" i="24"/>
  <c r="U5" i="24" s="1"/>
  <c r="U74" i="24"/>
  <c r="T5" i="24" s="1"/>
  <c r="T74" i="24"/>
  <c r="S74" i="24"/>
  <c r="R74" i="24"/>
  <c r="Q5" i="24" s="1"/>
  <c r="Q74" i="24"/>
  <c r="P5" i="24" s="1"/>
  <c r="P74" i="24"/>
  <c r="O5" i="24" s="1"/>
  <c r="O74" i="24"/>
  <c r="N5" i="24" s="1"/>
  <c r="N74" i="24"/>
  <c r="M5" i="24" s="1"/>
  <c r="M74" i="24"/>
  <c r="L5" i="24" s="1"/>
  <c r="L74" i="24"/>
  <c r="K5" i="24" s="1"/>
  <c r="K74" i="24"/>
  <c r="J74" i="24"/>
  <c r="I5" i="24" s="1"/>
  <c r="I74" i="24"/>
  <c r="H5" i="24" s="1"/>
  <c r="H74" i="24"/>
  <c r="G5" i="24" s="1"/>
  <c r="G74" i="24"/>
  <c r="F5" i="24" s="1"/>
  <c r="F74" i="24"/>
  <c r="E5" i="24" s="1"/>
  <c r="E74" i="24"/>
  <c r="D5" i="24" s="1"/>
  <c r="D74" i="24"/>
  <c r="C5" i="24" s="1"/>
  <c r="C74" i="24"/>
  <c r="B5" i="24" s="1"/>
  <c r="B74" i="24"/>
  <c r="AI73" i="24"/>
  <c r="AH73" i="24"/>
  <c r="AI72" i="24"/>
  <c r="AH72" i="24"/>
  <c r="AI71" i="24"/>
  <c r="AH71" i="24"/>
  <c r="AI70" i="24"/>
  <c r="AH70" i="24"/>
  <c r="AI69" i="24"/>
  <c r="AH69" i="24"/>
  <c r="AI68" i="24"/>
  <c r="AH68" i="24"/>
  <c r="AI67" i="24"/>
  <c r="AH67" i="24"/>
  <c r="AI66" i="24"/>
  <c r="AH66" i="24"/>
  <c r="AI65" i="24"/>
  <c r="AH65" i="24"/>
  <c r="AI64" i="24"/>
  <c r="AH64" i="24"/>
  <c r="AI63" i="24"/>
  <c r="AH63" i="24"/>
  <c r="AG62" i="24"/>
  <c r="AF62" i="24"/>
  <c r="AE62" i="24"/>
  <c r="AD62" i="24"/>
  <c r="AC62" i="24"/>
  <c r="AB62" i="24"/>
  <c r="AA62" i="24"/>
  <c r="Z62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AI61" i="24"/>
  <c r="AH61" i="24"/>
  <c r="AI60" i="24"/>
  <c r="AH60" i="24"/>
  <c r="AI59" i="24"/>
  <c r="AH59" i="24"/>
  <c r="AF58" i="24"/>
  <c r="AE58" i="24"/>
  <c r="AD58" i="24"/>
  <c r="AC58" i="24"/>
  <c r="AB58" i="24"/>
  <c r="AA58" i="24"/>
  <c r="Z58" i="24"/>
  <c r="Y58" i="24"/>
  <c r="X58" i="24"/>
  <c r="W58" i="24"/>
  <c r="V58" i="24"/>
  <c r="U58" i="24"/>
  <c r="T58" i="24"/>
  <c r="S58" i="24"/>
  <c r="R58" i="24"/>
  <c r="Q58" i="24"/>
  <c r="P58" i="24"/>
  <c r="O58" i="24"/>
  <c r="N58" i="24"/>
  <c r="M58" i="24"/>
  <c r="L58" i="24"/>
  <c r="K58" i="24"/>
  <c r="J58" i="24"/>
  <c r="I58" i="24"/>
  <c r="H58" i="24"/>
  <c r="G58" i="24"/>
  <c r="F58" i="24"/>
  <c r="E58" i="24"/>
  <c r="D58" i="24"/>
  <c r="C58" i="24"/>
  <c r="B58" i="24"/>
  <c r="AI57" i="24"/>
  <c r="AH57" i="24"/>
  <c r="AI56" i="24"/>
  <c r="AH56" i="24"/>
  <c r="AI55" i="24"/>
  <c r="AH55" i="24"/>
  <c r="AI54" i="24"/>
  <c r="AH54" i="24"/>
  <c r="AI53" i="24"/>
  <c r="AH53" i="24"/>
  <c r="AI52" i="24"/>
  <c r="AH52" i="24"/>
  <c r="AI51" i="24"/>
  <c r="AH51" i="24"/>
  <c r="AI50" i="24"/>
  <c r="AH50" i="24"/>
  <c r="AI49" i="24"/>
  <c r="AH49" i="24"/>
  <c r="AI48" i="24"/>
  <c r="AH48" i="24"/>
  <c r="AI47" i="24"/>
  <c r="AH47" i="24"/>
  <c r="AI46" i="24"/>
  <c r="AH46" i="24"/>
  <c r="AI45" i="24"/>
  <c r="AH45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AI43" i="24"/>
  <c r="AH43" i="24"/>
  <c r="AI42" i="24"/>
  <c r="AH42" i="24"/>
  <c r="AI41" i="24"/>
  <c r="AH41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AI38" i="24"/>
  <c r="AH38" i="24"/>
  <c r="AI37" i="24"/>
  <c r="AH37" i="24"/>
  <c r="AI36" i="24"/>
  <c r="AH36" i="24"/>
  <c r="AI35" i="24"/>
  <c r="AH35" i="24"/>
  <c r="AI34" i="24"/>
  <c r="AH34" i="24"/>
  <c r="AI33" i="24"/>
  <c r="AH33" i="24"/>
  <c r="AI32" i="24"/>
  <c r="AH32" i="24"/>
  <c r="AI31" i="24"/>
  <c r="AH31" i="24"/>
  <c r="AI30" i="24"/>
  <c r="AH30" i="24"/>
  <c r="AI29" i="24"/>
  <c r="AH29" i="24"/>
  <c r="AI28" i="24"/>
  <c r="AH28" i="24"/>
  <c r="AI27" i="24"/>
  <c r="AH27" i="24"/>
  <c r="AI26" i="24"/>
  <c r="AH26" i="24"/>
  <c r="AI25" i="24"/>
  <c r="AH25" i="24"/>
  <c r="AI24" i="24"/>
  <c r="AH24" i="24"/>
  <c r="AI23" i="24"/>
  <c r="AH23" i="24"/>
  <c r="AI22" i="24"/>
  <c r="AH22" i="24"/>
  <c r="AI21" i="24"/>
  <c r="AH21" i="24"/>
  <c r="AI20" i="24"/>
  <c r="AH20" i="24"/>
  <c r="AI19" i="24"/>
  <c r="AH19" i="24"/>
  <c r="AI18" i="24"/>
  <c r="AH18" i="24"/>
  <c r="AI17" i="24"/>
  <c r="AH17" i="24"/>
  <c r="AI16" i="24"/>
  <c r="AH16" i="24"/>
  <c r="AI15" i="24"/>
  <c r="AH15" i="24"/>
  <c r="AI14" i="24"/>
  <c r="AH14" i="24"/>
  <c r="AI13" i="24"/>
  <c r="AH13" i="24"/>
  <c r="AI12" i="24"/>
  <c r="AH12" i="24"/>
  <c r="AI11" i="24"/>
  <c r="AH11" i="24"/>
  <c r="V5" i="24"/>
  <c r="AG4" i="24"/>
  <c r="K4" i="24"/>
  <c r="B4" i="24"/>
  <c r="S235" i="24" s="1"/>
  <c r="AG3" i="24"/>
  <c r="AF103" i="23"/>
  <c r="AF39" i="23"/>
  <c r="AE103" i="23"/>
  <c r="AE39" i="23"/>
  <c r="AD103" i="23"/>
  <c r="AD39" i="23"/>
  <c r="AC103" i="23"/>
  <c r="AC39" i="23"/>
  <c r="AB39" i="23"/>
  <c r="AA103" i="23"/>
  <c r="AA39" i="23"/>
  <c r="Z103" i="23"/>
  <c r="Z39" i="23"/>
  <c r="E4" i="25"/>
  <c r="E4" i="24"/>
  <c r="E100" i="24" l="1"/>
  <c r="E223" i="24"/>
  <c r="T82" i="28"/>
  <c r="AC7" i="28"/>
  <c r="AE89" i="24"/>
  <c r="B100" i="25"/>
  <c r="O82" i="26"/>
  <c r="Q82" i="27"/>
  <c r="AD82" i="27"/>
  <c r="U82" i="28"/>
  <c r="G82" i="28"/>
  <c r="E259" i="27"/>
  <c r="G223" i="27"/>
  <c r="Y7" i="27"/>
  <c r="S89" i="24"/>
  <c r="S90" i="24" s="1"/>
  <c r="Q79" i="25"/>
  <c r="Q81" i="25" s="1"/>
  <c r="AG79" i="25"/>
  <c r="Y82" i="26"/>
  <c r="S82" i="26"/>
  <c r="N82" i="26"/>
  <c r="L82" i="26"/>
  <c r="F224" i="27"/>
  <c r="AB82" i="27"/>
  <c r="AI238" i="27"/>
  <c r="AE82" i="27"/>
  <c r="AV238" i="27"/>
  <c r="AL238" i="27"/>
  <c r="AM238" i="28"/>
  <c r="X82" i="28"/>
  <c r="O82" i="28"/>
  <c r="D224" i="24"/>
  <c r="AE79" i="25"/>
  <c r="AE81" i="25" s="1"/>
  <c r="AI62" i="24"/>
  <c r="AG81" i="25"/>
  <c r="F89" i="25"/>
  <c r="N89" i="25"/>
  <c r="V89" i="25"/>
  <c r="E7" i="26"/>
  <c r="AD238" i="26"/>
  <c r="AD238" i="27"/>
  <c r="Z90" i="28"/>
  <c r="E82" i="28"/>
  <c r="AU238" i="28"/>
  <c r="B89" i="24"/>
  <c r="T82" i="26"/>
  <c r="M7" i="28"/>
  <c r="AG79" i="24"/>
  <c r="D224" i="25"/>
  <c r="C89" i="25"/>
  <c r="B224" i="25"/>
  <c r="M82" i="28"/>
  <c r="L7" i="28"/>
  <c r="L82" i="28"/>
  <c r="K7" i="28"/>
  <c r="J7" i="28"/>
  <c r="J82" i="28"/>
  <c r="I82" i="28"/>
  <c r="AA238" i="28"/>
  <c r="B233" i="28"/>
  <c r="Z238" i="28"/>
  <c r="C233" i="28"/>
  <c r="G7" i="28"/>
  <c r="F82" i="28"/>
  <c r="V238" i="28"/>
  <c r="D82" i="28"/>
  <c r="C82" i="28"/>
  <c r="U238" i="28"/>
  <c r="F224" i="28"/>
  <c r="E259" i="28"/>
  <c r="G223" i="28"/>
  <c r="G224" i="28" s="1"/>
  <c r="AI79" i="28"/>
  <c r="AH79" i="28"/>
  <c r="I218" i="28"/>
  <c r="AI89" i="28"/>
  <c r="AH89" i="28"/>
  <c r="E224" i="28"/>
  <c r="AT238" i="27"/>
  <c r="R82" i="27"/>
  <c r="AJ238" i="27"/>
  <c r="M82" i="27"/>
  <c r="AE238" i="27"/>
  <c r="B233" i="27"/>
  <c r="J82" i="27"/>
  <c r="AB238" i="27"/>
  <c r="C233" i="27"/>
  <c r="Z238" i="27"/>
  <c r="I7" i="27"/>
  <c r="I82" i="27"/>
  <c r="F82" i="27"/>
  <c r="X238" i="27"/>
  <c r="W238" i="27"/>
  <c r="E82" i="27"/>
  <c r="D82" i="27"/>
  <c r="D7" i="27"/>
  <c r="C7" i="27"/>
  <c r="C82" i="27"/>
  <c r="AI79" i="27"/>
  <c r="AH79" i="27"/>
  <c r="B81" i="27"/>
  <c r="I218" i="27"/>
  <c r="B90" i="27"/>
  <c r="AI89" i="27"/>
  <c r="AH89" i="27"/>
  <c r="AA82" i="26"/>
  <c r="AS238" i="26"/>
  <c r="Z82" i="26"/>
  <c r="AR238" i="26"/>
  <c r="X82" i="26"/>
  <c r="AP238" i="26"/>
  <c r="AL238" i="26"/>
  <c r="Q82" i="26"/>
  <c r="AI238" i="26"/>
  <c r="W7" i="26"/>
  <c r="W82" i="26"/>
  <c r="M82" i="26"/>
  <c r="AE238" i="26"/>
  <c r="G7" i="26"/>
  <c r="AB238" i="26"/>
  <c r="J82" i="26"/>
  <c r="C233" i="26"/>
  <c r="B233" i="26"/>
  <c r="G82" i="26"/>
  <c r="I82" i="26"/>
  <c r="AA238" i="26"/>
  <c r="X238" i="26"/>
  <c r="F82" i="26"/>
  <c r="E82" i="26"/>
  <c r="D82" i="26"/>
  <c r="V238" i="26"/>
  <c r="C82" i="26"/>
  <c r="U238" i="26"/>
  <c r="AI90" i="26"/>
  <c r="AH90" i="26"/>
  <c r="D259" i="26"/>
  <c r="F223" i="26"/>
  <c r="E100" i="26"/>
  <c r="AI79" i="26"/>
  <c r="AH79" i="26"/>
  <c r="H218" i="26"/>
  <c r="AI89" i="26"/>
  <c r="AH89" i="26"/>
  <c r="AF79" i="25"/>
  <c r="AF81" i="25" s="1"/>
  <c r="AF89" i="25"/>
  <c r="AF90" i="25" s="1"/>
  <c r="AE89" i="25"/>
  <c r="AE90" i="25" s="1"/>
  <c r="AD89" i="25"/>
  <c r="AD90" i="25" s="1"/>
  <c r="AC5" i="25"/>
  <c r="AD79" i="25"/>
  <c r="AD81" i="25" s="1"/>
  <c r="AD7" i="25" s="1"/>
  <c r="AC89" i="25"/>
  <c r="AC90" i="25" s="1"/>
  <c r="AB5" i="25"/>
  <c r="AC79" i="25"/>
  <c r="AC81" i="25" s="1"/>
  <c r="AC7" i="25" s="1"/>
  <c r="AB89" i="25"/>
  <c r="AB79" i="25"/>
  <c r="AB81" i="25" s="1"/>
  <c r="AT238" i="25" s="1"/>
  <c r="AA89" i="25"/>
  <c r="AA79" i="25"/>
  <c r="AA81" i="25" s="1"/>
  <c r="AA82" i="25" s="1"/>
  <c r="Z90" i="25"/>
  <c r="Z79" i="25"/>
  <c r="Z81" i="25" s="1"/>
  <c r="Z82" i="25" s="1"/>
  <c r="Y5" i="25"/>
  <c r="Y89" i="25"/>
  <c r="Y90" i="25" s="1"/>
  <c r="Y79" i="25"/>
  <c r="Y81" i="25" s="1"/>
  <c r="X5" i="25"/>
  <c r="X89" i="25"/>
  <c r="X90" i="25" s="1"/>
  <c r="X79" i="25"/>
  <c r="X81" i="25" s="1"/>
  <c r="X82" i="25" s="1"/>
  <c r="W89" i="25"/>
  <c r="W90" i="25" s="1"/>
  <c r="W79" i="25"/>
  <c r="W81" i="25" s="1"/>
  <c r="V90" i="25"/>
  <c r="V79" i="25"/>
  <c r="V81" i="25" s="1"/>
  <c r="U89" i="25"/>
  <c r="U90" i="25"/>
  <c r="T89" i="25"/>
  <c r="T90" i="25" s="1"/>
  <c r="T79" i="25"/>
  <c r="T81" i="25" s="1"/>
  <c r="AL238" i="25" s="1"/>
  <c r="AH23" i="25"/>
  <c r="S79" i="25"/>
  <c r="S81" i="25" s="1"/>
  <c r="S89" i="25"/>
  <c r="Q5" i="25"/>
  <c r="R89" i="25"/>
  <c r="R90" i="25" s="1"/>
  <c r="R79" i="25"/>
  <c r="R81" i="25" s="1"/>
  <c r="Q89" i="25"/>
  <c r="Q90" i="25" s="1"/>
  <c r="P89" i="25"/>
  <c r="P90" i="25" s="1"/>
  <c r="O89" i="25"/>
  <c r="O90" i="25" s="1"/>
  <c r="O5" i="25"/>
  <c r="O79" i="25"/>
  <c r="O81" i="25" s="1"/>
  <c r="P79" i="25"/>
  <c r="P81" i="25" s="1"/>
  <c r="N90" i="25"/>
  <c r="N79" i="25"/>
  <c r="N81" i="25" s="1"/>
  <c r="AF238" i="25" s="1"/>
  <c r="M89" i="25"/>
  <c r="M90" i="25"/>
  <c r="M79" i="25"/>
  <c r="M81" i="25" s="1"/>
  <c r="AE238" i="25" s="1"/>
  <c r="L89" i="25"/>
  <c r="L79" i="25"/>
  <c r="L81" i="25" s="1"/>
  <c r="L7" i="25" s="1"/>
  <c r="K89" i="25"/>
  <c r="K79" i="25"/>
  <c r="K81" i="25" s="1"/>
  <c r="AI103" i="25"/>
  <c r="I5" i="25"/>
  <c r="J89" i="25"/>
  <c r="J90" i="25" s="1"/>
  <c r="J79" i="25"/>
  <c r="J81" i="25" s="1"/>
  <c r="J7" i="25" s="1"/>
  <c r="AH86" i="25"/>
  <c r="I89" i="25"/>
  <c r="I90" i="25" s="1"/>
  <c r="I79" i="25"/>
  <c r="I81" i="25" s="1"/>
  <c r="I7" i="25" s="1"/>
  <c r="H89" i="25"/>
  <c r="H90" i="25" s="1"/>
  <c r="G5" i="25"/>
  <c r="H79" i="25"/>
  <c r="H81" i="25" s="1"/>
  <c r="H7" i="25" s="1"/>
  <c r="G89" i="25"/>
  <c r="G90" i="25" s="1"/>
  <c r="AI85" i="25"/>
  <c r="G79" i="25"/>
  <c r="G81" i="25" s="1"/>
  <c r="Y238" i="25" s="1"/>
  <c r="F90" i="25"/>
  <c r="E5" i="25"/>
  <c r="F79" i="25"/>
  <c r="F81" i="25" s="1"/>
  <c r="F7" i="25" s="1"/>
  <c r="E89" i="25"/>
  <c r="E90" i="25" s="1"/>
  <c r="AI62" i="25"/>
  <c r="E79" i="25"/>
  <c r="E81" i="25" s="1"/>
  <c r="W238" i="25" s="1"/>
  <c r="D89" i="25"/>
  <c r="D90" i="25" s="1"/>
  <c r="AI87" i="25"/>
  <c r="D79" i="25"/>
  <c r="D81" i="25" s="1"/>
  <c r="AI83" i="25"/>
  <c r="AI86" i="25"/>
  <c r="AI84" i="25"/>
  <c r="AI58" i="25"/>
  <c r="C79" i="25"/>
  <c r="C81" i="25" s="1"/>
  <c r="C7" i="25" s="1"/>
  <c r="AI44" i="25"/>
  <c r="AI40" i="25"/>
  <c r="AH84" i="25"/>
  <c r="H4" i="25"/>
  <c r="R7" i="25"/>
  <c r="AJ238" i="25"/>
  <c r="R82" i="25"/>
  <c r="Z7" i="25"/>
  <c r="AR238" i="25"/>
  <c r="D7" i="25"/>
  <c r="V238" i="25"/>
  <c r="D82" i="25"/>
  <c r="AB7" i="25"/>
  <c r="AB82" i="25"/>
  <c r="M7" i="25"/>
  <c r="U7" i="25"/>
  <c r="AM238" i="25"/>
  <c r="U82" i="25"/>
  <c r="AU238" i="25"/>
  <c r="AC82" i="25"/>
  <c r="K7" i="25"/>
  <c r="AC238" i="25"/>
  <c r="K82" i="25"/>
  <c r="F82" i="25"/>
  <c r="N7" i="25"/>
  <c r="N82" i="25"/>
  <c r="V7" i="25"/>
  <c r="AN238" i="25"/>
  <c r="V82" i="25"/>
  <c r="AV238" i="25"/>
  <c r="S7" i="25"/>
  <c r="AK238" i="25"/>
  <c r="S82" i="25"/>
  <c r="AG238" i="25"/>
  <c r="O82" i="25"/>
  <c r="O7" i="25"/>
  <c r="AO238" i="25"/>
  <c r="W82" i="25"/>
  <c r="W7" i="25"/>
  <c r="AW238" i="25"/>
  <c r="AE82" i="25"/>
  <c r="AE7" i="25"/>
  <c r="G218" i="25"/>
  <c r="AA7" i="25"/>
  <c r="AS238" i="25"/>
  <c r="P7" i="25"/>
  <c r="AH238" i="25"/>
  <c r="X7" i="25"/>
  <c r="AF7" i="25"/>
  <c r="AX238" i="25"/>
  <c r="AF82" i="25"/>
  <c r="C90" i="25"/>
  <c r="K90" i="25"/>
  <c r="S90" i="25"/>
  <c r="AA90" i="25"/>
  <c r="I82" i="25"/>
  <c r="Q7" i="25"/>
  <c r="AI238" i="25"/>
  <c r="Y7" i="25"/>
  <c r="AQ238" i="25"/>
  <c r="Y82" i="25"/>
  <c r="L90" i="25"/>
  <c r="AB90" i="25"/>
  <c r="D235" i="25"/>
  <c r="AH58" i="25"/>
  <c r="AH62" i="25"/>
  <c r="AH74" i="25"/>
  <c r="E219" i="25"/>
  <c r="E223" i="25"/>
  <c r="AG2" i="25"/>
  <c r="AG6" i="25" s="1"/>
  <c r="AI74" i="25"/>
  <c r="AH83" i="25"/>
  <c r="B89" i="25"/>
  <c r="AH40" i="25"/>
  <c r="AH44" i="25"/>
  <c r="B79" i="25"/>
  <c r="AH85" i="25"/>
  <c r="AH87" i="25"/>
  <c r="AF79" i="24"/>
  <c r="AF81" i="24" s="1"/>
  <c r="AF7" i="24" s="1"/>
  <c r="AE90" i="24"/>
  <c r="AE79" i="24"/>
  <c r="AE81" i="24" s="1"/>
  <c r="AW238" i="24" s="1"/>
  <c r="AD79" i="24"/>
  <c r="AD81" i="24" s="1"/>
  <c r="AD7" i="24" s="1"/>
  <c r="AC79" i="24"/>
  <c r="AC81" i="24" s="1"/>
  <c r="AA89" i="24"/>
  <c r="Z89" i="24"/>
  <c r="Y89" i="24"/>
  <c r="Y90" i="24" s="1"/>
  <c r="X79" i="24"/>
  <c r="X81" i="24" s="1"/>
  <c r="W89" i="24"/>
  <c r="W90" i="24" s="1"/>
  <c r="W79" i="24"/>
  <c r="W81" i="24" s="1"/>
  <c r="AO238" i="24" s="1"/>
  <c r="V79" i="24"/>
  <c r="V81" i="24" s="1"/>
  <c r="V7" i="24" s="1"/>
  <c r="U79" i="24"/>
  <c r="U81" i="24" s="1"/>
  <c r="AM238" i="24" s="1"/>
  <c r="R89" i="24"/>
  <c r="AH103" i="24"/>
  <c r="Q89" i="24"/>
  <c r="Q90" i="24" s="1"/>
  <c r="Q79" i="24"/>
  <c r="Q81" i="24" s="1"/>
  <c r="Q7" i="24" s="1"/>
  <c r="P79" i="24"/>
  <c r="P81" i="24" s="1"/>
  <c r="AI39" i="24"/>
  <c r="O89" i="24"/>
  <c r="O90" i="24" s="1"/>
  <c r="O79" i="24"/>
  <c r="O81" i="24" s="1"/>
  <c r="AG238" i="24" s="1"/>
  <c r="N79" i="24"/>
  <c r="N81" i="24" s="1"/>
  <c r="N7" i="24" s="1"/>
  <c r="M79" i="24"/>
  <c r="M81" i="24" s="1"/>
  <c r="AH39" i="24"/>
  <c r="K89" i="24"/>
  <c r="K90" i="24" s="1"/>
  <c r="J89" i="24"/>
  <c r="J90" i="24" s="1"/>
  <c r="I89" i="24"/>
  <c r="I90" i="24" s="1"/>
  <c r="H79" i="24"/>
  <c r="H81" i="24" s="1"/>
  <c r="H7" i="24" s="1"/>
  <c r="G89" i="24"/>
  <c r="G90" i="24" s="1"/>
  <c r="AH84" i="24"/>
  <c r="G79" i="24"/>
  <c r="G81" i="24" s="1"/>
  <c r="I79" i="24"/>
  <c r="I81" i="24" s="1"/>
  <c r="AA238" i="24" s="1"/>
  <c r="Y79" i="24"/>
  <c r="Y81" i="24" s="1"/>
  <c r="Y82" i="24" s="1"/>
  <c r="AH87" i="24"/>
  <c r="F79" i="24"/>
  <c r="F81" i="24" s="1"/>
  <c r="F7" i="24" s="1"/>
  <c r="AI86" i="24"/>
  <c r="E79" i="24"/>
  <c r="E81" i="24" s="1"/>
  <c r="W238" i="24" s="1"/>
  <c r="C89" i="24"/>
  <c r="AI58" i="24"/>
  <c r="AH58" i="24"/>
  <c r="H4" i="24"/>
  <c r="E7" i="24"/>
  <c r="B90" i="24"/>
  <c r="U7" i="24"/>
  <c r="M7" i="24"/>
  <c r="AE238" i="24"/>
  <c r="AE82" i="24"/>
  <c r="AC7" i="24"/>
  <c r="AU238" i="24"/>
  <c r="AP238" i="24"/>
  <c r="X7" i="24"/>
  <c r="AX238" i="24"/>
  <c r="AH238" i="24"/>
  <c r="P82" i="24"/>
  <c r="P7" i="24"/>
  <c r="AI238" i="24"/>
  <c r="AH62" i="24"/>
  <c r="AG2" i="24"/>
  <c r="AG6" i="24" s="1"/>
  <c r="J79" i="24"/>
  <c r="J81" i="24" s="1"/>
  <c r="Z79" i="24"/>
  <c r="Z81" i="24" s="1"/>
  <c r="AA90" i="24"/>
  <c r="AI74" i="24"/>
  <c r="K79" i="24"/>
  <c r="K81" i="24" s="1"/>
  <c r="S79" i="24"/>
  <c r="S81" i="24" s="1"/>
  <c r="AF5" i="24"/>
  <c r="AF238" i="24"/>
  <c r="H89" i="24"/>
  <c r="H90" i="24" s="1"/>
  <c r="P89" i="24"/>
  <c r="P90" i="24" s="1"/>
  <c r="X89" i="24"/>
  <c r="X90" i="24" s="1"/>
  <c r="AF89" i="24"/>
  <c r="AF82" i="24" s="1"/>
  <c r="AI87" i="24"/>
  <c r="Z90" i="24"/>
  <c r="AI44" i="24"/>
  <c r="AI83" i="24"/>
  <c r="AI85" i="24"/>
  <c r="R90" i="24"/>
  <c r="C90" i="24"/>
  <c r="D90" i="24"/>
  <c r="E89" i="24"/>
  <c r="E90" i="24" s="1"/>
  <c r="M89" i="24"/>
  <c r="M90" i="24" s="1"/>
  <c r="U89" i="24"/>
  <c r="AC89" i="24"/>
  <c r="D89" i="24"/>
  <c r="AH85" i="24"/>
  <c r="L89" i="24"/>
  <c r="L90" i="24" s="1"/>
  <c r="T89" i="24"/>
  <c r="T90" i="24" s="1"/>
  <c r="AB89" i="24"/>
  <c r="AB90" i="24" s="1"/>
  <c r="AH83" i="24"/>
  <c r="AH74" i="24"/>
  <c r="AI84" i="24"/>
  <c r="AH40" i="24"/>
  <c r="R79" i="24"/>
  <c r="R81" i="24" s="1"/>
  <c r="R5" i="24"/>
  <c r="C79" i="24"/>
  <c r="C81" i="24" s="1"/>
  <c r="AA79" i="24"/>
  <c r="AA81" i="24" s="1"/>
  <c r="S5" i="24"/>
  <c r="D79" i="24"/>
  <c r="D81" i="24" s="1"/>
  <c r="L79" i="24"/>
  <c r="L81" i="24" s="1"/>
  <c r="T79" i="24"/>
  <c r="T81" i="24" s="1"/>
  <c r="AB79" i="24"/>
  <c r="AB81" i="24" s="1"/>
  <c r="F89" i="24"/>
  <c r="F90" i="24" s="1"/>
  <c r="N89" i="24"/>
  <c r="N90" i="24" s="1"/>
  <c r="V89" i="24"/>
  <c r="V90" i="24" s="1"/>
  <c r="AD89" i="24"/>
  <c r="AD90" i="24" s="1"/>
  <c r="J5" i="24"/>
  <c r="F218" i="24"/>
  <c r="E224" i="24"/>
  <c r="D100" i="24"/>
  <c r="D235" i="24"/>
  <c r="AH44" i="24"/>
  <c r="B79" i="24"/>
  <c r="AI40" i="24"/>
  <c r="AH86" i="24"/>
  <c r="B224" i="24"/>
  <c r="AN238" i="24" l="1"/>
  <c r="AP238" i="25"/>
  <c r="AD82" i="25"/>
  <c r="T82" i="25"/>
  <c r="Q82" i="25"/>
  <c r="T7" i="25"/>
  <c r="F259" i="27"/>
  <c r="H223" i="27"/>
  <c r="G100" i="27"/>
  <c r="G224" i="27"/>
  <c r="AE7" i="24"/>
  <c r="Z238" i="24"/>
  <c r="E82" i="25"/>
  <c r="W7" i="24"/>
  <c r="O82" i="24"/>
  <c r="G82" i="24"/>
  <c r="H82" i="25"/>
  <c r="E7" i="25"/>
  <c r="W82" i="24"/>
  <c r="Z238" i="25"/>
  <c r="D259" i="24"/>
  <c r="F223" i="24"/>
  <c r="F224" i="24" s="1"/>
  <c r="X238" i="24"/>
  <c r="P82" i="25"/>
  <c r="AC82" i="24"/>
  <c r="Q82" i="24"/>
  <c r="O7" i="24"/>
  <c r="U82" i="24"/>
  <c r="AV238" i="24"/>
  <c r="C82" i="25"/>
  <c r="K6" i="28"/>
  <c r="AI90" i="28"/>
  <c r="AH90" i="28"/>
  <c r="B7" i="28"/>
  <c r="A7" i="28" s="1"/>
  <c r="T238" i="28"/>
  <c r="AI81" i="28"/>
  <c r="AH81" i="28"/>
  <c r="F259" i="28"/>
  <c r="H223" i="28"/>
  <c r="G100" i="28"/>
  <c r="J218" i="28"/>
  <c r="K6" i="27"/>
  <c r="J218" i="27"/>
  <c r="B7" i="27"/>
  <c r="A7" i="27" s="1"/>
  <c r="T238" i="27"/>
  <c r="B82" i="27"/>
  <c r="AI81" i="27"/>
  <c r="AH81" i="27"/>
  <c r="AI90" i="27"/>
  <c r="AH90" i="27"/>
  <c r="K6" i="26"/>
  <c r="E259" i="26"/>
  <c r="G223" i="26"/>
  <c r="F100" i="26"/>
  <c r="F224" i="26"/>
  <c r="I218" i="26"/>
  <c r="B7" i="26"/>
  <c r="A7" i="26" s="1"/>
  <c r="T238" i="26"/>
  <c r="AI81" i="26"/>
  <c r="AH81" i="26"/>
  <c r="M82" i="25"/>
  <c r="L82" i="25"/>
  <c r="AD238" i="25"/>
  <c r="J82" i="25"/>
  <c r="AB238" i="25"/>
  <c r="AA238" i="25"/>
  <c r="B233" i="25"/>
  <c r="G7" i="25"/>
  <c r="C233" i="25"/>
  <c r="G82" i="25"/>
  <c r="X238" i="25"/>
  <c r="U238" i="25"/>
  <c r="AI79" i="25"/>
  <c r="AH79" i="25"/>
  <c r="B81" i="25"/>
  <c r="F219" i="25"/>
  <c r="E224" i="25"/>
  <c r="H218" i="25"/>
  <c r="AI89" i="25"/>
  <c r="AH89" i="25"/>
  <c r="B90" i="25"/>
  <c r="D259" i="25"/>
  <c r="F223" i="25"/>
  <c r="E100" i="25"/>
  <c r="AF90" i="24"/>
  <c r="AD82" i="24"/>
  <c r="AC90" i="24"/>
  <c r="AQ238" i="24"/>
  <c r="Y7" i="24"/>
  <c r="X82" i="24"/>
  <c r="I82" i="24"/>
  <c r="I7" i="24"/>
  <c r="Y238" i="24"/>
  <c r="G7" i="24"/>
  <c r="L82" i="24"/>
  <c r="L7" i="24"/>
  <c r="AD238" i="24"/>
  <c r="AH89" i="24"/>
  <c r="AL238" i="24"/>
  <c r="T7" i="24"/>
  <c r="T82" i="24"/>
  <c r="F82" i="24"/>
  <c r="AB238" i="24"/>
  <c r="J7" i="24"/>
  <c r="J82" i="24"/>
  <c r="AI89" i="24"/>
  <c r="S7" i="24"/>
  <c r="AK238" i="24"/>
  <c r="S82" i="24"/>
  <c r="M82" i="24"/>
  <c r="AH90" i="24"/>
  <c r="AJ238" i="24"/>
  <c r="R7" i="24"/>
  <c r="R82" i="24"/>
  <c r="D7" i="24"/>
  <c r="V238" i="24"/>
  <c r="D82" i="24"/>
  <c r="U90" i="24"/>
  <c r="V82" i="24"/>
  <c r="AC238" i="24"/>
  <c r="K7" i="24"/>
  <c r="K82" i="24"/>
  <c r="B233" i="24"/>
  <c r="E82" i="24"/>
  <c r="G218" i="24"/>
  <c r="AH79" i="24"/>
  <c r="AI79" i="24"/>
  <c r="B81" i="24"/>
  <c r="AA7" i="24"/>
  <c r="AS238" i="24"/>
  <c r="AA82" i="24"/>
  <c r="H82" i="24"/>
  <c r="C233" i="24"/>
  <c r="U238" i="24"/>
  <c r="C7" i="24"/>
  <c r="C82" i="24"/>
  <c r="N82" i="24"/>
  <c r="AB7" i="24"/>
  <c r="AT238" i="24"/>
  <c r="AB82" i="24"/>
  <c r="AR238" i="24"/>
  <c r="Z7" i="24"/>
  <c r="Z82" i="24"/>
  <c r="G259" i="27" l="1"/>
  <c r="I223" i="27"/>
  <c r="H224" i="27"/>
  <c r="H100" i="27"/>
  <c r="AI90" i="24"/>
  <c r="E259" i="24"/>
  <c r="G223" i="24"/>
  <c r="G224" i="24" s="1"/>
  <c r="F100" i="24"/>
  <c r="K218" i="28"/>
  <c r="AI82" i="28"/>
  <c r="AH82" i="28"/>
  <c r="G259" i="28"/>
  <c r="I223" i="28"/>
  <c r="H224" i="28"/>
  <c r="H100" i="28"/>
  <c r="K218" i="27"/>
  <c r="AI82" i="27"/>
  <c r="AH82" i="27"/>
  <c r="J218" i="26"/>
  <c r="AI82" i="26"/>
  <c r="AH82" i="26"/>
  <c r="F259" i="26"/>
  <c r="H223" i="26"/>
  <c r="G100" i="26"/>
  <c r="G224" i="26"/>
  <c r="K6" i="25"/>
  <c r="E259" i="25"/>
  <c r="G223" i="25"/>
  <c r="F100" i="25"/>
  <c r="I218" i="25"/>
  <c r="G219" i="25"/>
  <c r="F224" i="25"/>
  <c r="AI90" i="25"/>
  <c r="AH90" i="25"/>
  <c r="B7" i="25"/>
  <c r="A7" i="25" s="1"/>
  <c r="T238" i="25"/>
  <c r="B82" i="25"/>
  <c r="AI81" i="25"/>
  <c r="AH81" i="25"/>
  <c r="AJ7" i="24"/>
  <c r="T238" i="24"/>
  <c r="AH81" i="24"/>
  <c r="B82" i="24"/>
  <c r="AI81" i="24"/>
  <c r="B7" i="24"/>
  <c r="A7" i="24" s="1"/>
  <c r="H218" i="24"/>
  <c r="K6" i="24"/>
  <c r="H259" i="27" l="1"/>
  <c r="J223" i="27"/>
  <c r="I100" i="27"/>
  <c r="I224" i="27"/>
  <c r="H223" i="24"/>
  <c r="F259" i="24"/>
  <c r="G100" i="24"/>
  <c r="L218" i="28"/>
  <c r="H259" i="28"/>
  <c r="J223" i="28"/>
  <c r="I224" i="28"/>
  <c r="I100" i="28"/>
  <c r="L218" i="27"/>
  <c r="K218" i="26"/>
  <c r="G259" i="26"/>
  <c r="I223" i="26"/>
  <c r="H224" i="26"/>
  <c r="H100" i="26"/>
  <c r="J218" i="25"/>
  <c r="AI82" i="25"/>
  <c r="AH82" i="25"/>
  <c r="F259" i="25"/>
  <c r="H223" i="25"/>
  <c r="G100" i="25"/>
  <c r="H219" i="25"/>
  <c r="G224" i="25"/>
  <c r="I218" i="24"/>
  <c r="H100" i="24"/>
  <c r="H224" i="24"/>
  <c r="AI82" i="24"/>
  <c r="AH82" i="24"/>
  <c r="I223" i="24" l="1"/>
  <c r="G259" i="24"/>
  <c r="K223" i="27"/>
  <c r="I259" i="27"/>
  <c r="J100" i="27"/>
  <c r="J224" i="27"/>
  <c r="K223" i="28"/>
  <c r="I259" i="28"/>
  <c r="J100" i="28"/>
  <c r="J224" i="28"/>
  <c r="M218" i="28"/>
  <c r="M218" i="27"/>
  <c r="H259" i="26"/>
  <c r="J223" i="26"/>
  <c r="I100" i="26"/>
  <c r="I224" i="26"/>
  <c r="L218" i="26"/>
  <c r="G259" i="25"/>
  <c r="I223" i="25"/>
  <c r="H100" i="25"/>
  <c r="K218" i="25"/>
  <c r="I219" i="25"/>
  <c r="H224" i="25"/>
  <c r="I100" i="24"/>
  <c r="I224" i="24"/>
  <c r="J218" i="24"/>
  <c r="L223" i="27" l="1"/>
  <c r="J259" i="27"/>
  <c r="K224" i="27"/>
  <c r="K100" i="27"/>
  <c r="H259" i="24"/>
  <c r="J223" i="24"/>
  <c r="J259" i="28"/>
  <c r="L223" i="28"/>
  <c r="K100" i="28"/>
  <c r="K224" i="28"/>
  <c r="N218" i="28"/>
  <c r="N218" i="27"/>
  <c r="M218" i="26"/>
  <c r="K223" i="26"/>
  <c r="I259" i="26"/>
  <c r="J100" i="26"/>
  <c r="J224" i="26"/>
  <c r="J219" i="25"/>
  <c r="I224" i="25"/>
  <c r="L218" i="25"/>
  <c r="H259" i="25"/>
  <c r="J223" i="25"/>
  <c r="I100" i="25"/>
  <c r="J100" i="24"/>
  <c r="K218" i="24"/>
  <c r="K223" i="24" l="1"/>
  <c r="I259" i="24"/>
  <c r="J224" i="24"/>
  <c r="M223" i="27"/>
  <c r="K259" i="27"/>
  <c r="L100" i="27"/>
  <c r="L224" i="27"/>
  <c r="O218" i="28"/>
  <c r="K259" i="28"/>
  <c r="M223" i="28"/>
  <c r="L224" i="28"/>
  <c r="L100" i="28"/>
  <c r="O218" i="27"/>
  <c r="N218" i="26"/>
  <c r="J259" i="26"/>
  <c r="L223" i="26"/>
  <c r="K100" i="26"/>
  <c r="K224" i="26"/>
  <c r="K223" i="25"/>
  <c r="I259" i="25"/>
  <c r="J100" i="25"/>
  <c r="M218" i="25"/>
  <c r="K219" i="25"/>
  <c r="J224" i="25"/>
  <c r="K100" i="24"/>
  <c r="K224" i="24"/>
  <c r="L218" i="24"/>
  <c r="N223" i="27" l="1"/>
  <c r="L259" i="27"/>
  <c r="M100" i="27"/>
  <c r="M224" i="27"/>
  <c r="J259" i="24"/>
  <c r="L223" i="24"/>
  <c r="L259" i="28"/>
  <c r="N223" i="28"/>
  <c r="M224" i="28"/>
  <c r="M100" i="28"/>
  <c r="P218" i="28"/>
  <c r="P218" i="27"/>
  <c r="K259" i="26"/>
  <c r="M223" i="26"/>
  <c r="L224" i="26"/>
  <c r="L100" i="26"/>
  <c r="O218" i="26"/>
  <c r="L219" i="25"/>
  <c r="K224" i="25"/>
  <c r="N218" i="25"/>
  <c r="J259" i="25"/>
  <c r="L223" i="25"/>
  <c r="K100" i="25"/>
  <c r="M218" i="24"/>
  <c r="K259" i="24" l="1"/>
  <c r="M223" i="24"/>
  <c r="L224" i="24"/>
  <c r="L100" i="24"/>
  <c r="O223" i="27"/>
  <c r="M259" i="27"/>
  <c r="N224" i="27"/>
  <c r="N100" i="27"/>
  <c r="M259" i="28"/>
  <c r="O223" i="28"/>
  <c r="N224" i="28"/>
  <c r="N100" i="28"/>
  <c r="P218" i="26"/>
  <c r="L259" i="26"/>
  <c r="N223" i="26"/>
  <c r="M224" i="26"/>
  <c r="M100" i="26"/>
  <c r="K259" i="25"/>
  <c r="M223" i="25"/>
  <c r="L100" i="25"/>
  <c r="O218" i="25"/>
  <c r="M219" i="25"/>
  <c r="L224" i="25"/>
  <c r="N218" i="24"/>
  <c r="M100" i="24"/>
  <c r="M224" i="24"/>
  <c r="N223" i="24" l="1"/>
  <c r="L259" i="24"/>
  <c r="N259" i="27"/>
  <c r="P223" i="27"/>
  <c r="O100" i="27"/>
  <c r="O224" i="27"/>
  <c r="P223" i="28"/>
  <c r="N259" i="28"/>
  <c r="O100" i="28"/>
  <c r="O224" i="28"/>
  <c r="M259" i="26"/>
  <c r="O223" i="26"/>
  <c r="N100" i="26"/>
  <c r="N224" i="26"/>
  <c r="N219" i="25"/>
  <c r="M224" i="25"/>
  <c r="P218" i="25"/>
  <c r="L259" i="25"/>
  <c r="N223" i="25"/>
  <c r="M100" i="25"/>
  <c r="O218" i="24"/>
  <c r="N100" i="24"/>
  <c r="N224" i="24"/>
  <c r="O259" i="27" l="1"/>
  <c r="P224" i="27"/>
  <c r="P100" i="27"/>
  <c r="AI100" i="27" s="1"/>
  <c r="O223" i="24"/>
  <c r="O224" i="24" s="1"/>
  <c r="M259" i="24"/>
  <c r="O259" i="28"/>
  <c r="P100" i="28"/>
  <c r="P224" i="28"/>
  <c r="N259" i="26"/>
  <c r="P223" i="26"/>
  <c r="O100" i="26"/>
  <c r="O224" i="26"/>
  <c r="M259" i="25"/>
  <c r="O223" i="25"/>
  <c r="N100" i="25"/>
  <c r="O219" i="25"/>
  <c r="N224" i="25"/>
  <c r="P218" i="24"/>
  <c r="O100" i="24"/>
  <c r="N259" i="24" l="1"/>
  <c r="P223" i="24"/>
  <c r="O259" i="24" s="1"/>
  <c r="AH100" i="27"/>
  <c r="AI100" i="28"/>
  <c r="AH100" i="28"/>
  <c r="O259" i="26"/>
  <c r="P224" i="26"/>
  <c r="P100" i="26"/>
  <c r="P219" i="25"/>
  <c r="O224" i="25"/>
  <c r="N259" i="25"/>
  <c r="P223" i="25"/>
  <c r="O100" i="25"/>
  <c r="P224" i="24"/>
  <c r="P100" i="24"/>
  <c r="AI100" i="26" l="1"/>
  <c r="AH100" i="26"/>
  <c r="O259" i="25"/>
  <c r="P100" i="25"/>
  <c r="P224" i="25"/>
  <c r="AI100" i="24"/>
  <c r="AH100" i="24"/>
  <c r="AI100" i="25" l="1"/>
  <c r="AH100" i="25"/>
  <c r="Y103" i="23" l="1"/>
  <c r="X103" i="23"/>
  <c r="Y39" i="23"/>
  <c r="X39" i="23"/>
  <c r="W103" i="23"/>
  <c r="W39" i="23"/>
  <c r="V103" i="23"/>
  <c r="V39" i="23"/>
  <c r="U39" i="23"/>
  <c r="T39" i="23"/>
  <c r="S39" i="23"/>
  <c r="R39" i="23" l="1"/>
  <c r="R103" i="23"/>
  <c r="Q103" i="23"/>
  <c r="Q39" i="23"/>
  <c r="P103" i="23"/>
  <c r="P39" i="23"/>
  <c r="O103" i="23"/>
  <c r="O39" i="23"/>
  <c r="N103" i="23"/>
  <c r="N39" i="23"/>
  <c r="M103" i="23"/>
  <c r="M39" i="23"/>
  <c r="K103" i="23"/>
  <c r="AI65" i="23"/>
  <c r="K39" i="23"/>
  <c r="J103" i="23"/>
  <c r="AI103" i="23" s="1"/>
  <c r="J39" i="23"/>
  <c r="I103" i="23"/>
  <c r="I39" i="23"/>
  <c r="H103" i="23"/>
  <c r="H39" i="23"/>
  <c r="G39" i="23"/>
  <c r="G103" i="23"/>
  <c r="AF263" i="23"/>
  <c r="AE263" i="23"/>
  <c r="AD263" i="23"/>
  <c r="AC263" i="23"/>
  <c r="AB263" i="23"/>
  <c r="AA263" i="23"/>
  <c r="Z263" i="23"/>
  <c r="Y263" i="23"/>
  <c r="X263" i="23"/>
  <c r="W263" i="23"/>
  <c r="V263" i="23"/>
  <c r="U263" i="23"/>
  <c r="T263" i="23"/>
  <c r="S263" i="23"/>
  <c r="R263" i="23"/>
  <c r="Q263" i="23"/>
  <c r="P263" i="23"/>
  <c r="O263" i="23"/>
  <c r="N263" i="23"/>
  <c r="M263" i="23"/>
  <c r="L263" i="23"/>
  <c r="K263" i="23"/>
  <c r="J263" i="23"/>
  <c r="I263" i="23"/>
  <c r="H263" i="23"/>
  <c r="G263" i="23"/>
  <c r="F263" i="23"/>
  <c r="E263" i="23"/>
  <c r="D263" i="23"/>
  <c r="C263" i="23"/>
  <c r="B263" i="23"/>
  <c r="A263" i="23"/>
  <c r="AF262" i="23"/>
  <c r="AE262" i="23"/>
  <c r="AD262" i="23"/>
  <c r="AC262" i="23"/>
  <c r="AB262" i="23"/>
  <c r="AA262" i="23"/>
  <c r="Z262" i="23"/>
  <c r="Y262" i="23"/>
  <c r="X262" i="23"/>
  <c r="W262" i="23"/>
  <c r="V262" i="23"/>
  <c r="U262" i="23"/>
  <c r="T262" i="23"/>
  <c r="S262" i="23"/>
  <c r="R262" i="23"/>
  <c r="Q262" i="23"/>
  <c r="P262" i="23"/>
  <c r="O262" i="23"/>
  <c r="N262" i="23"/>
  <c r="M262" i="23"/>
  <c r="L262" i="23"/>
  <c r="K262" i="23"/>
  <c r="J262" i="23"/>
  <c r="I262" i="23"/>
  <c r="H262" i="23"/>
  <c r="G262" i="23"/>
  <c r="F262" i="23"/>
  <c r="E262" i="23"/>
  <c r="D262" i="23"/>
  <c r="C262" i="23"/>
  <c r="B262" i="23"/>
  <c r="A262" i="23"/>
  <c r="AF261" i="23"/>
  <c r="AE261" i="23"/>
  <c r="AD261" i="23"/>
  <c r="AC261" i="23"/>
  <c r="AB261" i="23"/>
  <c r="AA261" i="23"/>
  <c r="Z261" i="23"/>
  <c r="Y261" i="23"/>
  <c r="X261" i="23"/>
  <c r="W261" i="23"/>
  <c r="V261" i="23"/>
  <c r="U261" i="23"/>
  <c r="T261" i="23"/>
  <c r="S261" i="23"/>
  <c r="R261" i="23"/>
  <c r="Q261" i="23"/>
  <c r="P261" i="23"/>
  <c r="O261" i="23"/>
  <c r="N261" i="23"/>
  <c r="M261" i="23"/>
  <c r="L261" i="23"/>
  <c r="K261" i="23"/>
  <c r="J261" i="23"/>
  <c r="I261" i="23"/>
  <c r="H261" i="23"/>
  <c r="G261" i="23"/>
  <c r="F261" i="23"/>
  <c r="E261" i="23"/>
  <c r="D261" i="23"/>
  <c r="C261" i="23"/>
  <c r="B261" i="23"/>
  <c r="A261" i="23"/>
  <c r="AF260" i="23"/>
  <c r="AE260" i="23"/>
  <c r="AD260" i="23"/>
  <c r="AC260" i="23"/>
  <c r="AB260" i="23"/>
  <c r="AA260" i="23"/>
  <c r="Z260" i="23"/>
  <c r="Y260" i="23"/>
  <c r="X260" i="23"/>
  <c r="W260" i="23"/>
  <c r="V260" i="23"/>
  <c r="U260" i="23"/>
  <c r="T260" i="23"/>
  <c r="S260" i="23"/>
  <c r="R260" i="23"/>
  <c r="Q260" i="23"/>
  <c r="P260" i="23"/>
  <c r="O260" i="23"/>
  <c r="N260" i="23"/>
  <c r="M260" i="23"/>
  <c r="L260" i="23"/>
  <c r="K260" i="23"/>
  <c r="J260" i="23"/>
  <c r="I260" i="23"/>
  <c r="H260" i="23"/>
  <c r="G260" i="23"/>
  <c r="F260" i="23"/>
  <c r="E260" i="23"/>
  <c r="D260" i="23"/>
  <c r="C260" i="23"/>
  <c r="B260" i="23"/>
  <c r="A260" i="23"/>
  <c r="AE259" i="23"/>
  <c r="AD259" i="23"/>
  <c r="AC259" i="23"/>
  <c r="AB259" i="23"/>
  <c r="AA259" i="23"/>
  <c r="Z259" i="23"/>
  <c r="Y259" i="23"/>
  <c r="X259" i="23"/>
  <c r="W259" i="23"/>
  <c r="V259" i="23"/>
  <c r="U259" i="23"/>
  <c r="T259" i="23"/>
  <c r="S259" i="23"/>
  <c r="R259" i="23"/>
  <c r="Q259" i="23"/>
  <c r="P259" i="23"/>
  <c r="C259" i="23"/>
  <c r="B259" i="23"/>
  <c r="S234" i="23"/>
  <c r="AG224" i="23"/>
  <c r="AF224" i="23"/>
  <c r="AE224" i="23"/>
  <c r="AD224" i="23"/>
  <c r="AC224" i="23"/>
  <c r="AB224" i="23"/>
  <c r="AA224" i="23"/>
  <c r="Z224" i="23"/>
  <c r="Y224" i="23"/>
  <c r="X224" i="23"/>
  <c r="W224" i="23"/>
  <c r="V224" i="23"/>
  <c r="U224" i="23"/>
  <c r="T224" i="23"/>
  <c r="S224" i="23"/>
  <c r="R224" i="23"/>
  <c r="Q224" i="23"/>
  <c r="C224" i="23"/>
  <c r="D223" i="23"/>
  <c r="E223" i="23" s="1"/>
  <c r="B223" i="23"/>
  <c r="AF259" i="23" s="1"/>
  <c r="D222" i="23"/>
  <c r="E222" i="23" s="1"/>
  <c r="F222" i="23" s="1"/>
  <c r="G222" i="23" s="1"/>
  <c r="H222" i="23" s="1"/>
  <c r="I222" i="23" s="1"/>
  <c r="J222" i="23" s="1"/>
  <c r="K222" i="23" s="1"/>
  <c r="L222" i="23" s="1"/>
  <c r="M222" i="23" s="1"/>
  <c r="N222" i="23" s="1"/>
  <c r="O222" i="23" s="1"/>
  <c r="P222" i="23" s="1"/>
  <c r="B222" i="23"/>
  <c r="D221" i="23"/>
  <c r="E221" i="23" s="1"/>
  <c r="F221" i="23" s="1"/>
  <c r="G221" i="23" s="1"/>
  <c r="H221" i="23" s="1"/>
  <c r="I221" i="23" s="1"/>
  <c r="J221" i="23" s="1"/>
  <c r="K221" i="23" s="1"/>
  <c r="L221" i="23" s="1"/>
  <c r="M221" i="23" s="1"/>
  <c r="N221" i="23" s="1"/>
  <c r="O221" i="23" s="1"/>
  <c r="P221" i="23" s="1"/>
  <c r="B221" i="23"/>
  <c r="E220" i="23"/>
  <c r="F220" i="23" s="1"/>
  <c r="G220" i="23" s="1"/>
  <c r="H220" i="23" s="1"/>
  <c r="I220" i="23" s="1"/>
  <c r="J220" i="23" s="1"/>
  <c r="K220" i="23" s="1"/>
  <c r="L220" i="23" s="1"/>
  <c r="M220" i="23" s="1"/>
  <c r="N220" i="23" s="1"/>
  <c r="O220" i="23" s="1"/>
  <c r="P220" i="23" s="1"/>
  <c r="D220" i="23"/>
  <c r="B220" i="23"/>
  <c r="D219" i="23"/>
  <c r="E219" i="23" s="1"/>
  <c r="F219" i="23" s="1"/>
  <c r="G219" i="23" s="1"/>
  <c r="H219" i="23" s="1"/>
  <c r="I219" i="23" s="1"/>
  <c r="J219" i="23" s="1"/>
  <c r="K219" i="23" s="1"/>
  <c r="L219" i="23" s="1"/>
  <c r="M219" i="23" s="1"/>
  <c r="N219" i="23" s="1"/>
  <c r="O219" i="23" s="1"/>
  <c r="P219" i="23" s="1"/>
  <c r="B219" i="23"/>
  <c r="D218" i="23"/>
  <c r="B218" i="23"/>
  <c r="B100" i="23" s="1"/>
  <c r="AG216" i="23"/>
  <c r="AF216" i="23"/>
  <c r="AE216" i="23"/>
  <c r="AD216" i="23"/>
  <c r="AC216" i="23"/>
  <c r="AB216" i="23"/>
  <c r="AA216" i="23"/>
  <c r="Z216" i="23"/>
  <c r="Y216" i="23"/>
  <c r="X216" i="23"/>
  <c r="W216" i="23"/>
  <c r="V216" i="23"/>
  <c r="U216" i="23"/>
  <c r="T216" i="23"/>
  <c r="S216" i="23"/>
  <c r="R216" i="23"/>
  <c r="Q216" i="23"/>
  <c r="P216" i="23"/>
  <c r="O216" i="23"/>
  <c r="N216" i="23"/>
  <c r="M216" i="23"/>
  <c r="L216" i="23"/>
  <c r="K216" i="23"/>
  <c r="J216" i="23"/>
  <c r="I216" i="23"/>
  <c r="H216" i="23"/>
  <c r="G216" i="23"/>
  <c r="F216" i="23"/>
  <c r="E216" i="23"/>
  <c r="D216" i="23"/>
  <c r="C216" i="23"/>
  <c r="B216" i="23"/>
  <c r="AI109" i="23"/>
  <c r="AH109" i="23"/>
  <c r="AI108" i="23"/>
  <c r="AH108" i="23"/>
  <c r="AI107" i="23"/>
  <c r="AH107" i="23"/>
  <c r="AI106" i="23"/>
  <c r="AH106" i="23"/>
  <c r="AI105" i="23"/>
  <c r="AH105" i="23"/>
  <c r="AI104" i="23"/>
  <c r="AH104" i="23"/>
  <c r="AI102" i="23"/>
  <c r="AH102" i="23"/>
  <c r="AI101" i="23"/>
  <c r="AH101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C100" i="23"/>
  <c r="AI99" i="23"/>
  <c r="AH99" i="23"/>
  <c r="AI98" i="23"/>
  <c r="AH98" i="23"/>
  <c r="AI97" i="23"/>
  <c r="AH97" i="23"/>
  <c r="AI96" i="23"/>
  <c r="AH96" i="23"/>
  <c r="AI95" i="23"/>
  <c r="AH95" i="23"/>
  <c r="AI94" i="23"/>
  <c r="AH94" i="23"/>
  <c r="AI93" i="23"/>
  <c r="AH93" i="23"/>
  <c r="AI92" i="23"/>
  <c r="AH92" i="23"/>
  <c r="AI91" i="23"/>
  <c r="AH91" i="23"/>
  <c r="AI88" i="23"/>
  <c r="AH88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J86" i="23"/>
  <c r="I86" i="23"/>
  <c r="H86" i="23"/>
  <c r="G86" i="23"/>
  <c r="F86" i="23"/>
  <c r="E86" i="23"/>
  <c r="D86" i="23"/>
  <c r="C86" i="23"/>
  <c r="B86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AF83" i="23"/>
  <c r="AE83" i="23"/>
  <c r="AD83" i="23"/>
  <c r="AC83" i="23"/>
  <c r="AB83" i="23"/>
  <c r="AA83" i="23"/>
  <c r="Z83" i="23"/>
  <c r="Y83" i="23"/>
  <c r="X83" i="23"/>
  <c r="W83" i="23"/>
  <c r="W89" i="23" s="1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AI80" i="23"/>
  <c r="AH80" i="23"/>
  <c r="AI78" i="23"/>
  <c r="AH78" i="23"/>
  <c r="AG78" i="23"/>
  <c r="AI77" i="23"/>
  <c r="AH77" i="23"/>
  <c r="AI76" i="23"/>
  <c r="AH76" i="23"/>
  <c r="AI75" i="23"/>
  <c r="AH75" i="23"/>
  <c r="AG74" i="23"/>
  <c r="AF74" i="23"/>
  <c r="AE5" i="23" s="1"/>
  <c r="AE74" i="23"/>
  <c r="AD5" i="23" s="1"/>
  <c r="AD74" i="23"/>
  <c r="AC74" i="23"/>
  <c r="AB5" i="23" s="1"/>
  <c r="AB74" i="23"/>
  <c r="AA5" i="23" s="1"/>
  <c r="AA74" i="23"/>
  <c r="Z74" i="23"/>
  <c r="Y5" i="23" s="1"/>
  <c r="Y74" i="23"/>
  <c r="X74" i="23"/>
  <c r="W74" i="23"/>
  <c r="V5" i="23" s="1"/>
  <c r="V74" i="23"/>
  <c r="U74" i="23"/>
  <c r="T74" i="23"/>
  <c r="S5" i="23" s="1"/>
  <c r="S74" i="23"/>
  <c r="R74" i="23"/>
  <c r="Q5" i="23" s="1"/>
  <c r="Q74" i="23"/>
  <c r="P5" i="23" s="1"/>
  <c r="P74" i="23"/>
  <c r="O5" i="23" s="1"/>
  <c r="O74" i="23"/>
  <c r="N5" i="23" s="1"/>
  <c r="N74" i="23"/>
  <c r="M74" i="23"/>
  <c r="L5" i="23" s="1"/>
  <c r="L74" i="23"/>
  <c r="J74" i="23"/>
  <c r="I74" i="23"/>
  <c r="H74" i="23"/>
  <c r="G74" i="23"/>
  <c r="F5" i="23" s="1"/>
  <c r="F74" i="23"/>
  <c r="E5" i="23" s="1"/>
  <c r="E74" i="23"/>
  <c r="D5" i="23" s="1"/>
  <c r="D74" i="23"/>
  <c r="C74" i="23"/>
  <c r="B74" i="23"/>
  <c r="AI73" i="23"/>
  <c r="AH73" i="23"/>
  <c r="AI72" i="23"/>
  <c r="AH72" i="23"/>
  <c r="AI71" i="23"/>
  <c r="AH71" i="23"/>
  <c r="AI70" i="23"/>
  <c r="AH70" i="23"/>
  <c r="AI69" i="23"/>
  <c r="AH69" i="23"/>
  <c r="AI68" i="23"/>
  <c r="AH68" i="23"/>
  <c r="AI67" i="23"/>
  <c r="AH67" i="23"/>
  <c r="AI66" i="23"/>
  <c r="AH66" i="23"/>
  <c r="AH65" i="23"/>
  <c r="AI64" i="23"/>
  <c r="AH64" i="23"/>
  <c r="AI63" i="23"/>
  <c r="AH63" i="23"/>
  <c r="AG62" i="23"/>
  <c r="AF62" i="23"/>
  <c r="AE62" i="23"/>
  <c r="AD62" i="23"/>
  <c r="AC62" i="23"/>
  <c r="AB62" i="23"/>
  <c r="AA62" i="23"/>
  <c r="Z62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AI61" i="23"/>
  <c r="AH61" i="23"/>
  <c r="AI60" i="23"/>
  <c r="AH60" i="23"/>
  <c r="AI59" i="23"/>
  <c r="AH59" i="23"/>
  <c r="AF58" i="23"/>
  <c r="AE58" i="23"/>
  <c r="AD58" i="23"/>
  <c r="AC58" i="23"/>
  <c r="AB58" i="23"/>
  <c r="AA58" i="23"/>
  <c r="Z58" i="23"/>
  <c r="Y58" i="23"/>
  <c r="X58" i="23"/>
  <c r="W58" i="23"/>
  <c r="V58" i="23"/>
  <c r="U58" i="23"/>
  <c r="T58" i="23"/>
  <c r="S58" i="23"/>
  <c r="R58" i="23"/>
  <c r="Q58" i="23"/>
  <c r="P58" i="23"/>
  <c r="O58" i="23"/>
  <c r="N58" i="23"/>
  <c r="M58" i="23"/>
  <c r="L58" i="23"/>
  <c r="K58" i="23"/>
  <c r="J58" i="23"/>
  <c r="I58" i="23"/>
  <c r="H58" i="23"/>
  <c r="G58" i="23"/>
  <c r="F58" i="23"/>
  <c r="E58" i="23"/>
  <c r="D58" i="23"/>
  <c r="C58" i="23"/>
  <c r="B58" i="23"/>
  <c r="AI57" i="23"/>
  <c r="AH57" i="23"/>
  <c r="AG57" i="23"/>
  <c r="AG58" i="23" s="1"/>
  <c r="AG3" i="23" s="1"/>
  <c r="AI56" i="23"/>
  <c r="AH56" i="23"/>
  <c r="AI55" i="23"/>
  <c r="AH55" i="23"/>
  <c r="AI54" i="23"/>
  <c r="AH54" i="23"/>
  <c r="AI53" i="23"/>
  <c r="AH53" i="23"/>
  <c r="AI52" i="23"/>
  <c r="AH52" i="23"/>
  <c r="AI51" i="23"/>
  <c r="AH51" i="23"/>
  <c r="AI50" i="23"/>
  <c r="AH50" i="23"/>
  <c r="AI49" i="23"/>
  <c r="AH49" i="23"/>
  <c r="AI48" i="23"/>
  <c r="AH48" i="23"/>
  <c r="AI47" i="23"/>
  <c r="AH47" i="23"/>
  <c r="AI46" i="23"/>
  <c r="AH46" i="23"/>
  <c r="AI45" i="23"/>
  <c r="AH45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AI43" i="23"/>
  <c r="AH43" i="23"/>
  <c r="AI42" i="23"/>
  <c r="AH42" i="23"/>
  <c r="AI41" i="23"/>
  <c r="AH41" i="23"/>
  <c r="AG40" i="23"/>
  <c r="AG2" i="23" s="1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Q79" i="23" s="1"/>
  <c r="Q81" i="23" s="1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AI38" i="23"/>
  <c r="AH38" i="23"/>
  <c r="AI37" i="23"/>
  <c r="AH37" i="23"/>
  <c r="AI36" i="23"/>
  <c r="AH36" i="23"/>
  <c r="AI35" i="23"/>
  <c r="AH35" i="23"/>
  <c r="AI34" i="23"/>
  <c r="AH34" i="23"/>
  <c r="AI33" i="23"/>
  <c r="AH33" i="23"/>
  <c r="AI32" i="23"/>
  <c r="AH32" i="23"/>
  <c r="AI31" i="23"/>
  <c r="AH31" i="23"/>
  <c r="AI30" i="23"/>
  <c r="AH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AI23" i="23"/>
  <c r="AH23" i="23"/>
  <c r="AI22" i="23"/>
  <c r="AH22" i="23"/>
  <c r="AI21" i="23"/>
  <c r="AH21" i="23"/>
  <c r="AI20" i="23"/>
  <c r="AH20" i="23"/>
  <c r="AI19" i="23"/>
  <c r="AH19" i="23"/>
  <c r="AI18" i="23"/>
  <c r="AH18" i="23"/>
  <c r="AI17" i="23"/>
  <c r="AH17" i="23"/>
  <c r="AI16" i="23"/>
  <c r="AH16" i="23"/>
  <c r="AI15" i="23"/>
  <c r="AH15" i="23"/>
  <c r="AI14" i="23"/>
  <c r="AH14" i="23"/>
  <c r="AI13" i="23"/>
  <c r="AH13" i="23"/>
  <c r="AI12" i="23"/>
  <c r="AH12" i="23"/>
  <c r="AI11" i="23"/>
  <c r="AH11" i="23"/>
  <c r="AC5" i="23"/>
  <c r="X5" i="23"/>
  <c r="W5" i="23"/>
  <c r="U5" i="23"/>
  <c r="T5" i="23"/>
  <c r="I5" i="23"/>
  <c r="H5" i="23"/>
  <c r="G5" i="23"/>
  <c r="AG4" i="23"/>
  <c r="K4" i="23"/>
  <c r="B4" i="23"/>
  <c r="S235" i="23" s="1"/>
  <c r="AC103" i="22"/>
  <c r="AC39" i="22"/>
  <c r="AA39" i="22"/>
  <c r="Z103" i="22"/>
  <c r="Z100" i="22" s="1"/>
  <c r="Z39" i="22"/>
  <c r="Y103" i="22"/>
  <c r="Y39" i="22"/>
  <c r="X39" i="22"/>
  <c r="X103" i="22"/>
  <c r="W103" i="22"/>
  <c r="V74" i="22"/>
  <c r="W39" i="22"/>
  <c r="V39" i="22"/>
  <c r="U39" i="22"/>
  <c r="T39" i="22"/>
  <c r="S39" i="22"/>
  <c r="R39" i="22"/>
  <c r="O39" i="22"/>
  <c r="P39" i="22"/>
  <c r="Q39" i="22"/>
  <c r="R103" i="22"/>
  <c r="P103" i="22"/>
  <c r="Q103" i="22"/>
  <c r="Q100" i="22" s="1"/>
  <c r="O103" i="22"/>
  <c r="N103" i="22"/>
  <c r="N39" i="22"/>
  <c r="M103" i="22"/>
  <c r="M91" i="22"/>
  <c r="AI91" i="22" s="1"/>
  <c r="L103" i="22"/>
  <c r="L39" i="22"/>
  <c r="K103" i="22"/>
  <c r="K39" i="22"/>
  <c r="J103" i="22"/>
  <c r="J39" i="22"/>
  <c r="I103" i="22"/>
  <c r="I39" i="22"/>
  <c r="H103" i="22"/>
  <c r="H39" i="22"/>
  <c r="G103" i="22"/>
  <c r="G39" i="22"/>
  <c r="F103" i="22"/>
  <c r="F39" i="22"/>
  <c r="E103" i="22"/>
  <c r="E39" i="22"/>
  <c r="D103" i="22"/>
  <c r="D39" i="22"/>
  <c r="C103" i="22"/>
  <c r="AI103" i="22" s="1"/>
  <c r="C39" i="22"/>
  <c r="B103" i="22"/>
  <c r="AF263" i="22"/>
  <c r="AE263" i="22"/>
  <c r="AD263" i="22"/>
  <c r="AC263" i="22"/>
  <c r="AB263" i="22"/>
  <c r="AA263" i="22"/>
  <c r="Z263" i="22"/>
  <c r="Y263" i="22"/>
  <c r="X263" i="22"/>
  <c r="W263" i="22"/>
  <c r="V263" i="22"/>
  <c r="U263" i="22"/>
  <c r="T263" i="22"/>
  <c r="S263" i="22"/>
  <c r="R263" i="22"/>
  <c r="Q263" i="22"/>
  <c r="P263" i="22"/>
  <c r="O263" i="22"/>
  <c r="N263" i="22"/>
  <c r="M263" i="22"/>
  <c r="L263" i="22"/>
  <c r="K263" i="22"/>
  <c r="J263" i="22"/>
  <c r="I263" i="22"/>
  <c r="H263" i="22"/>
  <c r="G263" i="22"/>
  <c r="F263" i="22"/>
  <c r="E263" i="22"/>
  <c r="D263" i="22"/>
  <c r="C263" i="22"/>
  <c r="B263" i="22"/>
  <c r="A263" i="22"/>
  <c r="AF262" i="22"/>
  <c r="AE262" i="22"/>
  <c r="AD262" i="22"/>
  <c r="AC262" i="22"/>
  <c r="AB262" i="22"/>
  <c r="AA262" i="22"/>
  <c r="Z262" i="22"/>
  <c r="Y262" i="22"/>
  <c r="X262" i="22"/>
  <c r="W262" i="22"/>
  <c r="V262" i="22"/>
  <c r="U262" i="22"/>
  <c r="T262" i="22"/>
  <c r="S262" i="22"/>
  <c r="R262" i="22"/>
  <c r="Q262" i="22"/>
  <c r="P262" i="22"/>
  <c r="O262" i="22"/>
  <c r="N262" i="22"/>
  <c r="M262" i="22"/>
  <c r="L262" i="22"/>
  <c r="K262" i="22"/>
  <c r="J262" i="22"/>
  <c r="I262" i="22"/>
  <c r="H262" i="22"/>
  <c r="G262" i="22"/>
  <c r="F262" i="22"/>
  <c r="E262" i="22"/>
  <c r="D262" i="22"/>
  <c r="C262" i="22"/>
  <c r="B262" i="22"/>
  <c r="A262" i="22"/>
  <c r="AF261" i="22"/>
  <c r="AE261" i="22"/>
  <c r="AD261" i="22"/>
  <c r="AC261" i="22"/>
  <c r="AB261" i="22"/>
  <c r="AA261" i="22"/>
  <c r="Z261" i="22"/>
  <c r="Y261" i="22"/>
  <c r="X261" i="22"/>
  <c r="W261" i="22"/>
  <c r="V261" i="22"/>
  <c r="U261" i="22"/>
  <c r="T261" i="22"/>
  <c r="S261" i="22"/>
  <c r="R261" i="22"/>
  <c r="Q261" i="22"/>
  <c r="P261" i="22"/>
  <c r="O261" i="22"/>
  <c r="N261" i="22"/>
  <c r="M261" i="22"/>
  <c r="L261" i="22"/>
  <c r="K261" i="22"/>
  <c r="J261" i="22"/>
  <c r="I261" i="22"/>
  <c r="H261" i="22"/>
  <c r="G261" i="22"/>
  <c r="F261" i="22"/>
  <c r="E261" i="22"/>
  <c r="D261" i="22"/>
  <c r="C261" i="22"/>
  <c r="B261" i="22"/>
  <c r="A261" i="22"/>
  <c r="AF260" i="22"/>
  <c r="AE260" i="22"/>
  <c r="AD260" i="22"/>
  <c r="AC260" i="22"/>
  <c r="AB260" i="22"/>
  <c r="AA260" i="22"/>
  <c r="Z260" i="22"/>
  <c r="Y260" i="22"/>
  <c r="X260" i="22"/>
  <c r="W260" i="22"/>
  <c r="V260" i="22"/>
  <c r="U260" i="22"/>
  <c r="T260" i="22"/>
  <c r="S260" i="22"/>
  <c r="R260" i="22"/>
  <c r="Q260" i="22"/>
  <c r="P260" i="22"/>
  <c r="O260" i="22"/>
  <c r="N260" i="22"/>
  <c r="M260" i="22"/>
  <c r="L260" i="22"/>
  <c r="K260" i="22"/>
  <c r="J260" i="22"/>
  <c r="I260" i="22"/>
  <c r="H260" i="22"/>
  <c r="G260" i="22"/>
  <c r="F260" i="22"/>
  <c r="E260" i="22"/>
  <c r="D260" i="22"/>
  <c r="C260" i="22"/>
  <c r="B260" i="22"/>
  <c r="A260" i="22"/>
  <c r="AE259" i="22"/>
  <c r="AD259" i="22"/>
  <c r="AC259" i="22"/>
  <c r="AB259" i="22"/>
  <c r="AA259" i="22"/>
  <c r="Z259" i="22"/>
  <c r="Y259" i="22"/>
  <c r="X259" i="22"/>
  <c r="W259" i="22"/>
  <c r="V259" i="22"/>
  <c r="U259" i="22"/>
  <c r="T259" i="22"/>
  <c r="S259" i="22"/>
  <c r="R259" i="22"/>
  <c r="Q259" i="22"/>
  <c r="P259" i="22"/>
  <c r="B259" i="22"/>
  <c r="S234" i="22"/>
  <c r="AG224" i="22"/>
  <c r="AF224" i="22"/>
  <c r="AE224" i="22"/>
  <c r="AD224" i="22"/>
  <c r="AC224" i="22"/>
  <c r="AB224" i="22"/>
  <c r="AA224" i="22"/>
  <c r="Z224" i="22"/>
  <c r="Y224" i="22"/>
  <c r="X224" i="22"/>
  <c r="W224" i="22"/>
  <c r="V224" i="22"/>
  <c r="U224" i="22"/>
  <c r="T224" i="22"/>
  <c r="S224" i="22"/>
  <c r="R224" i="22"/>
  <c r="Q224" i="22"/>
  <c r="C224" i="22"/>
  <c r="F223" i="22"/>
  <c r="E259" i="22" s="1"/>
  <c r="E223" i="22"/>
  <c r="D259" i="22" s="1"/>
  <c r="D223" i="22"/>
  <c r="C259" i="22" s="1"/>
  <c r="B223" i="22"/>
  <c r="AF259" i="22" s="1"/>
  <c r="D222" i="22"/>
  <c r="E222" i="22" s="1"/>
  <c r="F222" i="22" s="1"/>
  <c r="G222" i="22" s="1"/>
  <c r="H222" i="22" s="1"/>
  <c r="I222" i="22" s="1"/>
  <c r="J222" i="22" s="1"/>
  <c r="K222" i="22" s="1"/>
  <c r="L222" i="22" s="1"/>
  <c r="M222" i="22" s="1"/>
  <c r="N222" i="22" s="1"/>
  <c r="O222" i="22" s="1"/>
  <c r="P222" i="22" s="1"/>
  <c r="B222" i="22"/>
  <c r="D221" i="22"/>
  <c r="E221" i="22" s="1"/>
  <c r="F221" i="22" s="1"/>
  <c r="G221" i="22" s="1"/>
  <c r="H221" i="22" s="1"/>
  <c r="I221" i="22" s="1"/>
  <c r="J221" i="22" s="1"/>
  <c r="K221" i="22" s="1"/>
  <c r="L221" i="22" s="1"/>
  <c r="M221" i="22" s="1"/>
  <c r="N221" i="22" s="1"/>
  <c r="O221" i="22" s="1"/>
  <c r="P221" i="22" s="1"/>
  <c r="B221" i="22"/>
  <c r="D220" i="22"/>
  <c r="B220" i="22"/>
  <c r="E219" i="22"/>
  <c r="F219" i="22" s="1"/>
  <c r="G219" i="22" s="1"/>
  <c r="H219" i="22" s="1"/>
  <c r="I219" i="22" s="1"/>
  <c r="J219" i="22" s="1"/>
  <c r="K219" i="22" s="1"/>
  <c r="L219" i="22" s="1"/>
  <c r="M219" i="22" s="1"/>
  <c r="N219" i="22" s="1"/>
  <c r="O219" i="22" s="1"/>
  <c r="P219" i="22" s="1"/>
  <c r="D219" i="22"/>
  <c r="B219" i="22"/>
  <c r="D218" i="22"/>
  <c r="D100" i="22" s="1"/>
  <c r="B218" i="22"/>
  <c r="B100" i="22" s="1"/>
  <c r="AG216" i="22"/>
  <c r="AF216" i="22"/>
  <c r="AE216" i="22"/>
  <c r="AD216" i="22"/>
  <c r="AC216" i="22"/>
  <c r="AB216" i="22"/>
  <c r="AA216" i="22"/>
  <c r="Z216" i="22"/>
  <c r="Y216" i="22"/>
  <c r="X216" i="22"/>
  <c r="W216" i="22"/>
  <c r="V216" i="22"/>
  <c r="U216" i="22"/>
  <c r="T216" i="22"/>
  <c r="S216" i="22"/>
  <c r="R216" i="22"/>
  <c r="Q216" i="22"/>
  <c r="P216" i="22"/>
  <c r="O216" i="22"/>
  <c r="N216" i="22"/>
  <c r="M216" i="22"/>
  <c r="L216" i="22"/>
  <c r="K216" i="22"/>
  <c r="J216" i="22"/>
  <c r="I216" i="22"/>
  <c r="H216" i="22"/>
  <c r="G216" i="22"/>
  <c r="F216" i="22"/>
  <c r="E216" i="22"/>
  <c r="D216" i="22"/>
  <c r="C216" i="22"/>
  <c r="B216" i="22"/>
  <c r="AI109" i="22"/>
  <c r="AH109" i="22"/>
  <c r="AI108" i="22"/>
  <c r="AH108" i="22"/>
  <c r="AI107" i="22"/>
  <c r="AH107" i="22"/>
  <c r="AI106" i="22"/>
  <c r="AH106" i="22"/>
  <c r="AI105" i="22"/>
  <c r="AH105" i="22"/>
  <c r="AI104" i="22"/>
  <c r="AH104" i="22"/>
  <c r="AI102" i="22"/>
  <c r="AH102" i="22"/>
  <c r="AI101" i="22"/>
  <c r="AH101" i="22"/>
  <c r="AF100" i="22"/>
  <c r="AE100" i="22"/>
  <c r="AD100" i="22"/>
  <c r="AC100" i="22"/>
  <c r="AB100" i="22"/>
  <c r="AA100" i="22"/>
  <c r="Y100" i="22"/>
  <c r="X100" i="22"/>
  <c r="W100" i="22"/>
  <c r="V100" i="22"/>
  <c r="U100" i="22"/>
  <c r="T100" i="22"/>
  <c r="S100" i="22"/>
  <c r="R100" i="22"/>
  <c r="C100" i="22"/>
  <c r="AI99" i="22"/>
  <c r="AH99" i="22"/>
  <c r="AI98" i="22"/>
  <c r="AH98" i="22"/>
  <c r="AI97" i="22"/>
  <c r="AH97" i="22"/>
  <c r="AI96" i="22"/>
  <c r="AH96" i="22"/>
  <c r="AI95" i="22"/>
  <c r="AH95" i="22"/>
  <c r="AI94" i="22"/>
  <c r="AH94" i="22"/>
  <c r="AI93" i="22"/>
  <c r="AH93" i="22"/>
  <c r="AI92" i="22"/>
  <c r="AH92" i="22"/>
  <c r="AI88" i="22"/>
  <c r="AH88" i="22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AF86" i="22"/>
  <c r="AE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AF83" i="22"/>
  <c r="AE83" i="22"/>
  <c r="AD83" i="22"/>
  <c r="AC83" i="22"/>
  <c r="AB83" i="22"/>
  <c r="AA83" i="22"/>
  <c r="Z83" i="22"/>
  <c r="Z89" i="22" s="1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AI80" i="22"/>
  <c r="AH80" i="22"/>
  <c r="AI78" i="22"/>
  <c r="AH78" i="22"/>
  <c r="AG78" i="22"/>
  <c r="AI77" i="22"/>
  <c r="AH77" i="22"/>
  <c r="AI76" i="22"/>
  <c r="AH76" i="22"/>
  <c r="AI75" i="22"/>
  <c r="AH75" i="22"/>
  <c r="AG74" i="22"/>
  <c r="AF74" i="22"/>
  <c r="AE74" i="22"/>
  <c r="AD5" i="22" s="1"/>
  <c r="AD74" i="22"/>
  <c r="AC5" i="22" s="1"/>
  <c r="AC74" i="22"/>
  <c r="AB5" i="22" s="1"/>
  <c r="AB74" i="22"/>
  <c r="AA5" i="22" s="1"/>
  <c r="AA74" i="22"/>
  <c r="Z5" i="22" s="1"/>
  <c r="Z74" i="22"/>
  <c r="Y5" i="22" s="1"/>
  <c r="Y74" i="22"/>
  <c r="X5" i="22" s="1"/>
  <c r="X74" i="22"/>
  <c r="W74" i="22"/>
  <c r="V5" i="22" s="1"/>
  <c r="U5" i="22"/>
  <c r="U74" i="22"/>
  <c r="T5" i="22" s="1"/>
  <c r="T74" i="22"/>
  <c r="S5" i="22" s="1"/>
  <c r="S74" i="22"/>
  <c r="R5" i="22" s="1"/>
  <c r="R74" i="22"/>
  <c r="Q5" i="22" s="1"/>
  <c r="Q74" i="22"/>
  <c r="P5" i="22" s="1"/>
  <c r="P74" i="22"/>
  <c r="O5" i="22" s="1"/>
  <c r="O74" i="22"/>
  <c r="N5" i="22" s="1"/>
  <c r="N74" i="22"/>
  <c r="M5" i="22" s="1"/>
  <c r="M74" i="22"/>
  <c r="L5" i="22" s="1"/>
  <c r="L74" i="22"/>
  <c r="K5" i="22" s="1"/>
  <c r="K74" i="22"/>
  <c r="J5" i="22" s="1"/>
  <c r="J74" i="22"/>
  <c r="I5" i="22" s="1"/>
  <c r="I74" i="22"/>
  <c r="H5" i="22" s="1"/>
  <c r="H74" i="22"/>
  <c r="G5" i="22" s="1"/>
  <c r="G74" i="22"/>
  <c r="F74" i="22"/>
  <c r="E5" i="22" s="1"/>
  <c r="E74" i="22"/>
  <c r="D5" i="22" s="1"/>
  <c r="D74" i="22"/>
  <c r="C5" i="22" s="1"/>
  <c r="C74" i="22"/>
  <c r="B74" i="22"/>
  <c r="AI73" i="22"/>
  <c r="AH73" i="22"/>
  <c r="AI72" i="22"/>
  <c r="AH72" i="22"/>
  <c r="AI71" i="22"/>
  <c r="AH71" i="22"/>
  <c r="AI70" i="22"/>
  <c r="AH70" i="22"/>
  <c r="AI69" i="22"/>
  <c r="AH69" i="22"/>
  <c r="AI68" i="22"/>
  <c r="AH68" i="22"/>
  <c r="AI67" i="22"/>
  <c r="AH67" i="22"/>
  <c r="AI66" i="22"/>
  <c r="AH66" i="22"/>
  <c r="AI65" i="22"/>
  <c r="AH65" i="22"/>
  <c r="AI64" i="22"/>
  <c r="AH64" i="22"/>
  <c r="AI63" i="22"/>
  <c r="AH63" i="22"/>
  <c r="AG62" i="22"/>
  <c r="AF62" i="22"/>
  <c r="AE62" i="22"/>
  <c r="AD62" i="22"/>
  <c r="AC62" i="22"/>
  <c r="AB62" i="22"/>
  <c r="AA62" i="22"/>
  <c r="Z62" i="22"/>
  <c r="Y62" i="22"/>
  <c r="X62" i="22"/>
  <c r="W62" i="22"/>
  <c r="V62" i="22"/>
  <c r="U62" i="22"/>
  <c r="T62" i="22"/>
  <c r="S62" i="22"/>
  <c r="R62" i="22"/>
  <c r="Q62" i="22"/>
  <c r="P62" i="22"/>
  <c r="O62" i="22"/>
  <c r="N62" i="22"/>
  <c r="M62" i="22"/>
  <c r="L62" i="22"/>
  <c r="K62" i="22"/>
  <c r="J62" i="22"/>
  <c r="I62" i="22"/>
  <c r="H62" i="22"/>
  <c r="G62" i="22"/>
  <c r="F62" i="22"/>
  <c r="E62" i="22"/>
  <c r="D62" i="22"/>
  <c r="C62" i="22"/>
  <c r="B62" i="22"/>
  <c r="AI61" i="22"/>
  <c r="AH61" i="22"/>
  <c r="AI60" i="22"/>
  <c r="AH60" i="22"/>
  <c r="AI59" i="22"/>
  <c r="AH59" i="22"/>
  <c r="AF58" i="22"/>
  <c r="AE58" i="22"/>
  <c r="AD58" i="22"/>
  <c r="AC58" i="22"/>
  <c r="AB58" i="22"/>
  <c r="AA58" i="22"/>
  <c r="Z58" i="22"/>
  <c r="Y58" i="22"/>
  <c r="X58" i="22"/>
  <c r="W58" i="22"/>
  <c r="V58" i="22"/>
  <c r="U58" i="22"/>
  <c r="T58" i="22"/>
  <c r="S58" i="22"/>
  <c r="R58" i="22"/>
  <c r="Q58" i="22"/>
  <c r="P58" i="22"/>
  <c r="O58" i="22"/>
  <c r="N58" i="22"/>
  <c r="M58" i="22"/>
  <c r="L58" i="22"/>
  <c r="K58" i="22"/>
  <c r="J58" i="22"/>
  <c r="I58" i="22"/>
  <c r="H58" i="22"/>
  <c r="G58" i="22"/>
  <c r="F58" i="22"/>
  <c r="E58" i="22"/>
  <c r="D58" i="22"/>
  <c r="C58" i="22"/>
  <c r="B58" i="22"/>
  <c r="AI57" i="22"/>
  <c r="AH57" i="22"/>
  <c r="AG57" i="22"/>
  <c r="AG58" i="22" s="1"/>
  <c r="AI56" i="22"/>
  <c r="AH56" i="22"/>
  <c r="AI55" i="22"/>
  <c r="AH55" i="22"/>
  <c r="AI54" i="22"/>
  <c r="AH54" i="22"/>
  <c r="AI53" i="22"/>
  <c r="AH53" i="22"/>
  <c r="AI52" i="22"/>
  <c r="AH52" i="22"/>
  <c r="AI51" i="22"/>
  <c r="AH51" i="22"/>
  <c r="AI50" i="22"/>
  <c r="AH50" i="22"/>
  <c r="AI49" i="22"/>
  <c r="AH49" i="22"/>
  <c r="AI48" i="22"/>
  <c r="AH48" i="22"/>
  <c r="AI47" i="22"/>
  <c r="AH47" i="22"/>
  <c r="AI46" i="22"/>
  <c r="AH46" i="22"/>
  <c r="AI45" i="22"/>
  <c r="AH45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AI43" i="22"/>
  <c r="AH43" i="22"/>
  <c r="AI42" i="22"/>
  <c r="AH42" i="22"/>
  <c r="AI41" i="22"/>
  <c r="AH41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AI38" i="22"/>
  <c r="AH38" i="22"/>
  <c r="AI37" i="22"/>
  <c r="AH37" i="22"/>
  <c r="AI36" i="22"/>
  <c r="AH36" i="22"/>
  <c r="AI35" i="22"/>
  <c r="AH35" i="22"/>
  <c r="AI34" i="22"/>
  <c r="AH34" i="22"/>
  <c r="AI33" i="22"/>
  <c r="AH33" i="22"/>
  <c r="AI32" i="22"/>
  <c r="AH32" i="22"/>
  <c r="AI31" i="22"/>
  <c r="AH31" i="22"/>
  <c r="AI30" i="22"/>
  <c r="AH30" i="22"/>
  <c r="AI29" i="22"/>
  <c r="AH29" i="22"/>
  <c r="AI28" i="22"/>
  <c r="AH28" i="22"/>
  <c r="AI27" i="22"/>
  <c r="AH27" i="22"/>
  <c r="AI26" i="22"/>
  <c r="AH26" i="22"/>
  <c r="AI25" i="22"/>
  <c r="AH25" i="22"/>
  <c r="AI24" i="22"/>
  <c r="AH24" i="22"/>
  <c r="AI23" i="22"/>
  <c r="AH23" i="22"/>
  <c r="AI22" i="22"/>
  <c r="AH22" i="22"/>
  <c r="AI21" i="22"/>
  <c r="AH21" i="22"/>
  <c r="AI20" i="22"/>
  <c r="AH20" i="22"/>
  <c r="AI19" i="22"/>
  <c r="AH19" i="22"/>
  <c r="AI18" i="22"/>
  <c r="AH18" i="22"/>
  <c r="AI17" i="22"/>
  <c r="AH17" i="22"/>
  <c r="AI16" i="22"/>
  <c r="AH16" i="22"/>
  <c r="AI15" i="22"/>
  <c r="AH15" i="22"/>
  <c r="AI14" i="22"/>
  <c r="AH14" i="22"/>
  <c r="AI13" i="22"/>
  <c r="AH13" i="22"/>
  <c r="AI12" i="22"/>
  <c r="AH12" i="22"/>
  <c r="AI11" i="22"/>
  <c r="AH11" i="22"/>
  <c r="AE5" i="22"/>
  <c r="AG4" i="22"/>
  <c r="K4" i="22"/>
  <c r="B4" i="22"/>
  <c r="S235" i="22" s="1"/>
  <c r="AF103" i="21"/>
  <c r="AF39" i="21"/>
  <c r="AE103" i="21"/>
  <c r="AE100" i="21" s="1"/>
  <c r="AE39" i="21"/>
  <c r="AD103" i="21"/>
  <c r="AD39" i="21"/>
  <c r="AC103" i="21"/>
  <c r="AC39" i="21"/>
  <c r="AB103" i="21"/>
  <c r="AB39" i="21"/>
  <c r="Z103" i="21"/>
  <c r="Z100" i="21" s="1"/>
  <c r="Z39" i="21"/>
  <c r="Y103" i="21"/>
  <c r="Y39" i="21"/>
  <c r="X103" i="21"/>
  <c r="X39" i="21"/>
  <c r="V103" i="21"/>
  <c r="V39" i="21"/>
  <c r="U103" i="21"/>
  <c r="AH103" i="21" s="1"/>
  <c r="S106" i="21"/>
  <c r="T103" i="21"/>
  <c r="T39" i="21"/>
  <c r="R39" i="21"/>
  <c r="Q39" i="21"/>
  <c r="P39" i="21"/>
  <c r="O103" i="21"/>
  <c r="O39" i="21"/>
  <c r="N39" i="21"/>
  <c r="M103" i="21"/>
  <c r="M39" i="21"/>
  <c r="L39" i="21"/>
  <c r="K39" i="21"/>
  <c r="J39" i="21"/>
  <c r="I39" i="21"/>
  <c r="H39" i="21"/>
  <c r="G39" i="21"/>
  <c r="E39" i="21"/>
  <c r="D103" i="21"/>
  <c r="D39" i="21"/>
  <c r="C39" i="21"/>
  <c r="AI39" i="21" s="1"/>
  <c r="AK84" i="21"/>
  <c r="C103" i="21"/>
  <c r="C62" i="21"/>
  <c r="B103" i="21"/>
  <c r="B39" i="21"/>
  <c r="B87" i="21"/>
  <c r="B86" i="21"/>
  <c r="B85" i="21"/>
  <c r="B84" i="21"/>
  <c r="B83" i="21"/>
  <c r="B74" i="21"/>
  <c r="B62" i="21"/>
  <c r="B58" i="21"/>
  <c r="B44" i="21"/>
  <c r="B40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B259" i="21"/>
  <c r="S234" i="21"/>
  <c r="AG224" i="21"/>
  <c r="AG57" i="21" s="1"/>
  <c r="AG58" i="21" s="1"/>
  <c r="AG3" i="21" s="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C224" i="21"/>
  <c r="D223" i="21"/>
  <c r="C259" i="21" s="1"/>
  <c r="B223" i="21"/>
  <c r="AF259" i="21" s="1"/>
  <c r="D222" i="21"/>
  <c r="E222" i="21" s="1"/>
  <c r="F222" i="21" s="1"/>
  <c r="G222" i="21" s="1"/>
  <c r="H222" i="21" s="1"/>
  <c r="I222" i="21" s="1"/>
  <c r="J222" i="21" s="1"/>
  <c r="K222" i="21" s="1"/>
  <c r="L222" i="21" s="1"/>
  <c r="M222" i="21" s="1"/>
  <c r="N222" i="21" s="1"/>
  <c r="O222" i="21" s="1"/>
  <c r="P222" i="21" s="1"/>
  <c r="B222" i="21"/>
  <c r="D221" i="21"/>
  <c r="E221" i="21" s="1"/>
  <c r="F221" i="21" s="1"/>
  <c r="G221" i="21" s="1"/>
  <c r="H221" i="21" s="1"/>
  <c r="I221" i="21" s="1"/>
  <c r="J221" i="21" s="1"/>
  <c r="K221" i="21" s="1"/>
  <c r="L221" i="21" s="1"/>
  <c r="M221" i="21" s="1"/>
  <c r="N221" i="21" s="1"/>
  <c r="O221" i="21" s="1"/>
  <c r="P221" i="21" s="1"/>
  <c r="B221" i="21"/>
  <c r="D220" i="21"/>
  <c r="E220" i="21" s="1"/>
  <c r="F220" i="21" s="1"/>
  <c r="G220" i="21" s="1"/>
  <c r="H220" i="21" s="1"/>
  <c r="I220" i="21" s="1"/>
  <c r="J220" i="21" s="1"/>
  <c r="K220" i="21" s="1"/>
  <c r="L220" i="21" s="1"/>
  <c r="M220" i="21" s="1"/>
  <c r="N220" i="21" s="1"/>
  <c r="O220" i="21" s="1"/>
  <c r="P220" i="21" s="1"/>
  <c r="B220" i="21"/>
  <c r="D219" i="21"/>
  <c r="E219" i="21" s="1"/>
  <c r="B219" i="21"/>
  <c r="D218" i="21"/>
  <c r="D224" i="21" s="1"/>
  <c r="B218" i="21"/>
  <c r="B100" i="21" s="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I109" i="21"/>
  <c r="AH109" i="21"/>
  <c r="AI108" i="21"/>
  <c r="AH108" i="21"/>
  <c r="AI107" i="21"/>
  <c r="AH107" i="21"/>
  <c r="AI106" i="21"/>
  <c r="AH106" i="21"/>
  <c r="AI105" i="21"/>
  <c r="AH105" i="21"/>
  <c r="AI104" i="21"/>
  <c r="AH104" i="21"/>
  <c r="AI103" i="21"/>
  <c r="AI102" i="21"/>
  <c r="AH102" i="21"/>
  <c r="AI101" i="21"/>
  <c r="AH101" i="21"/>
  <c r="AF100" i="21"/>
  <c r="AD100" i="21"/>
  <c r="AC100" i="21"/>
  <c r="AB100" i="21"/>
  <c r="AA100" i="21"/>
  <c r="Y100" i="21"/>
  <c r="X100" i="21"/>
  <c r="W100" i="21"/>
  <c r="V100" i="21"/>
  <c r="T100" i="21"/>
  <c r="S100" i="21"/>
  <c r="R100" i="21"/>
  <c r="Q100" i="21"/>
  <c r="D100" i="21"/>
  <c r="C100" i="21"/>
  <c r="AI99" i="21"/>
  <c r="AH99" i="21"/>
  <c r="AI98" i="21"/>
  <c r="AH98" i="21"/>
  <c r="AI97" i="21"/>
  <c r="AH97" i="21"/>
  <c r="AI96" i="21"/>
  <c r="AH96" i="21"/>
  <c r="AI95" i="21"/>
  <c r="AH95" i="21"/>
  <c r="AI94" i="21"/>
  <c r="AH94" i="21"/>
  <c r="AI93" i="21"/>
  <c r="AH93" i="21"/>
  <c r="AI92" i="21"/>
  <c r="AH92" i="21"/>
  <c r="AI91" i="21"/>
  <c r="AH91" i="21"/>
  <c r="AI88" i="21"/>
  <c r="AH88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D89" i="21" s="1"/>
  <c r="C83" i="21"/>
  <c r="AI80" i="21"/>
  <c r="AH80" i="21"/>
  <c r="AI78" i="21"/>
  <c r="AH78" i="21"/>
  <c r="AG78" i="21"/>
  <c r="AI77" i="21"/>
  <c r="AH77" i="21"/>
  <c r="AI76" i="21"/>
  <c r="AH76" i="21"/>
  <c r="AI75" i="21"/>
  <c r="AH75" i="21"/>
  <c r="AG74" i="21"/>
  <c r="AF74" i="21"/>
  <c r="AE74" i="21"/>
  <c r="AD5" i="21" s="1"/>
  <c r="AD74" i="21"/>
  <c r="AC5" i="21" s="1"/>
  <c r="AC74" i="21"/>
  <c r="AB5" i="21" s="1"/>
  <c r="AB74" i="21"/>
  <c r="AA74" i="21"/>
  <c r="Z5" i="21" s="1"/>
  <c r="Z74" i="21"/>
  <c r="Y5" i="21" s="1"/>
  <c r="Y74" i="21"/>
  <c r="X5" i="21" s="1"/>
  <c r="X74" i="21"/>
  <c r="W74" i="21"/>
  <c r="V5" i="21" s="1"/>
  <c r="V74" i="21"/>
  <c r="U5" i="21" s="1"/>
  <c r="U74" i="21"/>
  <c r="T5" i="21" s="1"/>
  <c r="T74" i="21"/>
  <c r="S5" i="21" s="1"/>
  <c r="S74" i="21"/>
  <c r="R74" i="21"/>
  <c r="Q74" i="21"/>
  <c r="P74" i="21"/>
  <c r="O5" i="21" s="1"/>
  <c r="O74" i="21"/>
  <c r="N5" i="21" s="1"/>
  <c r="N74" i="21"/>
  <c r="M5" i="21" s="1"/>
  <c r="M74" i="21"/>
  <c r="L5" i="21" s="1"/>
  <c r="L74" i="21"/>
  <c r="K5" i="21" s="1"/>
  <c r="K74" i="21"/>
  <c r="J74" i="21"/>
  <c r="I74" i="21"/>
  <c r="H5" i="21" s="1"/>
  <c r="H74" i="21"/>
  <c r="G74" i="21"/>
  <c r="F5" i="21" s="1"/>
  <c r="F74" i="21"/>
  <c r="E5" i="21" s="1"/>
  <c r="E74" i="21"/>
  <c r="D5" i="21" s="1"/>
  <c r="D74" i="21"/>
  <c r="C5" i="21" s="1"/>
  <c r="C74" i="21"/>
  <c r="B5" i="21" s="1"/>
  <c r="AI73" i="21"/>
  <c r="AH73" i="21"/>
  <c r="AI72" i="21"/>
  <c r="AH72" i="21"/>
  <c r="AI71" i="21"/>
  <c r="AH71" i="21"/>
  <c r="AI70" i="21"/>
  <c r="AH70" i="21"/>
  <c r="AI69" i="21"/>
  <c r="AH69" i="21"/>
  <c r="AI68" i="21"/>
  <c r="AH68" i="21"/>
  <c r="AI67" i="21"/>
  <c r="AH67" i="21"/>
  <c r="AI66" i="21"/>
  <c r="AH66" i="21"/>
  <c r="AI65" i="21"/>
  <c r="AH65" i="21"/>
  <c r="AI64" i="21"/>
  <c r="AH64" i="21"/>
  <c r="AI63" i="21"/>
  <c r="AH63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AI61" i="21"/>
  <c r="AH61" i="21"/>
  <c r="AI60" i="21"/>
  <c r="AH60" i="21"/>
  <c r="AI59" i="21"/>
  <c r="AH59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AI57" i="21"/>
  <c r="AH57" i="21"/>
  <c r="AI56" i="21"/>
  <c r="AH56" i="21"/>
  <c r="AI55" i="21"/>
  <c r="AH55" i="21"/>
  <c r="AI54" i="21"/>
  <c r="AH54" i="21"/>
  <c r="AI53" i="21"/>
  <c r="AH53" i="21"/>
  <c r="AI52" i="21"/>
  <c r="AH52" i="21"/>
  <c r="AI51" i="21"/>
  <c r="AH51" i="21"/>
  <c r="AI50" i="21"/>
  <c r="AH50" i="21"/>
  <c r="AI49" i="21"/>
  <c r="AH49" i="21"/>
  <c r="AI48" i="21"/>
  <c r="AH48" i="21"/>
  <c r="AI47" i="21"/>
  <c r="AH47" i="21"/>
  <c r="AI46" i="21"/>
  <c r="AH46" i="21"/>
  <c r="AI45" i="21"/>
  <c r="AH45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AI43" i="21"/>
  <c r="AH43" i="21"/>
  <c r="AI42" i="21"/>
  <c r="AH42" i="21"/>
  <c r="AI41" i="21"/>
  <c r="AH41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AI38" i="21"/>
  <c r="AH38" i="21"/>
  <c r="AI37" i="21"/>
  <c r="AH37" i="21"/>
  <c r="AI36" i="21"/>
  <c r="AH36" i="21"/>
  <c r="AI35" i="21"/>
  <c r="AH35" i="21"/>
  <c r="AI34" i="21"/>
  <c r="AH34" i="21"/>
  <c r="AI33" i="21"/>
  <c r="AH33" i="21"/>
  <c r="AI32" i="21"/>
  <c r="AH32" i="21"/>
  <c r="AI31" i="21"/>
  <c r="AH31" i="21"/>
  <c r="AI30" i="21"/>
  <c r="AH30" i="21"/>
  <c r="AI29" i="21"/>
  <c r="AH29" i="21"/>
  <c r="AI28" i="21"/>
  <c r="AH28" i="21"/>
  <c r="AI27" i="21"/>
  <c r="AH27" i="21"/>
  <c r="AI26" i="21"/>
  <c r="AH26" i="21"/>
  <c r="AI25" i="21"/>
  <c r="AH25" i="21"/>
  <c r="AI24" i="21"/>
  <c r="AH24" i="21"/>
  <c r="AI23" i="21"/>
  <c r="AH23" i="21"/>
  <c r="AI22" i="21"/>
  <c r="AH22" i="21"/>
  <c r="AI21" i="21"/>
  <c r="AH21" i="21"/>
  <c r="AI20" i="21"/>
  <c r="AH20" i="21"/>
  <c r="AI19" i="21"/>
  <c r="AH19" i="21"/>
  <c r="AI18" i="21"/>
  <c r="AH18" i="21"/>
  <c r="AI17" i="21"/>
  <c r="AH17" i="21"/>
  <c r="AI16" i="21"/>
  <c r="AH16" i="21"/>
  <c r="AI15" i="21"/>
  <c r="AH15" i="21"/>
  <c r="AI14" i="21"/>
  <c r="AH14" i="21"/>
  <c r="AI13" i="21"/>
  <c r="AH13" i="21"/>
  <c r="AI12" i="21"/>
  <c r="AH12" i="21"/>
  <c r="AI11" i="21"/>
  <c r="AH11" i="21"/>
  <c r="AF5" i="21"/>
  <c r="AE5" i="21"/>
  <c r="AA5" i="21"/>
  <c r="W5" i="21"/>
  <c r="AG4" i="21"/>
  <c r="K4" i="21"/>
  <c r="B4" i="21"/>
  <c r="S235" i="21" s="1"/>
  <c r="AG2" i="21"/>
  <c r="AF103" i="20"/>
  <c r="AF39" i="20"/>
  <c r="AE103" i="20"/>
  <c r="AE39" i="20"/>
  <c r="AD103" i="20"/>
  <c r="AD39" i="20"/>
  <c r="AC39" i="20"/>
  <c r="AB39" i="20"/>
  <c r="Y39" i="20"/>
  <c r="X103" i="20"/>
  <c r="W39" i="20"/>
  <c r="X39" i="20"/>
  <c r="V39" i="20"/>
  <c r="U103" i="20"/>
  <c r="U65" i="20"/>
  <c r="U39" i="20"/>
  <c r="T103" i="20"/>
  <c r="T39" i="20"/>
  <c r="S103" i="20"/>
  <c r="S39" i="20"/>
  <c r="R39" i="20"/>
  <c r="Q39" i="20"/>
  <c r="P103" i="20"/>
  <c r="E4" i="23"/>
  <c r="E4" i="22"/>
  <c r="E4" i="21"/>
  <c r="D259" i="23" l="1"/>
  <c r="F223" i="23"/>
  <c r="E259" i="23" s="1"/>
  <c r="AD89" i="22"/>
  <c r="AE89" i="22"/>
  <c r="B224" i="22"/>
  <c r="G223" i="22"/>
  <c r="B224" i="23"/>
  <c r="AG81" i="21"/>
  <c r="F89" i="21"/>
  <c r="AD89" i="21"/>
  <c r="L89" i="22"/>
  <c r="D224" i="22"/>
  <c r="X79" i="23"/>
  <c r="X81" i="23" s="1"/>
  <c r="C89" i="23"/>
  <c r="AH39" i="21"/>
  <c r="X89" i="21"/>
  <c r="X90" i="21" s="1"/>
  <c r="AF89" i="21"/>
  <c r="M79" i="22"/>
  <c r="M81" i="22" s="1"/>
  <c r="AC89" i="23"/>
  <c r="D224" i="23"/>
  <c r="AG6" i="21"/>
  <c r="AH91" i="22"/>
  <c r="AH103" i="22"/>
  <c r="E218" i="22"/>
  <c r="AI39" i="22"/>
  <c r="AA79" i="23"/>
  <c r="AA81" i="23" s="1"/>
  <c r="AD89" i="23"/>
  <c r="AH103" i="23"/>
  <c r="B224" i="21"/>
  <c r="Z89" i="21"/>
  <c r="P89" i="22"/>
  <c r="J89" i="23"/>
  <c r="J90" i="23" s="1"/>
  <c r="S89" i="21"/>
  <c r="U100" i="21"/>
  <c r="E218" i="21"/>
  <c r="F218" i="21" s="1"/>
  <c r="G218" i="21" s="1"/>
  <c r="P89" i="23"/>
  <c r="AF89" i="23"/>
  <c r="AF79" i="23"/>
  <c r="AF81" i="23" s="1"/>
  <c r="AE79" i="23"/>
  <c r="AE81" i="23" s="1"/>
  <c r="AE7" i="23" s="1"/>
  <c r="AE89" i="23"/>
  <c r="AE90" i="23" s="1"/>
  <c r="AD90" i="23"/>
  <c r="AD79" i="23"/>
  <c r="AD81" i="23" s="1"/>
  <c r="AC90" i="23"/>
  <c r="AC79" i="23"/>
  <c r="AC81" i="23" s="1"/>
  <c r="AB79" i="23"/>
  <c r="AB81" i="23" s="1"/>
  <c r="AB89" i="23"/>
  <c r="AB90" i="23" s="1"/>
  <c r="AA89" i="23"/>
  <c r="AA90" i="23" s="1"/>
  <c r="Z89" i="23"/>
  <c r="Z90" i="23" s="1"/>
  <c r="Z79" i="23"/>
  <c r="Z81" i="23" s="1"/>
  <c r="Y89" i="23"/>
  <c r="Y90" i="23" s="1"/>
  <c r="Y79" i="23"/>
  <c r="Y81" i="23" s="1"/>
  <c r="X89" i="23"/>
  <c r="W79" i="23"/>
  <c r="W81" i="23" s="1"/>
  <c r="V89" i="23"/>
  <c r="V90" i="23" s="1"/>
  <c r="V79" i="23"/>
  <c r="V81" i="23" s="1"/>
  <c r="AN238" i="23" s="1"/>
  <c r="U79" i="23"/>
  <c r="U81" i="23" s="1"/>
  <c r="U7" i="23" s="1"/>
  <c r="U89" i="23"/>
  <c r="U90" i="23"/>
  <c r="T89" i="23"/>
  <c r="T90" i="23"/>
  <c r="T79" i="23"/>
  <c r="T81" i="23" s="1"/>
  <c r="S89" i="23"/>
  <c r="S90" i="23" s="1"/>
  <c r="S79" i="23"/>
  <c r="S81" i="23" s="1"/>
  <c r="S7" i="23" s="1"/>
  <c r="R89" i="23"/>
  <c r="R90" i="23" s="1"/>
  <c r="R79" i="23"/>
  <c r="R81" i="23" s="1"/>
  <c r="Q89" i="23"/>
  <c r="Q90" i="23" s="1"/>
  <c r="P79" i="23"/>
  <c r="P81" i="23" s="1"/>
  <c r="O89" i="23"/>
  <c r="O79" i="23"/>
  <c r="O81" i="23" s="1"/>
  <c r="M5" i="23"/>
  <c r="N89" i="23"/>
  <c r="N90" i="23" s="1"/>
  <c r="N79" i="23"/>
  <c r="N81" i="23" s="1"/>
  <c r="M89" i="23"/>
  <c r="M90" i="23" s="1"/>
  <c r="M79" i="23"/>
  <c r="M81" i="23" s="1"/>
  <c r="M7" i="23" s="1"/>
  <c r="AI39" i="23"/>
  <c r="K5" i="23"/>
  <c r="L89" i="23"/>
  <c r="L90" i="23" s="1"/>
  <c r="L79" i="23"/>
  <c r="L81" i="23" s="1"/>
  <c r="AD238" i="23" s="1"/>
  <c r="K74" i="23"/>
  <c r="K79" i="23" s="1"/>
  <c r="K81" i="23" s="1"/>
  <c r="K7" i="23" s="1"/>
  <c r="K86" i="23"/>
  <c r="K89" i="23"/>
  <c r="J79" i="23"/>
  <c r="J81" i="23" s="1"/>
  <c r="AB238" i="23" s="1"/>
  <c r="I79" i="23"/>
  <c r="I81" i="23" s="1"/>
  <c r="AA238" i="23" s="1"/>
  <c r="H89" i="23"/>
  <c r="H90" i="23" s="1"/>
  <c r="H79" i="23"/>
  <c r="H81" i="23" s="1"/>
  <c r="Z238" i="23" s="1"/>
  <c r="AH39" i="23"/>
  <c r="F89" i="23"/>
  <c r="G89" i="23"/>
  <c r="G90" i="23" s="1"/>
  <c r="AI85" i="23"/>
  <c r="F90" i="23"/>
  <c r="E89" i="23"/>
  <c r="E90" i="23" s="1"/>
  <c r="E79" i="23"/>
  <c r="E81" i="23" s="1"/>
  <c r="E82" i="23" s="1"/>
  <c r="F79" i="23"/>
  <c r="F81" i="23" s="1"/>
  <c r="F7" i="23" s="1"/>
  <c r="G79" i="23"/>
  <c r="G81" i="23" s="1"/>
  <c r="G7" i="23" s="1"/>
  <c r="D89" i="23"/>
  <c r="D90" i="23" s="1"/>
  <c r="AI40" i="23"/>
  <c r="C5" i="23"/>
  <c r="AH83" i="23"/>
  <c r="AI83" i="23"/>
  <c r="AI86" i="23"/>
  <c r="AI84" i="23"/>
  <c r="AI87" i="23"/>
  <c r="C90" i="23"/>
  <c r="AH62" i="23"/>
  <c r="C79" i="23"/>
  <c r="C81" i="23" s="1"/>
  <c r="C82" i="23" s="1"/>
  <c r="AH58" i="23"/>
  <c r="AI44" i="23"/>
  <c r="D79" i="23"/>
  <c r="D81" i="23" s="1"/>
  <c r="AH85" i="23"/>
  <c r="B89" i="23"/>
  <c r="B90" i="23" s="1"/>
  <c r="AF5" i="23"/>
  <c r="AI62" i="23"/>
  <c r="AI58" i="23"/>
  <c r="H4" i="23"/>
  <c r="N7" i="23"/>
  <c r="AF238" i="23"/>
  <c r="V7" i="23"/>
  <c r="AD7" i="23"/>
  <c r="AV238" i="23"/>
  <c r="AD82" i="23"/>
  <c r="AG238" i="23"/>
  <c r="O82" i="23"/>
  <c r="O7" i="23"/>
  <c r="P7" i="23"/>
  <c r="AH238" i="23"/>
  <c r="P82" i="23"/>
  <c r="AG6" i="23"/>
  <c r="Q7" i="23"/>
  <c r="AI238" i="23"/>
  <c r="Q82" i="23"/>
  <c r="Y7" i="23"/>
  <c r="AQ238" i="23"/>
  <c r="Y82" i="23"/>
  <c r="AG79" i="23"/>
  <c r="AO238" i="23"/>
  <c r="W82" i="23"/>
  <c r="W7" i="23"/>
  <c r="X7" i="23"/>
  <c r="AP238" i="23"/>
  <c r="X82" i="23"/>
  <c r="R7" i="23"/>
  <c r="AJ238" i="23"/>
  <c r="AR238" i="23"/>
  <c r="Z7" i="23"/>
  <c r="AF7" i="23"/>
  <c r="AX238" i="23"/>
  <c r="AF82" i="23"/>
  <c r="C7" i="23"/>
  <c r="AA7" i="23"/>
  <c r="AS238" i="23"/>
  <c r="O90" i="23"/>
  <c r="W90" i="23"/>
  <c r="T7" i="23"/>
  <c r="AL238" i="23"/>
  <c r="T82" i="23"/>
  <c r="AB7" i="23"/>
  <c r="AT238" i="23"/>
  <c r="AB82" i="23"/>
  <c r="P90" i="23"/>
  <c r="X90" i="23"/>
  <c r="AF90" i="23"/>
  <c r="AG81" i="23"/>
  <c r="AW238" i="23"/>
  <c r="AE82" i="23"/>
  <c r="AC7" i="23"/>
  <c r="AU238" i="23"/>
  <c r="AC82" i="23"/>
  <c r="D100" i="23"/>
  <c r="D235" i="23"/>
  <c r="B5" i="23"/>
  <c r="R5" i="23"/>
  <c r="Z5" i="23"/>
  <c r="I89" i="23"/>
  <c r="I90" i="23" s="1"/>
  <c r="AH84" i="23"/>
  <c r="E218" i="23"/>
  <c r="G223" i="23"/>
  <c r="AH40" i="23"/>
  <c r="AH44" i="23"/>
  <c r="B79" i="23"/>
  <c r="AH86" i="23"/>
  <c r="AH87" i="23"/>
  <c r="AE79" i="22"/>
  <c r="AE81" i="22" s="1"/>
  <c r="AD79" i="22"/>
  <c r="AD81" i="22" s="1"/>
  <c r="AD82" i="22" s="1"/>
  <c r="AF89" i="22"/>
  <c r="AF90" i="22" s="1"/>
  <c r="AE90" i="22"/>
  <c r="AF79" i="22"/>
  <c r="AF81" i="22" s="1"/>
  <c r="AC89" i="22"/>
  <c r="AC90" i="22" s="1"/>
  <c r="AC79" i="22"/>
  <c r="AC81" i="22" s="1"/>
  <c r="AB89" i="22"/>
  <c r="AB90" i="22" s="1"/>
  <c r="AB79" i="22"/>
  <c r="AB81" i="22" s="1"/>
  <c r="AB7" i="22" s="1"/>
  <c r="AA89" i="22"/>
  <c r="AA90" i="22" s="1"/>
  <c r="AA79" i="22"/>
  <c r="AA81" i="22" s="1"/>
  <c r="Z90" i="22"/>
  <c r="Z79" i="22"/>
  <c r="Z81" i="22" s="1"/>
  <c r="Y89" i="22"/>
  <c r="Y90" i="22" s="1"/>
  <c r="Y79" i="22"/>
  <c r="Y81" i="22" s="1"/>
  <c r="X89" i="22"/>
  <c r="X90" i="22" s="1"/>
  <c r="W5" i="22"/>
  <c r="X79" i="22"/>
  <c r="X81" i="22" s="1"/>
  <c r="X7" i="22" s="1"/>
  <c r="W89" i="22"/>
  <c r="W90" i="22" s="1"/>
  <c r="W79" i="22"/>
  <c r="W81" i="22" s="1"/>
  <c r="V89" i="22"/>
  <c r="V79" i="22"/>
  <c r="V81" i="22" s="1"/>
  <c r="U89" i="22"/>
  <c r="U90" i="22" s="1"/>
  <c r="U79" i="22"/>
  <c r="U81" i="22" s="1"/>
  <c r="T89" i="22"/>
  <c r="T90" i="22" s="1"/>
  <c r="T79" i="22"/>
  <c r="T81" i="22" s="1"/>
  <c r="T82" i="22" s="1"/>
  <c r="S89" i="22"/>
  <c r="S90" i="22" s="1"/>
  <c r="S79" i="22"/>
  <c r="S81" i="22" s="1"/>
  <c r="AH39" i="22"/>
  <c r="P79" i="22"/>
  <c r="P81" i="22" s="1"/>
  <c r="Q89" i="22"/>
  <c r="Q90" i="22" s="1"/>
  <c r="R89" i="22"/>
  <c r="R90" i="22" s="1"/>
  <c r="P90" i="22"/>
  <c r="R79" i="22"/>
  <c r="R81" i="22" s="1"/>
  <c r="AJ238" i="22" s="1"/>
  <c r="Q79" i="22"/>
  <c r="Q81" i="22" s="1"/>
  <c r="Q7" i="22" s="1"/>
  <c r="O89" i="22"/>
  <c r="O90" i="22" s="1"/>
  <c r="O79" i="22"/>
  <c r="O81" i="22" s="1"/>
  <c r="N89" i="22"/>
  <c r="N79" i="22"/>
  <c r="N81" i="22" s="1"/>
  <c r="M89" i="22"/>
  <c r="M90" i="22" s="1"/>
  <c r="L90" i="22"/>
  <c r="AH62" i="22"/>
  <c r="AI62" i="22"/>
  <c r="L79" i="22"/>
  <c r="L81" i="22" s="1"/>
  <c r="AD238" i="22" s="1"/>
  <c r="K79" i="22"/>
  <c r="K81" i="22" s="1"/>
  <c r="K89" i="22"/>
  <c r="K90" i="22" s="1"/>
  <c r="J89" i="22"/>
  <c r="J90" i="22" s="1"/>
  <c r="J79" i="22"/>
  <c r="J81" i="22" s="1"/>
  <c r="J7" i="22" s="1"/>
  <c r="I89" i="22"/>
  <c r="I90" i="22"/>
  <c r="I79" i="22"/>
  <c r="I81" i="22" s="1"/>
  <c r="I7" i="22" s="1"/>
  <c r="H89" i="22"/>
  <c r="H90" i="22" s="1"/>
  <c r="AH87" i="22"/>
  <c r="H79" i="22"/>
  <c r="H81" i="22" s="1"/>
  <c r="G89" i="22"/>
  <c r="G90" i="22"/>
  <c r="F5" i="22"/>
  <c r="G79" i="22"/>
  <c r="G81" i="22" s="1"/>
  <c r="F89" i="22"/>
  <c r="F79" i="22"/>
  <c r="F81" i="22" s="1"/>
  <c r="E89" i="22"/>
  <c r="E90" i="22" s="1"/>
  <c r="AI84" i="22"/>
  <c r="AH58" i="22"/>
  <c r="AI58" i="22"/>
  <c r="E79" i="22"/>
  <c r="E81" i="22" s="1"/>
  <c r="E82" i="22" s="1"/>
  <c r="AI85" i="22"/>
  <c r="D89" i="22"/>
  <c r="D90" i="22" s="1"/>
  <c r="D79" i="22"/>
  <c r="D81" i="22" s="1"/>
  <c r="D7" i="22" s="1"/>
  <c r="C89" i="22"/>
  <c r="C90" i="22" s="1"/>
  <c r="AI87" i="22"/>
  <c r="AH74" i="22"/>
  <c r="AH86" i="22"/>
  <c r="AI83" i="22"/>
  <c r="C79" i="22"/>
  <c r="C81" i="22" s="1"/>
  <c r="U238" i="22" s="1"/>
  <c r="AH44" i="22"/>
  <c r="AF5" i="22"/>
  <c r="AI74" i="22"/>
  <c r="AI44" i="22"/>
  <c r="B79" i="22"/>
  <c r="H4" i="22"/>
  <c r="K7" i="22"/>
  <c r="AC238" i="22"/>
  <c r="S7" i="22"/>
  <c r="AK238" i="22"/>
  <c r="S82" i="22"/>
  <c r="AA7" i="22"/>
  <c r="AS238" i="22"/>
  <c r="AE238" i="22"/>
  <c r="M82" i="22"/>
  <c r="M7" i="22"/>
  <c r="AM238" i="22"/>
  <c r="U82" i="22"/>
  <c r="U7" i="22"/>
  <c r="AU238" i="22"/>
  <c r="AC82" i="22"/>
  <c r="AC7" i="22"/>
  <c r="F82" i="22"/>
  <c r="F7" i="22"/>
  <c r="X238" i="22"/>
  <c r="N7" i="22"/>
  <c r="AF238" i="22"/>
  <c r="N82" i="22"/>
  <c r="V82" i="22"/>
  <c r="V7" i="22"/>
  <c r="AN238" i="22"/>
  <c r="AV238" i="22"/>
  <c r="AD7" i="22"/>
  <c r="L7" i="22"/>
  <c r="O82" i="22"/>
  <c r="O7" i="22"/>
  <c r="AG238" i="22"/>
  <c r="W7" i="22"/>
  <c r="AO238" i="22"/>
  <c r="W82" i="22"/>
  <c r="AE7" i="22"/>
  <c r="AW238" i="22"/>
  <c r="AE82" i="22"/>
  <c r="H7" i="22"/>
  <c r="Z238" i="22"/>
  <c r="P7" i="22"/>
  <c r="AH238" i="22"/>
  <c r="P82" i="22"/>
  <c r="AF7" i="22"/>
  <c r="AX238" i="22"/>
  <c r="AG3" i="22"/>
  <c r="AG81" i="22"/>
  <c r="Y7" i="22"/>
  <c r="AQ238" i="22"/>
  <c r="Y82" i="22"/>
  <c r="AG79" i="22"/>
  <c r="R7" i="22"/>
  <c r="Z7" i="22"/>
  <c r="AR238" i="22"/>
  <c r="Z82" i="22"/>
  <c r="F90" i="22"/>
  <c r="V90" i="22"/>
  <c r="E220" i="22"/>
  <c r="F220" i="22" s="1"/>
  <c r="G220" i="22" s="1"/>
  <c r="H220" i="22" s="1"/>
  <c r="I220" i="22" s="1"/>
  <c r="J220" i="22" s="1"/>
  <c r="K220" i="22" s="1"/>
  <c r="L220" i="22" s="1"/>
  <c r="M220" i="22" s="1"/>
  <c r="N220" i="22" s="1"/>
  <c r="O220" i="22" s="1"/>
  <c r="P220" i="22" s="1"/>
  <c r="D235" i="22"/>
  <c r="N90" i="22"/>
  <c r="AD90" i="22"/>
  <c r="B5" i="22"/>
  <c r="AI86" i="22"/>
  <c r="AG2" i="22"/>
  <c r="AH83" i="22"/>
  <c r="B89" i="22"/>
  <c r="AH84" i="22"/>
  <c r="AH40" i="22"/>
  <c r="AH85" i="22"/>
  <c r="AI40" i="22"/>
  <c r="AF90" i="21"/>
  <c r="AF79" i="21"/>
  <c r="AF81" i="21" s="1"/>
  <c r="AE89" i="21"/>
  <c r="AE79" i="21"/>
  <c r="AE81" i="21" s="1"/>
  <c r="AD79" i="21"/>
  <c r="AD81" i="21" s="1"/>
  <c r="AC89" i="21"/>
  <c r="AC79" i="21"/>
  <c r="AC81" i="21" s="1"/>
  <c r="AC7" i="21" s="1"/>
  <c r="AB89" i="21"/>
  <c r="AB90" i="21" s="1"/>
  <c r="AB79" i="21"/>
  <c r="AB81" i="21" s="1"/>
  <c r="AA89" i="21"/>
  <c r="AA79" i="21"/>
  <c r="AA81" i="21" s="1"/>
  <c r="Z79" i="21"/>
  <c r="Z81" i="21" s="1"/>
  <c r="X79" i="21"/>
  <c r="X81" i="21" s="1"/>
  <c r="AA90" i="21"/>
  <c r="Y89" i="21"/>
  <c r="Y90" i="21" s="1"/>
  <c r="W89" i="21"/>
  <c r="Y79" i="21"/>
  <c r="Y81" i="21" s="1"/>
  <c r="Z90" i="21"/>
  <c r="W79" i="21"/>
  <c r="W81" i="21" s="1"/>
  <c r="V89" i="21"/>
  <c r="V79" i="21"/>
  <c r="V81" i="21" s="1"/>
  <c r="T89" i="21"/>
  <c r="T90" i="21" s="1"/>
  <c r="U89" i="21"/>
  <c r="U82" i="21" s="1"/>
  <c r="T79" i="21"/>
  <c r="T81" i="21" s="1"/>
  <c r="U79" i="21"/>
  <c r="U81" i="21" s="1"/>
  <c r="S90" i="21"/>
  <c r="R5" i="21"/>
  <c r="Q5" i="21"/>
  <c r="R89" i="21"/>
  <c r="R90" i="21" s="1"/>
  <c r="S79" i="21"/>
  <c r="S81" i="21" s="1"/>
  <c r="AK238" i="21" s="1"/>
  <c r="R79" i="21"/>
  <c r="R81" i="21" s="1"/>
  <c r="R82" i="21" s="1"/>
  <c r="P5" i="21"/>
  <c r="Q89" i="21"/>
  <c r="Q90" i="21" s="1"/>
  <c r="Q79" i="21"/>
  <c r="Q81" i="21" s="1"/>
  <c r="Q82" i="21" s="1"/>
  <c r="P89" i="21"/>
  <c r="P90" i="21" s="1"/>
  <c r="P79" i="21"/>
  <c r="P81" i="21" s="1"/>
  <c r="O79" i="21"/>
  <c r="O81" i="21" s="1"/>
  <c r="O89" i="21"/>
  <c r="O82" i="21" s="1"/>
  <c r="N89" i="21"/>
  <c r="N82" i="21" s="1"/>
  <c r="N79" i="21"/>
  <c r="N81" i="21" s="1"/>
  <c r="M89" i="21"/>
  <c r="M90" i="21" s="1"/>
  <c r="AI85" i="21"/>
  <c r="M79" i="21"/>
  <c r="M81" i="21" s="1"/>
  <c r="L89" i="21"/>
  <c r="L79" i="21"/>
  <c r="L81" i="21" s="1"/>
  <c r="AD238" i="21" s="1"/>
  <c r="K89" i="21"/>
  <c r="K90" i="21" s="1"/>
  <c r="K79" i="21"/>
  <c r="K81" i="21" s="1"/>
  <c r="AC238" i="21" s="1"/>
  <c r="J5" i="21"/>
  <c r="J89" i="21"/>
  <c r="J90" i="21" s="1"/>
  <c r="I5" i="21"/>
  <c r="I89" i="21"/>
  <c r="I90" i="21" s="1"/>
  <c r="H89" i="21"/>
  <c r="H90" i="21" s="1"/>
  <c r="G5" i="21"/>
  <c r="G89" i="21"/>
  <c r="G90" i="21" s="1"/>
  <c r="AI84" i="21"/>
  <c r="E89" i="21"/>
  <c r="F79" i="21"/>
  <c r="F81" i="21" s="1"/>
  <c r="X238" i="21" s="1"/>
  <c r="E79" i="21"/>
  <c r="E81" i="21" s="1"/>
  <c r="E82" i="21" s="1"/>
  <c r="G79" i="21"/>
  <c r="G81" i="21" s="1"/>
  <c r="H79" i="21"/>
  <c r="H81" i="21" s="1"/>
  <c r="H82" i="21" s="1"/>
  <c r="AI44" i="21"/>
  <c r="I79" i="21"/>
  <c r="I81" i="21" s="1"/>
  <c r="I7" i="21" s="1"/>
  <c r="J79" i="21"/>
  <c r="J81" i="21" s="1"/>
  <c r="AB238" i="21" s="1"/>
  <c r="AH87" i="21"/>
  <c r="AI83" i="21"/>
  <c r="AI62" i="21"/>
  <c r="AI58" i="21"/>
  <c r="D79" i="21"/>
  <c r="D81" i="21" s="1"/>
  <c r="D7" i="21" s="1"/>
  <c r="AI40" i="21"/>
  <c r="AI86" i="21"/>
  <c r="AI87" i="21"/>
  <c r="C89" i="21"/>
  <c r="C90" i="21" s="1"/>
  <c r="C79" i="21"/>
  <c r="C81" i="21" s="1"/>
  <c r="C82" i="21" s="1"/>
  <c r="B79" i="21"/>
  <c r="B81" i="21" s="1"/>
  <c r="B89" i="21"/>
  <c r="B90" i="21" s="1"/>
  <c r="H4" i="21"/>
  <c r="D82" i="21"/>
  <c r="S7" i="21"/>
  <c r="AA7" i="21"/>
  <c r="AS238" i="21"/>
  <c r="AA82" i="21"/>
  <c r="O90" i="21"/>
  <c r="W90" i="21"/>
  <c r="AE90" i="21"/>
  <c r="W238" i="21"/>
  <c r="U7" i="21"/>
  <c r="AM238" i="21"/>
  <c r="AU238" i="21"/>
  <c r="AC82" i="21"/>
  <c r="N7" i="21"/>
  <c r="AF238" i="21"/>
  <c r="AB7" i="21"/>
  <c r="AT238" i="21"/>
  <c r="V7" i="21"/>
  <c r="AN238" i="21"/>
  <c r="V82" i="21"/>
  <c r="AG238" i="21"/>
  <c r="O7" i="21"/>
  <c r="AO238" i="21"/>
  <c r="W82" i="21"/>
  <c r="W7" i="21"/>
  <c r="AW238" i="21"/>
  <c r="AE82" i="21"/>
  <c r="AE7" i="21"/>
  <c r="L7" i="21"/>
  <c r="L82" i="21"/>
  <c r="F7" i="21"/>
  <c r="F82" i="21"/>
  <c r="P7" i="21"/>
  <c r="AH238" i="21"/>
  <c r="P82" i="21"/>
  <c r="X7" i="21"/>
  <c r="AP238" i="21"/>
  <c r="AF7" i="21"/>
  <c r="AX238" i="21"/>
  <c r="AF82" i="21"/>
  <c r="D90" i="21"/>
  <c r="L90" i="21"/>
  <c r="H218" i="21"/>
  <c r="Q7" i="21"/>
  <c r="AI238" i="21"/>
  <c r="Y7" i="21"/>
  <c r="AQ238" i="21"/>
  <c r="AG79" i="21"/>
  <c r="E90" i="21"/>
  <c r="AC90" i="21"/>
  <c r="T7" i="21"/>
  <c r="AL238" i="21"/>
  <c r="AD7" i="21"/>
  <c r="AV238" i="21"/>
  <c r="AD82" i="21"/>
  <c r="AJ238" i="21"/>
  <c r="Z7" i="21"/>
  <c r="AR238" i="21"/>
  <c r="Z82" i="21"/>
  <c r="F90" i="21"/>
  <c r="V90" i="21"/>
  <c r="AD90" i="21"/>
  <c r="F219" i="21"/>
  <c r="G219" i="21" s="1"/>
  <c r="H219" i="21" s="1"/>
  <c r="I219" i="21" s="1"/>
  <c r="J219" i="21" s="1"/>
  <c r="K219" i="21" s="1"/>
  <c r="L219" i="21" s="1"/>
  <c r="M219" i="21" s="1"/>
  <c r="N219" i="21" s="1"/>
  <c r="O219" i="21" s="1"/>
  <c r="P219" i="21" s="1"/>
  <c r="D235" i="21"/>
  <c r="AH58" i="21"/>
  <c r="AH62" i="21"/>
  <c r="AH74" i="21"/>
  <c r="E223" i="21"/>
  <c r="E224" i="21" s="1"/>
  <c r="AI74" i="21"/>
  <c r="AH83" i="21"/>
  <c r="AH84" i="21"/>
  <c r="AH40" i="21"/>
  <c r="AH44" i="21"/>
  <c r="AH85" i="21"/>
  <c r="AH86" i="21"/>
  <c r="Z82" i="23" l="1"/>
  <c r="N82" i="23"/>
  <c r="N90" i="21"/>
  <c r="AA238" i="21"/>
  <c r="AB82" i="21"/>
  <c r="V238" i="21"/>
  <c r="AL238" i="22"/>
  <c r="AF82" i="22"/>
  <c r="K82" i="22"/>
  <c r="S82" i="23"/>
  <c r="F259" i="22"/>
  <c r="H223" i="22"/>
  <c r="U90" i="21"/>
  <c r="AI90" i="21" s="1"/>
  <c r="X82" i="21"/>
  <c r="T7" i="22"/>
  <c r="AK238" i="23"/>
  <c r="R7" i="21"/>
  <c r="M82" i="21"/>
  <c r="AA82" i="22"/>
  <c r="U82" i="23"/>
  <c r="T82" i="21"/>
  <c r="X82" i="22"/>
  <c r="AB82" i="22"/>
  <c r="AM238" i="23"/>
  <c r="E100" i="22"/>
  <c r="F218" i="22"/>
  <c r="S82" i="21"/>
  <c r="E224" i="22"/>
  <c r="R82" i="22"/>
  <c r="AP238" i="22"/>
  <c r="AT238" i="22"/>
  <c r="R82" i="23"/>
  <c r="V82" i="23"/>
  <c r="AG6" i="22"/>
  <c r="AA82" i="23"/>
  <c r="AE238" i="23"/>
  <c r="M82" i="23"/>
  <c r="L7" i="23"/>
  <c r="L82" i="23"/>
  <c r="AI74" i="23"/>
  <c r="AH74" i="23"/>
  <c r="J5" i="23"/>
  <c r="K90" i="23"/>
  <c r="AI90" i="23" s="1"/>
  <c r="H7" i="23"/>
  <c r="K82" i="23"/>
  <c r="AC238" i="23"/>
  <c r="J82" i="23"/>
  <c r="J7" i="23"/>
  <c r="I7" i="23"/>
  <c r="H82" i="23"/>
  <c r="W238" i="23"/>
  <c r="B233" i="23"/>
  <c r="C233" i="23"/>
  <c r="F82" i="23"/>
  <c r="E7" i="23"/>
  <c r="X238" i="23"/>
  <c r="G82" i="23"/>
  <c r="Y238" i="23"/>
  <c r="D82" i="23"/>
  <c r="V238" i="23"/>
  <c r="D7" i="23"/>
  <c r="U238" i="23"/>
  <c r="AH89" i="23"/>
  <c r="F218" i="23"/>
  <c r="E100" i="23"/>
  <c r="E224" i="23"/>
  <c r="AI89" i="23"/>
  <c r="AH90" i="23"/>
  <c r="AI79" i="23"/>
  <c r="AH79" i="23"/>
  <c r="B81" i="23"/>
  <c r="I82" i="23"/>
  <c r="F259" i="23"/>
  <c r="H223" i="23"/>
  <c r="Q82" i="22"/>
  <c r="AI238" i="22"/>
  <c r="L82" i="22"/>
  <c r="J82" i="22"/>
  <c r="AB238" i="22"/>
  <c r="I82" i="22"/>
  <c r="B233" i="22"/>
  <c r="AA238" i="22"/>
  <c r="C233" i="22"/>
  <c r="H82" i="22"/>
  <c r="Y238" i="22"/>
  <c r="G7" i="22"/>
  <c r="G82" i="22"/>
  <c r="W238" i="22"/>
  <c r="E7" i="22"/>
  <c r="D82" i="22"/>
  <c r="V238" i="22"/>
  <c r="AH79" i="22"/>
  <c r="AI79" i="22"/>
  <c r="C7" i="22"/>
  <c r="C82" i="22"/>
  <c r="B81" i="22"/>
  <c r="B7" i="22" s="1"/>
  <c r="F224" i="22"/>
  <c r="B90" i="22"/>
  <c r="AI89" i="22"/>
  <c r="AH89" i="22"/>
  <c r="Y82" i="21"/>
  <c r="AE238" i="21"/>
  <c r="M7" i="21"/>
  <c r="K7" i="21"/>
  <c r="K82" i="21"/>
  <c r="J82" i="21"/>
  <c r="H7" i="21"/>
  <c r="Z238" i="21"/>
  <c r="B233" i="21"/>
  <c r="Y238" i="21"/>
  <c r="G82" i="21"/>
  <c r="J7" i="21"/>
  <c r="C233" i="21"/>
  <c r="G7" i="21"/>
  <c r="I82" i="21"/>
  <c r="E7" i="21"/>
  <c r="U238" i="21"/>
  <c r="C7" i="21"/>
  <c r="B82" i="21"/>
  <c r="AI89" i="21"/>
  <c r="AH89" i="21"/>
  <c r="I218" i="21"/>
  <c r="AI79" i="21"/>
  <c r="AH79" i="21"/>
  <c r="D259" i="21"/>
  <c r="F223" i="21"/>
  <c r="E100" i="21"/>
  <c r="AH90" i="21" l="1"/>
  <c r="G259" i="22"/>
  <c r="I223" i="22"/>
  <c r="F100" i="22"/>
  <c r="G218" i="22"/>
  <c r="K6" i="23"/>
  <c r="G259" i="23"/>
  <c r="I223" i="23"/>
  <c r="T238" i="23"/>
  <c r="B82" i="23"/>
  <c r="B7" i="23"/>
  <c r="A7" i="23" s="1"/>
  <c r="AI81" i="23"/>
  <c r="AH81" i="23"/>
  <c r="G218" i="23"/>
  <c r="F100" i="23"/>
  <c r="F224" i="23"/>
  <c r="K6" i="22"/>
  <c r="A7" i="22"/>
  <c r="AH81" i="22"/>
  <c r="B82" i="22"/>
  <c r="AI81" i="22"/>
  <c r="T238" i="22"/>
  <c r="AI82" i="22"/>
  <c r="AH82" i="22"/>
  <c r="AI90" i="22"/>
  <c r="AH90" i="22"/>
  <c r="K6" i="21"/>
  <c r="J218" i="21"/>
  <c r="E259" i="21"/>
  <c r="G223" i="21"/>
  <c r="F100" i="21"/>
  <c r="B7" i="21"/>
  <c r="A7" i="21" s="1"/>
  <c r="T238" i="21"/>
  <c r="AI81" i="21"/>
  <c r="AH81" i="21"/>
  <c r="F224" i="21"/>
  <c r="H259" i="22" l="1"/>
  <c r="J223" i="22"/>
  <c r="G100" i="22"/>
  <c r="H218" i="22"/>
  <c r="G224" i="22"/>
  <c r="AI82" i="23"/>
  <c r="AH82" i="23"/>
  <c r="H259" i="23"/>
  <c r="J223" i="23"/>
  <c r="H218" i="23"/>
  <c r="G100" i="23"/>
  <c r="G224" i="23"/>
  <c r="F259" i="21"/>
  <c r="H223" i="21"/>
  <c r="G100" i="21"/>
  <c r="G224" i="21"/>
  <c r="K218" i="21"/>
  <c r="AI82" i="21"/>
  <c r="AH82" i="21"/>
  <c r="I259" i="22" l="1"/>
  <c r="K223" i="22"/>
  <c r="H100" i="22"/>
  <c r="H224" i="22"/>
  <c r="I218" i="22"/>
  <c r="I218" i="23"/>
  <c r="H100" i="23"/>
  <c r="H224" i="23"/>
  <c r="K223" i="23"/>
  <c r="I259" i="23"/>
  <c r="L218" i="21"/>
  <c r="G259" i="21"/>
  <c r="I223" i="21"/>
  <c r="H100" i="21"/>
  <c r="H224" i="21"/>
  <c r="I224" i="22" l="1"/>
  <c r="I100" i="22"/>
  <c r="J218" i="22"/>
  <c r="J259" i="22"/>
  <c r="L223" i="22"/>
  <c r="J259" i="23"/>
  <c r="L223" i="23"/>
  <c r="I100" i="23"/>
  <c r="I224" i="23"/>
  <c r="J218" i="23"/>
  <c r="H259" i="21"/>
  <c r="J223" i="21"/>
  <c r="I100" i="21"/>
  <c r="I224" i="21"/>
  <c r="M218" i="21"/>
  <c r="O103" i="20"/>
  <c r="O39" i="20"/>
  <c r="N103" i="20"/>
  <c r="N39" i="20"/>
  <c r="M103" i="20"/>
  <c r="M39" i="20"/>
  <c r="M223" i="22" l="1"/>
  <c r="K259" i="22"/>
  <c r="J224" i="22"/>
  <c r="K218" i="22"/>
  <c r="J100" i="22"/>
  <c r="J100" i="23"/>
  <c r="J224" i="23"/>
  <c r="K218" i="23"/>
  <c r="K259" i="23"/>
  <c r="M223" i="23"/>
  <c r="N218" i="21"/>
  <c r="K223" i="21"/>
  <c r="I259" i="21"/>
  <c r="J100" i="21"/>
  <c r="J224" i="21"/>
  <c r="L218" i="22" l="1"/>
  <c r="K100" i="22"/>
  <c r="K224" i="22"/>
  <c r="N223" i="22"/>
  <c r="L259" i="22"/>
  <c r="N223" i="23"/>
  <c r="L259" i="23"/>
  <c r="K100" i="23"/>
  <c r="L218" i="23"/>
  <c r="K224" i="23"/>
  <c r="J259" i="21"/>
  <c r="L223" i="21"/>
  <c r="K100" i="21"/>
  <c r="K224" i="21"/>
  <c r="O218" i="21"/>
  <c r="M259" i="22" l="1"/>
  <c r="O223" i="22"/>
  <c r="M218" i="22"/>
  <c r="L224" i="22"/>
  <c r="L100" i="22"/>
  <c r="L224" i="23"/>
  <c r="M218" i="23"/>
  <c r="L100" i="23"/>
  <c r="M259" i="23"/>
  <c r="O223" i="23"/>
  <c r="P218" i="21"/>
  <c r="K259" i="21"/>
  <c r="M223" i="21"/>
  <c r="L224" i="21"/>
  <c r="L100" i="21"/>
  <c r="N218" i="22" l="1"/>
  <c r="M100" i="22"/>
  <c r="M224" i="22"/>
  <c r="N259" i="22"/>
  <c r="P223" i="22"/>
  <c r="O259" i="22" s="1"/>
  <c r="N259" i="23"/>
  <c r="P223" i="23"/>
  <c r="O259" i="23" s="1"/>
  <c r="N218" i="23"/>
  <c r="M100" i="23"/>
  <c r="M224" i="23"/>
  <c r="L259" i="21"/>
  <c r="N223" i="21"/>
  <c r="M100" i="21"/>
  <c r="M224" i="21"/>
  <c r="N224" i="22" l="1"/>
  <c r="O218" i="22"/>
  <c r="N100" i="22"/>
  <c r="N100" i="23"/>
  <c r="O218" i="23"/>
  <c r="N224" i="23"/>
  <c r="M259" i="21"/>
  <c r="O223" i="21"/>
  <c r="N100" i="21"/>
  <c r="N224" i="21"/>
  <c r="P218" i="22" l="1"/>
  <c r="O100" i="22"/>
  <c r="O224" i="22"/>
  <c r="P218" i="23"/>
  <c r="O224" i="23"/>
  <c r="O100" i="23"/>
  <c r="N259" i="21"/>
  <c r="P223" i="21"/>
  <c r="O224" i="21"/>
  <c r="O100" i="21"/>
  <c r="P224" i="22" l="1"/>
  <c r="P100" i="22"/>
  <c r="AH100" i="22" s="1"/>
  <c r="P100" i="23"/>
  <c r="P224" i="23"/>
  <c r="O259" i="21"/>
  <c r="P100" i="21"/>
  <c r="P224" i="21"/>
  <c r="AI100" i="22" l="1"/>
  <c r="AI100" i="23"/>
  <c r="AH100" i="23"/>
  <c r="AI100" i="21"/>
  <c r="AH100" i="21"/>
  <c r="L103" i="20"/>
  <c r="L39" i="20"/>
  <c r="K103" i="20"/>
  <c r="K39" i="20"/>
  <c r="J103" i="20"/>
  <c r="J39" i="20"/>
  <c r="I103" i="20"/>
  <c r="I39" i="20"/>
  <c r="H103" i="20"/>
  <c r="G103" i="20"/>
  <c r="H39" i="20"/>
  <c r="F103" i="20"/>
  <c r="F39" i="20"/>
  <c r="G39" i="20"/>
  <c r="E103" i="20"/>
  <c r="E39" i="20"/>
  <c r="D103" i="20"/>
  <c r="D39" i="20"/>
  <c r="C103" i="20"/>
  <c r="AH103" i="20" s="1"/>
  <c r="C39" i="20"/>
  <c r="B103" i="20"/>
  <c r="AF263" i="20"/>
  <c r="AE263" i="20"/>
  <c r="AD263" i="20"/>
  <c r="AC263" i="20"/>
  <c r="AB263" i="20"/>
  <c r="AA263" i="20"/>
  <c r="Z263" i="20"/>
  <c r="Y263" i="20"/>
  <c r="X263" i="20"/>
  <c r="W263" i="20"/>
  <c r="V263" i="20"/>
  <c r="U263" i="20"/>
  <c r="T263" i="20"/>
  <c r="S263" i="20"/>
  <c r="R263" i="20"/>
  <c r="Q263" i="20"/>
  <c r="P263" i="20"/>
  <c r="O263" i="20"/>
  <c r="N263" i="20"/>
  <c r="M263" i="20"/>
  <c r="L263" i="20"/>
  <c r="K263" i="20"/>
  <c r="J263" i="20"/>
  <c r="I263" i="20"/>
  <c r="H263" i="20"/>
  <c r="G263" i="20"/>
  <c r="F263" i="20"/>
  <c r="E263" i="20"/>
  <c r="D263" i="20"/>
  <c r="C263" i="20"/>
  <c r="B263" i="20"/>
  <c r="A263" i="20"/>
  <c r="AF262" i="20"/>
  <c r="AE262" i="20"/>
  <c r="AD262" i="20"/>
  <c r="AC262" i="20"/>
  <c r="AB262" i="20"/>
  <c r="AA262" i="20"/>
  <c r="Z262" i="20"/>
  <c r="Y262" i="20"/>
  <c r="X262" i="20"/>
  <c r="W262" i="20"/>
  <c r="V262" i="20"/>
  <c r="U262" i="20"/>
  <c r="T262" i="20"/>
  <c r="S262" i="20"/>
  <c r="R262" i="20"/>
  <c r="Q262" i="20"/>
  <c r="P262" i="20"/>
  <c r="O262" i="20"/>
  <c r="N262" i="20"/>
  <c r="M262" i="20"/>
  <c r="L262" i="20"/>
  <c r="K262" i="20"/>
  <c r="J262" i="20"/>
  <c r="I262" i="20"/>
  <c r="H262" i="20"/>
  <c r="G262" i="20"/>
  <c r="F262" i="20"/>
  <c r="E262" i="20"/>
  <c r="D262" i="20"/>
  <c r="C262" i="20"/>
  <c r="B262" i="20"/>
  <c r="A262" i="20"/>
  <c r="AF261" i="20"/>
  <c r="AE261" i="20"/>
  <c r="AD261" i="20"/>
  <c r="AC261" i="20"/>
  <c r="AB261" i="20"/>
  <c r="AA261" i="20"/>
  <c r="Z261" i="20"/>
  <c r="Y261" i="20"/>
  <c r="X261" i="20"/>
  <c r="W261" i="20"/>
  <c r="V261" i="20"/>
  <c r="U261" i="20"/>
  <c r="T261" i="20"/>
  <c r="S261" i="20"/>
  <c r="R261" i="20"/>
  <c r="Q261" i="20"/>
  <c r="P261" i="20"/>
  <c r="O261" i="20"/>
  <c r="N261" i="20"/>
  <c r="M261" i="20"/>
  <c r="L261" i="20"/>
  <c r="K261" i="20"/>
  <c r="J261" i="20"/>
  <c r="I261" i="20"/>
  <c r="H261" i="20"/>
  <c r="G261" i="20"/>
  <c r="F261" i="20"/>
  <c r="E261" i="20"/>
  <c r="D261" i="20"/>
  <c r="C261" i="20"/>
  <c r="B261" i="20"/>
  <c r="A261" i="20"/>
  <c r="AF260" i="20"/>
  <c r="AE260" i="20"/>
  <c r="AD260" i="20"/>
  <c r="AC260" i="20"/>
  <c r="AB260" i="20"/>
  <c r="AA260" i="20"/>
  <c r="Z260" i="20"/>
  <c r="Y260" i="20"/>
  <c r="X260" i="20"/>
  <c r="W260" i="20"/>
  <c r="V260" i="20"/>
  <c r="U260" i="20"/>
  <c r="T260" i="20"/>
  <c r="S260" i="20"/>
  <c r="R260" i="20"/>
  <c r="Q260" i="20"/>
  <c r="P260" i="20"/>
  <c r="O260" i="20"/>
  <c r="N260" i="20"/>
  <c r="M260" i="20"/>
  <c r="L260" i="20"/>
  <c r="K260" i="20"/>
  <c r="J260" i="20"/>
  <c r="I260" i="20"/>
  <c r="H260" i="20"/>
  <c r="G260" i="20"/>
  <c r="F260" i="20"/>
  <c r="E260" i="20"/>
  <c r="D260" i="20"/>
  <c r="C260" i="20"/>
  <c r="B260" i="20"/>
  <c r="A260" i="20"/>
  <c r="AE259" i="20"/>
  <c r="AD259" i="20"/>
  <c r="AC259" i="20"/>
  <c r="AB259" i="20"/>
  <c r="AA259" i="20"/>
  <c r="Z259" i="20"/>
  <c r="Y259" i="20"/>
  <c r="X259" i="20"/>
  <c r="W259" i="20"/>
  <c r="V259" i="20"/>
  <c r="U259" i="20"/>
  <c r="T259" i="20"/>
  <c r="S259" i="20"/>
  <c r="R259" i="20"/>
  <c r="Q259" i="20"/>
  <c r="P259" i="20"/>
  <c r="B259" i="20"/>
  <c r="S234" i="20"/>
  <c r="AG224" i="20"/>
  <c r="AG57" i="20" s="1"/>
  <c r="AG58" i="20" s="1"/>
  <c r="AG3" i="20" s="1"/>
  <c r="AF224" i="20"/>
  <c r="AE224" i="20"/>
  <c r="AD224" i="20"/>
  <c r="AC224" i="20"/>
  <c r="AB224" i="20"/>
  <c r="AA224" i="20"/>
  <c r="Z224" i="20"/>
  <c r="Y224" i="20"/>
  <c r="X224" i="20"/>
  <c r="W224" i="20"/>
  <c r="V224" i="20"/>
  <c r="U224" i="20"/>
  <c r="T224" i="20"/>
  <c r="S224" i="20"/>
  <c r="R224" i="20"/>
  <c r="Q224" i="20"/>
  <c r="C224" i="20"/>
  <c r="D223" i="20"/>
  <c r="E223" i="20" s="1"/>
  <c r="B223" i="20"/>
  <c r="AF259" i="20" s="1"/>
  <c r="D222" i="20"/>
  <c r="E222" i="20" s="1"/>
  <c r="F222" i="20" s="1"/>
  <c r="G222" i="20" s="1"/>
  <c r="H222" i="20" s="1"/>
  <c r="I222" i="20" s="1"/>
  <c r="J222" i="20" s="1"/>
  <c r="K222" i="20" s="1"/>
  <c r="L222" i="20" s="1"/>
  <c r="M222" i="20" s="1"/>
  <c r="N222" i="20" s="1"/>
  <c r="O222" i="20" s="1"/>
  <c r="P222" i="20" s="1"/>
  <c r="B222" i="20"/>
  <c r="D221" i="20"/>
  <c r="E221" i="20" s="1"/>
  <c r="F221" i="20" s="1"/>
  <c r="G221" i="20" s="1"/>
  <c r="H221" i="20" s="1"/>
  <c r="I221" i="20" s="1"/>
  <c r="J221" i="20" s="1"/>
  <c r="K221" i="20" s="1"/>
  <c r="L221" i="20" s="1"/>
  <c r="M221" i="20" s="1"/>
  <c r="N221" i="20" s="1"/>
  <c r="O221" i="20" s="1"/>
  <c r="P221" i="20" s="1"/>
  <c r="B221" i="20"/>
  <c r="D220" i="20"/>
  <c r="E220" i="20" s="1"/>
  <c r="F220" i="20" s="1"/>
  <c r="G220" i="20" s="1"/>
  <c r="H220" i="20" s="1"/>
  <c r="I220" i="20" s="1"/>
  <c r="J220" i="20" s="1"/>
  <c r="K220" i="20" s="1"/>
  <c r="L220" i="20" s="1"/>
  <c r="M220" i="20" s="1"/>
  <c r="N220" i="20" s="1"/>
  <c r="O220" i="20" s="1"/>
  <c r="P220" i="20" s="1"/>
  <c r="B220" i="20"/>
  <c r="D219" i="20"/>
  <c r="E219" i="20" s="1"/>
  <c r="F219" i="20" s="1"/>
  <c r="G219" i="20" s="1"/>
  <c r="H219" i="20" s="1"/>
  <c r="I219" i="20" s="1"/>
  <c r="J219" i="20" s="1"/>
  <c r="K219" i="20" s="1"/>
  <c r="L219" i="20" s="1"/>
  <c r="M219" i="20" s="1"/>
  <c r="N219" i="20" s="1"/>
  <c r="O219" i="20" s="1"/>
  <c r="P219" i="20" s="1"/>
  <c r="B219" i="20"/>
  <c r="D218" i="20"/>
  <c r="B218" i="20"/>
  <c r="AG216" i="20"/>
  <c r="AF216" i="20"/>
  <c r="AE216" i="20"/>
  <c r="AD216" i="20"/>
  <c r="AC216" i="20"/>
  <c r="AB216" i="20"/>
  <c r="AA216" i="20"/>
  <c r="Z216" i="20"/>
  <c r="Y216" i="20"/>
  <c r="X216" i="20"/>
  <c r="W216" i="20"/>
  <c r="V216" i="20"/>
  <c r="U216" i="20"/>
  <c r="T216" i="20"/>
  <c r="S216" i="20"/>
  <c r="R216" i="20"/>
  <c r="Q216" i="20"/>
  <c r="P216" i="20"/>
  <c r="O216" i="20"/>
  <c r="N216" i="20"/>
  <c r="M216" i="20"/>
  <c r="L216" i="20"/>
  <c r="K216" i="20"/>
  <c r="J216" i="20"/>
  <c r="I216" i="20"/>
  <c r="H216" i="20"/>
  <c r="G216" i="20"/>
  <c r="F216" i="20"/>
  <c r="E216" i="20"/>
  <c r="D216" i="20"/>
  <c r="C216" i="20"/>
  <c r="B216" i="20"/>
  <c r="AI109" i="20"/>
  <c r="AH109" i="20"/>
  <c r="AI108" i="20"/>
  <c r="AH108" i="20"/>
  <c r="AI107" i="20"/>
  <c r="AH107" i="20"/>
  <c r="AI106" i="20"/>
  <c r="AH106" i="20"/>
  <c r="AI105" i="20"/>
  <c r="AH105" i="20"/>
  <c r="AI104" i="20"/>
  <c r="AH104" i="20"/>
  <c r="AI103" i="20"/>
  <c r="AI102" i="20"/>
  <c r="AH102" i="20"/>
  <c r="AI101" i="20"/>
  <c r="AH101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AI99" i="20"/>
  <c r="AH99" i="20"/>
  <c r="AI98" i="20"/>
  <c r="AH98" i="20"/>
  <c r="AI97" i="20"/>
  <c r="AH97" i="20"/>
  <c r="AI96" i="20"/>
  <c r="AH96" i="20"/>
  <c r="AI95" i="20"/>
  <c r="AH95" i="20"/>
  <c r="AI94" i="20"/>
  <c r="AH94" i="20"/>
  <c r="AI93" i="20"/>
  <c r="AH93" i="20"/>
  <c r="AI92" i="20"/>
  <c r="AH92" i="20"/>
  <c r="AI91" i="20"/>
  <c r="AH91" i="20"/>
  <c r="AI88" i="20"/>
  <c r="AH88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AF83" i="20"/>
  <c r="AE83" i="20"/>
  <c r="AD83" i="20"/>
  <c r="AC83" i="20"/>
  <c r="AB83" i="20"/>
  <c r="AA83" i="20"/>
  <c r="Z83" i="20"/>
  <c r="Y83" i="20"/>
  <c r="X83" i="20"/>
  <c r="X89" i="20" s="1"/>
  <c r="W83" i="20"/>
  <c r="V83" i="20"/>
  <c r="U83" i="20"/>
  <c r="T83" i="20"/>
  <c r="S83" i="20"/>
  <c r="R83" i="20"/>
  <c r="Q83" i="20"/>
  <c r="P83" i="20"/>
  <c r="P89" i="20" s="1"/>
  <c r="O83" i="20"/>
  <c r="N83" i="20"/>
  <c r="M83" i="20"/>
  <c r="L83" i="20"/>
  <c r="K83" i="20"/>
  <c r="J83" i="20"/>
  <c r="I83" i="20"/>
  <c r="H83" i="20"/>
  <c r="H89" i="20" s="1"/>
  <c r="G83" i="20"/>
  <c r="F83" i="20"/>
  <c r="E83" i="20"/>
  <c r="D83" i="20"/>
  <c r="C83" i="20"/>
  <c r="B83" i="20"/>
  <c r="AI80" i="20"/>
  <c r="AH80" i="20"/>
  <c r="AI78" i="20"/>
  <c r="AH78" i="20"/>
  <c r="AG78" i="20"/>
  <c r="AI77" i="20"/>
  <c r="AH77" i="20"/>
  <c r="AI76" i="20"/>
  <c r="AH76" i="20"/>
  <c r="AI75" i="20"/>
  <c r="AH75" i="20"/>
  <c r="AG74" i="20"/>
  <c r="AF74" i="20"/>
  <c r="AE74" i="20"/>
  <c r="AD5" i="20" s="1"/>
  <c r="AD74" i="20"/>
  <c r="AC5" i="20" s="1"/>
  <c r="AC74" i="20"/>
  <c r="AB5" i="20" s="1"/>
  <c r="AB74" i="20"/>
  <c r="AA74" i="20"/>
  <c r="Z5" i="20" s="1"/>
  <c r="Z74" i="20"/>
  <c r="Y74" i="20"/>
  <c r="X74" i="20"/>
  <c r="W74" i="20"/>
  <c r="V5" i="20" s="1"/>
  <c r="V74" i="20"/>
  <c r="U5" i="20" s="1"/>
  <c r="U74" i="20"/>
  <c r="T5" i="20" s="1"/>
  <c r="T74" i="20"/>
  <c r="S74" i="20"/>
  <c r="R5" i="20" s="1"/>
  <c r="R74" i="20"/>
  <c r="Q74" i="20"/>
  <c r="P74" i="20"/>
  <c r="O74" i="20"/>
  <c r="N5" i="20" s="1"/>
  <c r="N74" i="20"/>
  <c r="M5" i="20" s="1"/>
  <c r="M74" i="20"/>
  <c r="L5" i="20" s="1"/>
  <c r="L74" i="20"/>
  <c r="K5" i="20" s="1"/>
  <c r="K74" i="20"/>
  <c r="J74" i="20"/>
  <c r="I74" i="20"/>
  <c r="H5" i="20" s="1"/>
  <c r="H74" i="20"/>
  <c r="G5" i="20" s="1"/>
  <c r="G74" i="20"/>
  <c r="F5" i="20" s="1"/>
  <c r="F74" i="20"/>
  <c r="E5" i="20" s="1"/>
  <c r="E74" i="20"/>
  <c r="D5" i="20" s="1"/>
  <c r="D74" i="20"/>
  <c r="C74" i="20"/>
  <c r="B74" i="20"/>
  <c r="AF5" i="20" s="1"/>
  <c r="AI73" i="20"/>
  <c r="AH73" i="20"/>
  <c r="AI72" i="20"/>
  <c r="AH72" i="20"/>
  <c r="AI71" i="20"/>
  <c r="AH71" i="20"/>
  <c r="AI70" i="20"/>
  <c r="AH70" i="20"/>
  <c r="AI69" i="20"/>
  <c r="AH69" i="20"/>
  <c r="AI68" i="20"/>
  <c r="AH68" i="20"/>
  <c r="AI67" i="20"/>
  <c r="AH67" i="20"/>
  <c r="AI66" i="20"/>
  <c r="AH66" i="20"/>
  <c r="AI65" i="20"/>
  <c r="AH65" i="20"/>
  <c r="AI64" i="20"/>
  <c r="AH64" i="20"/>
  <c r="AI63" i="20"/>
  <c r="AH63" i="20"/>
  <c r="AG62" i="20"/>
  <c r="AG4" i="20" s="1"/>
  <c r="AF62" i="20"/>
  <c r="AE62" i="20"/>
  <c r="AD62" i="20"/>
  <c r="AC62" i="20"/>
  <c r="AB62" i="20"/>
  <c r="AA62" i="20"/>
  <c r="Z62" i="20"/>
  <c r="Y62" i="20"/>
  <c r="X62" i="20"/>
  <c r="W62" i="20"/>
  <c r="V62" i="20"/>
  <c r="U62" i="20"/>
  <c r="T62" i="20"/>
  <c r="S62" i="20"/>
  <c r="R62" i="20"/>
  <c r="Q62" i="20"/>
  <c r="P62" i="20"/>
  <c r="O62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B62" i="20"/>
  <c r="AI61" i="20"/>
  <c r="AH61" i="20"/>
  <c r="AI60" i="20"/>
  <c r="AH60" i="20"/>
  <c r="AI59" i="20"/>
  <c r="AH59" i="20"/>
  <c r="AF58" i="20"/>
  <c r="AE58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B58" i="20"/>
  <c r="AI57" i="20"/>
  <c r="AH57" i="20"/>
  <c r="AI56" i="20"/>
  <c r="AH56" i="20"/>
  <c r="AI55" i="20"/>
  <c r="AH55" i="20"/>
  <c r="AI54" i="20"/>
  <c r="AH54" i="20"/>
  <c r="AI53" i="20"/>
  <c r="AH53" i="20"/>
  <c r="AI52" i="20"/>
  <c r="AH52" i="20"/>
  <c r="AI51" i="20"/>
  <c r="AH51" i="20"/>
  <c r="AI50" i="20"/>
  <c r="AH50" i="20"/>
  <c r="AI49" i="20"/>
  <c r="AH49" i="20"/>
  <c r="AI48" i="20"/>
  <c r="AH48" i="20"/>
  <c r="AI47" i="20"/>
  <c r="AH47" i="20"/>
  <c r="AI46" i="20"/>
  <c r="AH46" i="20"/>
  <c r="AI45" i="20"/>
  <c r="AH45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AI43" i="20"/>
  <c r="AH43" i="20"/>
  <c r="AI42" i="20"/>
  <c r="AH42" i="20"/>
  <c r="AI41" i="20"/>
  <c r="AH41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AI38" i="20"/>
  <c r="AH38" i="20"/>
  <c r="AI37" i="20"/>
  <c r="AH37" i="20"/>
  <c r="AI36" i="20"/>
  <c r="AH36" i="20"/>
  <c r="AI35" i="20"/>
  <c r="AH35" i="20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AI23" i="20"/>
  <c r="AH23" i="20"/>
  <c r="AI22" i="20"/>
  <c r="AH22" i="20"/>
  <c r="AI21" i="20"/>
  <c r="AH21" i="20"/>
  <c r="AI20" i="20"/>
  <c r="AH20" i="20"/>
  <c r="AI19" i="20"/>
  <c r="AH19" i="20"/>
  <c r="AI18" i="20"/>
  <c r="AH18" i="20"/>
  <c r="AI17" i="20"/>
  <c r="AH17" i="20"/>
  <c r="AI16" i="20"/>
  <c r="AH16" i="20"/>
  <c r="AI15" i="20"/>
  <c r="AH15" i="20"/>
  <c r="AI14" i="20"/>
  <c r="AH14" i="20"/>
  <c r="AI13" i="20"/>
  <c r="AH13" i="20"/>
  <c r="AI12" i="20"/>
  <c r="AH12" i="20"/>
  <c r="AI11" i="20"/>
  <c r="AH11" i="20"/>
  <c r="K4" i="20"/>
  <c r="B4" i="20"/>
  <c r="S235" i="20" s="1"/>
  <c r="AG2" i="20"/>
  <c r="AF103" i="19"/>
  <c r="AF39" i="19"/>
  <c r="AE103" i="19"/>
  <c r="AE39" i="19"/>
  <c r="AD103" i="19"/>
  <c r="AD39" i="19"/>
  <c r="AC103" i="19"/>
  <c r="AC39" i="19"/>
  <c r="AB103" i="19"/>
  <c r="AB39" i="19"/>
  <c r="T103" i="19"/>
  <c r="T39" i="19"/>
  <c r="S39" i="19"/>
  <c r="R103" i="19"/>
  <c r="R39" i="19"/>
  <c r="P103" i="19"/>
  <c r="P39" i="19"/>
  <c r="E4" i="20"/>
  <c r="Q89" i="20" l="1"/>
  <c r="Y89" i="20"/>
  <c r="R89" i="20"/>
  <c r="B100" i="20"/>
  <c r="Q79" i="20"/>
  <c r="Q81" i="20" s="1"/>
  <c r="Q7" i="20" s="1"/>
  <c r="C100" i="20"/>
  <c r="P90" i="20"/>
  <c r="X90" i="20"/>
  <c r="AF89" i="20"/>
  <c r="AF90" i="20" s="1"/>
  <c r="AE5" i="20"/>
  <c r="AF79" i="20"/>
  <c r="AF81" i="20" s="1"/>
  <c r="AF7" i="20" s="1"/>
  <c r="AD89" i="20"/>
  <c r="AD79" i="20"/>
  <c r="AD81" i="20" s="1"/>
  <c r="AD7" i="20" s="1"/>
  <c r="AH62" i="20"/>
  <c r="AC79" i="20"/>
  <c r="AC81" i="20" s="1"/>
  <c r="AC7" i="20" s="1"/>
  <c r="F223" i="20"/>
  <c r="E259" i="20" s="1"/>
  <c r="D259" i="20"/>
  <c r="T89" i="20"/>
  <c r="C259" i="20"/>
  <c r="AG6" i="20"/>
  <c r="AC89" i="20"/>
  <c r="AE89" i="20"/>
  <c r="B224" i="20"/>
  <c r="Q90" i="20"/>
  <c r="D224" i="20"/>
  <c r="R90" i="20"/>
  <c r="AE79" i="20"/>
  <c r="AE81" i="20" s="1"/>
  <c r="AE7" i="20" s="1"/>
  <c r="AB89" i="20"/>
  <c r="AB90" i="20" s="1"/>
  <c r="AA5" i="20"/>
  <c r="AI62" i="20"/>
  <c r="AB79" i="20"/>
  <c r="AB81" i="20" s="1"/>
  <c r="AB82" i="20" s="1"/>
  <c r="Z89" i="20"/>
  <c r="Z90" i="20" s="1"/>
  <c r="AA89" i="20"/>
  <c r="AA79" i="20"/>
  <c r="AA81" i="20" s="1"/>
  <c r="AA7" i="20" s="1"/>
  <c r="AA90" i="20"/>
  <c r="Y5" i="20"/>
  <c r="Z79" i="20"/>
  <c r="Z81" i="20" s="1"/>
  <c r="Z7" i="20" s="1"/>
  <c r="Y90" i="20"/>
  <c r="X5" i="20"/>
  <c r="Y79" i="20"/>
  <c r="Y81" i="20" s="1"/>
  <c r="AQ238" i="20" s="1"/>
  <c r="W5" i="20"/>
  <c r="X79" i="20"/>
  <c r="X81" i="20" s="1"/>
  <c r="AP238" i="20" s="1"/>
  <c r="W89" i="20"/>
  <c r="W79" i="20"/>
  <c r="W81" i="20" s="1"/>
  <c r="W82" i="20" s="1"/>
  <c r="V89" i="20"/>
  <c r="V79" i="20"/>
  <c r="V81" i="20" s="1"/>
  <c r="V7" i="20" s="1"/>
  <c r="U89" i="20"/>
  <c r="U82" i="20" s="1"/>
  <c r="U79" i="20"/>
  <c r="U81" i="20" s="1"/>
  <c r="T90" i="20"/>
  <c r="S5" i="20"/>
  <c r="T79" i="20"/>
  <c r="T81" i="20" s="1"/>
  <c r="T7" i="20" s="1"/>
  <c r="S89" i="20"/>
  <c r="S90" i="20" s="1"/>
  <c r="S79" i="20"/>
  <c r="S81" i="20" s="1"/>
  <c r="S7" i="20" s="1"/>
  <c r="Q5" i="20"/>
  <c r="R79" i="20"/>
  <c r="R81" i="20" s="1"/>
  <c r="R7" i="20" s="1"/>
  <c r="P5" i="20"/>
  <c r="P79" i="20"/>
  <c r="P81" i="20" s="1"/>
  <c r="P7" i="20" s="1"/>
  <c r="O5" i="20"/>
  <c r="O89" i="20"/>
  <c r="O90" i="20" s="1"/>
  <c r="O79" i="20"/>
  <c r="O81" i="20" s="1"/>
  <c r="AG238" i="20" s="1"/>
  <c r="N89" i="20"/>
  <c r="N90" i="20" s="1"/>
  <c r="N79" i="20"/>
  <c r="N81" i="20" s="1"/>
  <c r="N7" i="20" s="1"/>
  <c r="M89" i="20"/>
  <c r="M79" i="20"/>
  <c r="M81" i="20" s="1"/>
  <c r="AE238" i="20" s="1"/>
  <c r="L89" i="20"/>
  <c r="L79" i="20"/>
  <c r="L81" i="20" s="1"/>
  <c r="AD238" i="20" s="1"/>
  <c r="AH39" i="20"/>
  <c r="K89" i="20"/>
  <c r="K90" i="20" s="1"/>
  <c r="J5" i="20"/>
  <c r="K79" i="20"/>
  <c r="K81" i="20" s="1"/>
  <c r="K7" i="20" s="1"/>
  <c r="J89" i="20"/>
  <c r="J90" i="20" s="1"/>
  <c r="I5" i="20"/>
  <c r="J79" i="20"/>
  <c r="J81" i="20" s="1"/>
  <c r="AB238" i="20" s="1"/>
  <c r="AI39" i="20"/>
  <c r="AI85" i="20"/>
  <c r="I79" i="20"/>
  <c r="I81" i="20" s="1"/>
  <c r="I7" i="20" s="1"/>
  <c r="H79" i="20"/>
  <c r="H81" i="20" s="1"/>
  <c r="Z238" i="20" s="1"/>
  <c r="H90" i="20"/>
  <c r="G89" i="20"/>
  <c r="G90" i="20" s="1"/>
  <c r="F89" i="20"/>
  <c r="AI83" i="20"/>
  <c r="F79" i="20"/>
  <c r="F81" i="20" s="1"/>
  <c r="F7" i="20" s="1"/>
  <c r="G79" i="20"/>
  <c r="G81" i="20" s="1"/>
  <c r="E89" i="20"/>
  <c r="AI84" i="20"/>
  <c r="E79" i="20"/>
  <c r="E81" i="20" s="1"/>
  <c r="W238" i="20" s="1"/>
  <c r="AI44" i="20"/>
  <c r="D89" i="20"/>
  <c r="D90" i="20" s="1"/>
  <c r="C5" i="20"/>
  <c r="D79" i="20"/>
  <c r="D81" i="20" s="1"/>
  <c r="D7" i="20" s="1"/>
  <c r="AI40" i="20"/>
  <c r="AI87" i="20"/>
  <c r="AI86" i="20"/>
  <c r="B5" i="20"/>
  <c r="C89" i="20"/>
  <c r="C90" i="20" s="1"/>
  <c r="C79" i="20"/>
  <c r="C81" i="20" s="1"/>
  <c r="U238" i="20" s="1"/>
  <c r="AH58" i="20"/>
  <c r="AI58" i="20"/>
  <c r="AH83" i="20"/>
  <c r="H4" i="20"/>
  <c r="H7" i="20"/>
  <c r="W90" i="20"/>
  <c r="AE90" i="20"/>
  <c r="U7" i="20"/>
  <c r="AM238" i="20"/>
  <c r="L7" i="20"/>
  <c r="AN238" i="20"/>
  <c r="V82" i="20"/>
  <c r="F82" i="20"/>
  <c r="AG81" i="20"/>
  <c r="Y7" i="20"/>
  <c r="Y82" i="20"/>
  <c r="AG79" i="20"/>
  <c r="E90" i="20"/>
  <c r="M90" i="20"/>
  <c r="E7" i="20"/>
  <c r="AH238" i="20"/>
  <c r="P82" i="20"/>
  <c r="Q82" i="20"/>
  <c r="J7" i="20"/>
  <c r="F90" i="20"/>
  <c r="V90" i="20"/>
  <c r="AD90" i="20"/>
  <c r="D100" i="20"/>
  <c r="D235" i="20"/>
  <c r="AH74" i="20"/>
  <c r="I89" i="20"/>
  <c r="I90" i="20" s="1"/>
  <c r="AI74" i="20"/>
  <c r="B89" i="20"/>
  <c r="B90" i="20" s="1"/>
  <c r="AH84" i="20"/>
  <c r="E218" i="20"/>
  <c r="AH40" i="20"/>
  <c r="AH44" i="20"/>
  <c r="B79" i="20"/>
  <c r="AH85" i="20"/>
  <c r="AH86" i="20"/>
  <c r="AH87" i="20"/>
  <c r="U90" i="20" l="1"/>
  <c r="AI238" i="20"/>
  <c r="G223" i="20"/>
  <c r="AC82" i="20"/>
  <c r="AD82" i="20"/>
  <c r="AV238" i="20"/>
  <c r="AF82" i="20"/>
  <c r="AX238" i="20"/>
  <c r="AE82" i="20"/>
  <c r="AW238" i="20"/>
  <c r="AC90" i="20"/>
  <c r="AU238" i="20"/>
  <c r="I82" i="20"/>
  <c r="AA238" i="20"/>
  <c r="AT238" i="20"/>
  <c r="AB7" i="20"/>
  <c r="AA82" i="20"/>
  <c r="AS238" i="20"/>
  <c r="Z82" i="20"/>
  <c r="AR238" i="20"/>
  <c r="X238" i="20"/>
  <c r="E82" i="20"/>
  <c r="X7" i="20"/>
  <c r="V238" i="20"/>
  <c r="AO238" i="20"/>
  <c r="X82" i="20"/>
  <c r="W7" i="20"/>
  <c r="O7" i="20"/>
  <c r="AL238" i="20"/>
  <c r="T82" i="20"/>
  <c r="S82" i="20"/>
  <c r="AK238" i="20"/>
  <c r="R82" i="20"/>
  <c r="AJ238" i="20"/>
  <c r="O82" i="20"/>
  <c r="N82" i="20"/>
  <c r="AF238" i="20"/>
  <c r="M82" i="20"/>
  <c r="M7" i="20"/>
  <c r="K82" i="20"/>
  <c r="L82" i="20"/>
  <c r="L90" i="20"/>
  <c r="AI90" i="20" s="1"/>
  <c r="AC238" i="20"/>
  <c r="J82" i="20"/>
  <c r="C233" i="20"/>
  <c r="H82" i="20"/>
  <c r="G82" i="20"/>
  <c r="G7" i="20"/>
  <c r="Y238" i="20"/>
  <c r="B233" i="20"/>
  <c r="D82" i="20"/>
  <c r="C82" i="20"/>
  <c r="C7" i="20"/>
  <c r="F259" i="20"/>
  <c r="H223" i="20"/>
  <c r="F218" i="20"/>
  <c r="E100" i="20"/>
  <c r="E224" i="20"/>
  <c r="AI89" i="20"/>
  <c r="AH89" i="20"/>
  <c r="AI79" i="20"/>
  <c r="AH79" i="20"/>
  <c r="B81" i="20"/>
  <c r="AH90" i="20" l="1"/>
  <c r="K6" i="20"/>
  <c r="G218" i="20"/>
  <c r="F100" i="20"/>
  <c r="F224" i="20"/>
  <c r="G259" i="20"/>
  <c r="I223" i="20"/>
  <c r="B7" i="20"/>
  <c r="A7" i="20" s="1"/>
  <c r="T238" i="20"/>
  <c r="B82" i="20"/>
  <c r="AI81" i="20"/>
  <c r="AH81" i="20"/>
  <c r="H218" i="20" l="1"/>
  <c r="G100" i="20"/>
  <c r="G224" i="20"/>
  <c r="H259" i="20"/>
  <c r="J223" i="20"/>
  <c r="AI82" i="20"/>
  <c r="AH82" i="20"/>
  <c r="O103" i="19"/>
  <c r="AI103" i="19" s="1"/>
  <c r="O39" i="19"/>
  <c r="N103" i="19"/>
  <c r="N39" i="19"/>
  <c r="M103" i="19"/>
  <c r="M39" i="19"/>
  <c r="L39" i="19"/>
  <c r="K39" i="19"/>
  <c r="J39" i="19"/>
  <c r="I39" i="19"/>
  <c r="H39" i="19"/>
  <c r="G39" i="19"/>
  <c r="F39" i="19"/>
  <c r="E39" i="19"/>
  <c r="AF263" i="19"/>
  <c r="AE263" i="19"/>
  <c r="AD263" i="19"/>
  <c r="AC263" i="19"/>
  <c r="AB263" i="19"/>
  <c r="AA263" i="19"/>
  <c r="Z263" i="19"/>
  <c r="Y263" i="19"/>
  <c r="X263" i="19"/>
  <c r="W263" i="19"/>
  <c r="V263" i="19"/>
  <c r="U263" i="19"/>
  <c r="T263" i="19"/>
  <c r="S263" i="19"/>
  <c r="R263" i="19"/>
  <c r="Q263" i="19"/>
  <c r="P263" i="19"/>
  <c r="O263" i="19"/>
  <c r="N263" i="19"/>
  <c r="M263" i="19"/>
  <c r="L263" i="19"/>
  <c r="K263" i="19"/>
  <c r="J263" i="19"/>
  <c r="I263" i="19"/>
  <c r="H263" i="19"/>
  <c r="G263" i="19"/>
  <c r="F263" i="19"/>
  <c r="E263" i="19"/>
  <c r="D263" i="19"/>
  <c r="C263" i="19"/>
  <c r="B263" i="19"/>
  <c r="A263" i="19"/>
  <c r="AF262" i="19"/>
  <c r="AE262" i="19"/>
  <c r="AD262" i="19"/>
  <c r="AC262" i="19"/>
  <c r="AB262" i="19"/>
  <c r="AA262" i="19"/>
  <c r="Z262" i="19"/>
  <c r="Y262" i="19"/>
  <c r="X262" i="19"/>
  <c r="W262" i="19"/>
  <c r="V262" i="19"/>
  <c r="U262" i="19"/>
  <c r="T262" i="19"/>
  <c r="S262" i="19"/>
  <c r="R262" i="19"/>
  <c r="Q262" i="19"/>
  <c r="P262" i="19"/>
  <c r="O262" i="19"/>
  <c r="N262" i="19"/>
  <c r="M262" i="19"/>
  <c r="L262" i="19"/>
  <c r="K262" i="19"/>
  <c r="J262" i="19"/>
  <c r="I262" i="19"/>
  <c r="H262" i="19"/>
  <c r="G262" i="19"/>
  <c r="F262" i="19"/>
  <c r="E262" i="19"/>
  <c r="D262" i="19"/>
  <c r="C262" i="19"/>
  <c r="B262" i="19"/>
  <c r="A262" i="19"/>
  <c r="AF261" i="19"/>
  <c r="AE261" i="19"/>
  <c r="AD261" i="19"/>
  <c r="AC261" i="19"/>
  <c r="AB261" i="19"/>
  <c r="AA261" i="19"/>
  <c r="Z261" i="19"/>
  <c r="Y261" i="19"/>
  <c r="X261" i="19"/>
  <c r="W261" i="19"/>
  <c r="V261" i="19"/>
  <c r="U261" i="19"/>
  <c r="T261" i="19"/>
  <c r="S261" i="19"/>
  <c r="R261" i="19"/>
  <c r="Q261" i="19"/>
  <c r="P261" i="19"/>
  <c r="O261" i="19"/>
  <c r="N261" i="19"/>
  <c r="M261" i="19"/>
  <c r="L261" i="19"/>
  <c r="K261" i="19"/>
  <c r="J261" i="19"/>
  <c r="I261" i="19"/>
  <c r="H261" i="19"/>
  <c r="G261" i="19"/>
  <c r="F261" i="19"/>
  <c r="E261" i="19"/>
  <c r="D261" i="19"/>
  <c r="C261" i="19"/>
  <c r="B261" i="19"/>
  <c r="A261" i="19"/>
  <c r="AF260" i="19"/>
  <c r="AE260" i="19"/>
  <c r="AD260" i="19"/>
  <c r="AC260" i="19"/>
  <c r="AB260" i="19"/>
  <c r="AA260" i="19"/>
  <c r="Z260" i="19"/>
  <c r="Y260" i="19"/>
  <c r="X260" i="19"/>
  <c r="W260" i="19"/>
  <c r="V260" i="19"/>
  <c r="U260" i="19"/>
  <c r="T260" i="19"/>
  <c r="S260" i="19"/>
  <c r="R260" i="19"/>
  <c r="Q260" i="19"/>
  <c r="P260" i="19"/>
  <c r="O260" i="19"/>
  <c r="N260" i="19"/>
  <c r="M260" i="19"/>
  <c r="L260" i="19"/>
  <c r="K260" i="19"/>
  <c r="J260" i="19"/>
  <c r="I260" i="19"/>
  <c r="H260" i="19"/>
  <c r="G260" i="19"/>
  <c r="F260" i="19"/>
  <c r="E260" i="19"/>
  <c r="D260" i="19"/>
  <c r="C260" i="19"/>
  <c r="B260" i="19"/>
  <c r="A260" i="19"/>
  <c r="AE259" i="19"/>
  <c r="AD259" i="19"/>
  <c r="AC259" i="19"/>
  <c r="AB259" i="19"/>
  <c r="AA259" i="19"/>
  <c r="Z259" i="19"/>
  <c r="Y259" i="19"/>
  <c r="X259" i="19"/>
  <c r="W259" i="19"/>
  <c r="V259" i="19"/>
  <c r="U259" i="19"/>
  <c r="T259" i="19"/>
  <c r="S259" i="19"/>
  <c r="R259" i="19"/>
  <c r="Q259" i="19"/>
  <c r="P259" i="19"/>
  <c r="C259" i="19"/>
  <c r="B259" i="19"/>
  <c r="S234" i="19"/>
  <c r="AG224" i="19"/>
  <c r="AF224" i="19"/>
  <c r="AE224" i="19"/>
  <c r="AD224" i="19"/>
  <c r="AC224" i="19"/>
  <c r="AB224" i="19"/>
  <c r="AA224" i="19"/>
  <c r="Z224" i="19"/>
  <c r="Y224" i="19"/>
  <c r="X224" i="19"/>
  <c r="W224" i="19"/>
  <c r="V224" i="19"/>
  <c r="U224" i="19"/>
  <c r="T224" i="19"/>
  <c r="S224" i="19"/>
  <c r="R224" i="19"/>
  <c r="Q224" i="19"/>
  <c r="C224" i="19"/>
  <c r="E223" i="19"/>
  <c r="D259" i="19" s="1"/>
  <c r="D223" i="19"/>
  <c r="B223" i="19"/>
  <c r="AF259" i="19" s="1"/>
  <c r="E222" i="19"/>
  <c r="F222" i="19" s="1"/>
  <c r="G222" i="19" s="1"/>
  <c r="H222" i="19" s="1"/>
  <c r="I222" i="19" s="1"/>
  <c r="J222" i="19" s="1"/>
  <c r="K222" i="19" s="1"/>
  <c r="L222" i="19" s="1"/>
  <c r="M222" i="19" s="1"/>
  <c r="N222" i="19" s="1"/>
  <c r="O222" i="19" s="1"/>
  <c r="P222" i="19" s="1"/>
  <c r="D222" i="19"/>
  <c r="B222" i="19"/>
  <c r="D221" i="19"/>
  <c r="B221" i="19"/>
  <c r="D220" i="19"/>
  <c r="E220" i="19" s="1"/>
  <c r="F220" i="19" s="1"/>
  <c r="G220" i="19" s="1"/>
  <c r="H220" i="19" s="1"/>
  <c r="I220" i="19" s="1"/>
  <c r="J220" i="19" s="1"/>
  <c r="K220" i="19" s="1"/>
  <c r="L220" i="19" s="1"/>
  <c r="M220" i="19" s="1"/>
  <c r="N220" i="19" s="1"/>
  <c r="O220" i="19" s="1"/>
  <c r="P220" i="19" s="1"/>
  <c r="B220" i="19"/>
  <c r="E219" i="19"/>
  <c r="F219" i="19" s="1"/>
  <c r="G219" i="19" s="1"/>
  <c r="H219" i="19" s="1"/>
  <c r="I219" i="19" s="1"/>
  <c r="J219" i="19" s="1"/>
  <c r="K219" i="19" s="1"/>
  <c r="L219" i="19" s="1"/>
  <c r="M219" i="19" s="1"/>
  <c r="N219" i="19" s="1"/>
  <c r="O219" i="19" s="1"/>
  <c r="P219" i="19" s="1"/>
  <c r="D219" i="19"/>
  <c r="B219" i="19"/>
  <c r="E218" i="19"/>
  <c r="F218" i="19" s="1"/>
  <c r="G218" i="19" s="1"/>
  <c r="D218" i="19"/>
  <c r="B218" i="19"/>
  <c r="B100" i="19" s="1"/>
  <c r="AG216" i="19"/>
  <c r="AF216" i="19"/>
  <c r="AE216" i="19"/>
  <c r="AD216" i="19"/>
  <c r="AC216" i="19"/>
  <c r="AB216" i="19"/>
  <c r="AA216" i="19"/>
  <c r="Z216" i="19"/>
  <c r="Y216" i="19"/>
  <c r="X216" i="19"/>
  <c r="W216" i="19"/>
  <c r="V216" i="19"/>
  <c r="U216" i="19"/>
  <c r="T216" i="19"/>
  <c r="S216" i="19"/>
  <c r="R216" i="19"/>
  <c r="Q216" i="19"/>
  <c r="P216" i="19"/>
  <c r="O216" i="19"/>
  <c r="N216" i="19"/>
  <c r="M216" i="19"/>
  <c r="L216" i="19"/>
  <c r="K216" i="19"/>
  <c r="J216" i="19"/>
  <c r="I216" i="19"/>
  <c r="H216" i="19"/>
  <c r="G216" i="19"/>
  <c r="F216" i="19"/>
  <c r="E216" i="19"/>
  <c r="D216" i="19"/>
  <c r="C216" i="19"/>
  <c r="B216" i="19"/>
  <c r="AI109" i="19"/>
  <c r="AH109" i="19"/>
  <c r="AI108" i="19"/>
  <c r="AH108" i="19"/>
  <c r="AI107" i="19"/>
  <c r="AH107" i="19"/>
  <c r="AI106" i="19"/>
  <c r="AH106" i="19"/>
  <c r="AI105" i="19"/>
  <c r="AH105" i="19"/>
  <c r="AI104" i="19"/>
  <c r="AH104" i="19"/>
  <c r="AI102" i="19"/>
  <c r="AH102" i="19"/>
  <c r="AI101" i="19"/>
  <c r="AH101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E100" i="19"/>
  <c r="D100" i="19"/>
  <c r="C100" i="19"/>
  <c r="AI99" i="19"/>
  <c r="AH99" i="19"/>
  <c r="AI98" i="19"/>
  <c r="AH98" i="19"/>
  <c r="AI97" i="19"/>
  <c r="AH97" i="19"/>
  <c r="AI96" i="19"/>
  <c r="AH96" i="19"/>
  <c r="AI95" i="19"/>
  <c r="AH95" i="19"/>
  <c r="AI94" i="19"/>
  <c r="AH94" i="19"/>
  <c r="AI93" i="19"/>
  <c r="AH93" i="19"/>
  <c r="AI92" i="19"/>
  <c r="AH92" i="19"/>
  <c r="AI91" i="19"/>
  <c r="AH91" i="19"/>
  <c r="AI88" i="19"/>
  <c r="AH88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AF83" i="19"/>
  <c r="AE83" i="19"/>
  <c r="AD83" i="19"/>
  <c r="AC83" i="19"/>
  <c r="AB83" i="19"/>
  <c r="AA83" i="19"/>
  <c r="AA89" i="19" s="1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K89" i="19" s="1"/>
  <c r="J83" i="19"/>
  <c r="I83" i="19"/>
  <c r="H83" i="19"/>
  <c r="G83" i="19"/>
  <c r="F83" i="19"/>
  <c r="E83" i="19"/>
  <c r="D83" i="19"/>
  <c r="C83" i="19"/>
  <c r="B83" i="19"/>
  <c r="AI80" i="19"/>
  <c r="AH80" i="19"/>
  <c r="AI78" i="19"/>
  <c r="AH78" i="19"/>
  <c r="AG78" i="19"/>
  <c r="AI77" i="19"/>
  <c r="AH77" i="19"/>
  <c r="AI76" i="19"/>
  <c r="AH76" i="19"/>
  <c r="AI75" i="19"/>
  <c r="AH75" i="19"/>
  <c r="AG74" i="19"/>
  <c r="AF74" i="19"/>
  <c r="AE5" i="19" s="1"/>
  <c r="AE74" i="19"/>
  <c r="AD5" i="19" s="1"/>
  <c r="AD74" i="19"/>
  <c r="AC5" i="19" s="1"/>
  <c r="AC74" i="19"/>
  <c r="AB74" i="19"/>
  <c r="AA5" i="19" s="1"/>
  <c r="AA74" i="19"/>
  <c r="Z5" i="19" s="1"/>
  <c r="Z74" i="19"/>
  <c r="Y5" i="19" s="1"/>
  <c r="Y74" i="19"/>
  <c r="X74" i="19"/>
  <c r="W5" i="19" s="1"/>
  <c r="W74" i="19"/>
  <c r="V5" i="19" s="1"/>
  <c r="V74" i="19"/>
  <c r="U5" i="19" s="1"/>
  <c r="U74" i="19"/>
  <c r="T5" i="19" s="1"/>
  <c r="T74" i="19"/>
  <c r="S5" i="19" s="1"/>
  <c r="S74" i="19"/>
  <c r="R5" i="19" s="1"/>
  <c r="R74" i="19"/>
  <c r="Q74" i="19"/>
  <c r="P5" i="19" s="1"/>
  <c r="P74" i="19"/>
  <c r="O5" i="19" s="1"/>
  <c r="O74" i="19"/>
  <c r="N5" i="19" s="1"/>
  <c r="N74" i="19"/>
  <c r="M5" i="19" s="1"/>
  <c r="M74" i="19"/>
  <c r="L74" i="19"/>
  <c r="K5" i="19" s="1"/>
  <c r="K74" i="19"/>
  <c r="J74" i="19"/>
  <c r="I74" i="19"/>
  <c r="H74" i="19"/>
  <c r="G5" i="19" s="1"/>
  <c r="G74" i="19"/>
  <c r="F5" i="19" s="1"/>
  <c r="F74" i="19"/>
  <c r="E5" i="19" s="1"/>
  <c r="E74" i="19"/>
  <c r="D74" i="19"/>
  <c r="C5" i="19" s="1"/>
  <c r="C74" i="19"/>
  <c r="B5" i="19" s="1"/>
  <c r="AF5" i="19"/>
  <c r="AI73" i="19"/>
  <c r="AH73" i="19"/>
  <c r="AI72" i="19"/>
  <c r="AH72" i="19"/>
  <c r="AI71" i="19"/>
  <c r="AH71" i="19"/>
  <c r="AI70" i="19"/>
  <c r="AH70" i="19"/>
  <c r="AI69" i="19"/>
  <c r="AH69" i="19"/>
  <c r="AI68" i="19"/>
  <c r="AH68" i="19"/>
  <c r="AI67" i="19"/>
  <c r="AH67" i="19"/>
  <c r="AI66" i="19"/>
  <c r="AH66" i="19"/>
  <c r="AI65" i="19"/>
  <c r="AH65" i="19"/>
  <c r="AI64" i="19"/>
  <c r="AH64" i="19"/>
  <c r="AI63" i="19"/>
  <c r="AH63" i="19"/>
  <c r="AG62" i="19"/>
  <c r="AF62" i="19"/>
  <c r="AE62" i="19"/>
  <c r="AD62" i="19"/>
  <c r="AC62" i="19"/>
  <c r="AB62" i="19"/>
  <c r="AA62" i="19"/>
  <c r="Z62" i="19"/>
  <c r="Y62" i="19"/>
  <c r="X62" i="19"/>
  <c r="W62" i="19"/>
  <c r="V62" i="19"/>
  <c r="U62" i="19"/>
  <c r="T62" i="19"/>
  <c r="S62" i="19"/>
  <c r="R62" i="19"/>
  <c r="Q62" i="19"/>
  <c r="P62" i="19"/>
  <c r="O62" i="19"/>
  <c r="N62" i="19"/>
  <c r="M62" i="19"/>
  <c r="L62" i="19"/>
  <c r="K62" i="19"/>
  <c r="J62" i="19"/>
  <c r="I62" i="19"/>
  <c r="H62" i="19"/>
  <c r="G62" i="19"/>
  <c r="F62" i="19"/>
  <c r="E62" i="19"/>
  <c r="D62" i="19"/>
  <c r="C62" i="19"/>
  <c r="B62" i="19"/>
  <c r="AI61" i="19"/>
  <c r="AH61" i="19"/>
  <c r="AI60" i="19"/>
  <c r="AH60" i="19"/>
  <c r="AI59" i="19"/>
  <c r="AH59" i="19"/>
  <c r="AF58" i="19"/>
  <c r="AE58" i="19"/>
  <c r="AD58" i="19"/>
  <c r="AC58" i="19"/>
  <c r="AB58" i="19"/>
  <c r="AA58" i="19"/>
  <c r="Z58" i="19"/>
  <c r="Y58" i="19"/>
  <c r="X58" i="19"/>
  <c r="W58" i="19"/>
  <c r="V58" i="19"/>
  <c r="U58" i="19"/>
  <c r="T58" i="19"/>
  <c r="S58" i="19"/>
  <c r="R58" i="19"/>
  <c r="Q58" i="19"/>
  <c r="P58" i="19"/>
  <c r="O58" i="19"/>
  <c r="N58" i="19"/>
  <c r="M58" i="19"/>
  <c r="L58" i="19"/>
  <c r="K58" i="19"/>
  <c r="J58" i="19"/>
  <c r="I58" i="19"/>
  <c r="H58" i="19"/>
  <c r="G58" i="19"/>
  <c r="F58" i="19"/>
  <c r="E58" i="19"/>
  <c r="D58" i="19"/>
  <c r="C58" i="19"/>
  <c r="B58" i="19"/>
  <c r="AI57" i="19"/>
  <c r="AH57" i="19"/>
  <c r="AG57" i="19"/>
  <c r="AG58" i="19" s="1"/>
  <c r="AG3" i="19" s="1"/>
  <c r="AI56" i="19"/>
  <c r="AH56" i="19"/>
  <c r="AI55" i="19"/>
  <c r="AH55" i="19"/>
  <c r="AI54" i="19"/>
  <c r="AH54" i="19"/>
  <c r="AI53" i="19"/>
  <c r="AH53" i="19"/>
  <c r="AI52" i="19"/>
  <c r="AH52" i="19"/>
  <c r="AI51" i="19"/>
  <c r="AH51" i="19"/>
  <c r="AI50" i="19"/>
  <c r="AH50" i="19"/>
  <c r="AI49" i="19"/>
  <c r="AH49" i="19"/>
  <c r="AI48" i="19"/>
  <c r="AH48" i="19"/>
  <c r="AI47" i="19"/>
  <c r="AH47" i="19"/>
  <c r="AI46" i="19"/>
  <c r="AH46" i="19"/>
  <c r="AI45" i="19"/>
  <c r="AH45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AI43" i="19"/>
  <c r="AH43" i="19"/>
  <c r="AI42" i="19"/>
  <c r="AH42" i="19"/>
  <c r="AI41" i="19"/>
  <c r="AH41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AI38" i="19"/>
  <c r="AH38" i="19"/>
  <c r="AI37" i="19"/>
  <c r="AH37" i="19"/>
  <c r="AI36" i="19"/>
  <c r="AH36" i="19"/>
  <c r="AI35" i="19"/>
  <c r="AH35" i="19"/>
  <c r="AI34" i="19"/>
  <c r="AH34" i="19"/>
  <c r="AI33" i="19"/>
  <c r="AH33" i="19"/>
  <c r="AI32" i="19"/>
  <c r="AH32" i="19"/>
  <c r="AI31" i="19"/>
  <c r="AH31" i="19"/>
  <c r="AI30" i="19"/>
  <c r="AH30" i="19"/>
  <c r="AI29" i="19"/>
  <c r="AH29" i="19"/>
  <c r="AI28" i="19"/>
  <c r="AH28" i="19"/>
  <c r="AI27" i="19"/>
  <c r="AH27" i="19"/>
  <c r="AI26" i="19"/>
  <c r="AH26" i="19"/>
  <c r="AI25" i="19"/>
  <c r="AH25" i="19"/>
  <c r="AI24" i="19"/>
  <c r="AH24" i="19"/>
  <c r="AI23" i="19"/>
  <c r="AH23" i="19"/>
  <c r="AI22" i="19"/>
  <c r="AH22" i="19"/>
  <c r="AI21" i="19"/>
  <c r="AH21" i="19"/>
  <c r="AI20" i="19"/>
  <c r="AH20" i="19"/>
  <c r="AI19" i="19"/>
  <c r="AH19" i="19"/>
  <c r="AI18" i="19"/>
  <c r="AH18" i="19"/>
  <c r="AI17" i="19"/>
  <c r="AH17" i="19"/>
  <c r="AI16" i="19"/>
  <c r="AH16" i="19"/>
  <c r="AI15" i="19"/>
  <c r="AH15" i="19"/>
  <c r="AI14" i="19"/>
  <c r="AH14" i="19"/>
  <c r="AI13" i="19"/>
  <c r="AH13" i="19"/>
  <c r="AI12" i="19"/>
  <c r="AH12" i="19"/>
  <c r="AI11" i="19"/>
  <c r="AH11" i="19"/>
  <c r="AB5" i="19"/>
  <c r="X5" i="19"/>
  <c r="AG4" i="19"/>
  <c r="K4" i="19"/>
  <c r="B4" i="19"/>
  <c r="S235" i="19" s="1"/>
  <c r="AG2" i="19"/>
  <c r="AF39" i="18"/>
  <c r="AE39" i="18"/>
  <c r="AD100" i="18"/>
  <c r="AD39" i="18"/>
  <c r="AC39" i="18"/>
  <c r="AB39" i="18"/>
  <c r="AA103" i="18"/>
  <c r="AA39" i="18"/>
  <c r="Z103" i="18"/>
  <c r="Z39" i="18"/>
  <c r="Y103" i="18"/>
  <c r="X103" i="18"/>
  <c r="X39" i="18"/>
  <c r="W103" i="18"/>
  <c r="W39" i="18"/>
  <c r="V103" i="18"/>
  <c r="V39" i="18"/>
  <c r="E4" i="19"/>
  <c r="O89" i="19" l="1"/>
  <c r="AH103" i="19"/>
  <c r="AG6" i="19"/>
  <c r="D224" i="19"/>
  <c r="AI39" i="19"/>
  <c r="K223" i="20"/>
  <c r="I259" i="20"/>
  <c r="I218" i="20"/>
  <c r="H100" i="20"/>
  <c r="H224" i="20"/>
  <c r="AF89" i="19"/>
  <c r="AF79" i="19"/>
  <c r="AF81" i="19" s="1"/>
  <c r="AX238" i="19" s="1"/>
  <c r="AE89" i="19"/>
  <c r="AE79" i="19"/>
  <c r="AE81" i="19" s="1"/>
  <c r="AE7" i="19" s="1"/>
  <c r="AD89" i="19"/>
  <c r="AD82" i="19" s="1"/>
  <c r="AD79" i="19"/>
  <c r="AD81" i="19" s="1"/>
  <c r="AC89" i="19"/>
  <c r="AC90" i="19" s="1"/>
  <c r="AC79" i="19"/>
  <c r="AC81" i="19" s="1"/>
  <c r="AB89" i="19"/>
  <c r="AB90" i="19"/>
  <c r="AB79" i="19"/>
  <c r="AB81" i="19" s="1"/>
  <c r="AA90" i="19"/>
  <c r="AA79" i="19"/>
  <c r="AA81" i="19" s="1"/>
  <c r="AS238" i="19" s="1"/>
  <c r="Z79" i="19"/>
  <c r="Z81" i="19" s="1"/>
  <c r="Z89" i="19"/>
  <c r="Z90" i="19" s="1"/>
  <c r="Y89" i="19"/>
  <c r="Y90" i="19" s="1"/>
  <c r="Y79" i="19"/>
  <c r="Y81" i="19" s="1"/>
  <c r="X89" i="19"/>
  <c r="X82" i="19" s="1"/>
  <c r="X79" i="19"/>
  <c r="X81" i="19" s="1"/>
  <c r="W89" i="19"/>
  <c r="W79" i="19"/>
  <c r="W81" i="19" s="1"/>
  <c r="W82" i="19" s="1"/>
  <c r="V89" i="19"/>
  <c r="V79" i="19"/>
  <c r="V81" i="19" s="1"/>
  <c r="V7" i="19" s="1"/>
  <c r="U89" i="19"/>
  <c r="U90" i="19" s="1"/>
  <c r="U79" i="19"/>
  <c r="U81" i="19" s="1"/>
  <c r="T89" i="19"/>
  <c r="T90" i="19" s="1"/>
  <c r="T79" i="19"/>
  <c r="T81" i="19" s="1"/>
  <c r="S89" i="19"/>
  <c r="S90" i="19"/>
  <c r="S79" i="19"/>
  <c r="S81" i="19" s="1"/>
  <c r="R89" i="19"/>
  <c r="R90" i="19" s="1"/>
  <c r="R79" i="19"/>
  <c r="R81" i="19" s="1"/>
  <c r="Q5" i="19"/>
  <c r="Q89" i="19"/>
  <c r="Q90" i="19" s="1"/>
  <c r="Q79" i="19"/>
  <c r="Q81" i="19" s="1"/>
  <c r="P89" i="19"/>
  <c r="P90" i="19" s="1"/>
  <c r="P79" i="19"/>
  <c r="P81" i="19" s="1"/>
  <c r="P7" i="19" s="1"/>
  <c r="O79" i="19"/>
  <c r="O81" i="19" s="1"/>
  <c r="N79" i="19"/>
  <c r="N81" i="19" s="1"/>
  <c r="N82" i="19" s="1"/>
  <c r="N89" i="19"/>
  <c r="AH39" i="19"/>
  <c r="M89" i="19"/>
  <c r="M90" i="19" s="1"/>
  <c r="L5" i="19"/>
  <c r="M79" i="19"/>
  <c r="M81" i="19" s="1"/>
  <c r="AE238" i="19" s="1"/>
  <c r="L89" i="19"/>
  <c r="L90" i="19" s="1"/>
  <c r="L79" i="19"/>
  <c r="L81" i="19" s="1"/>
  <c r="K90" i="19"/>
  <c r="J5" i="19"/>
  <c r="K79" i="19"/>
  <c r="K81" i="19" s="1"/>
  <c r="K7" i="19" s="1"/>
  <c r="J79" i="19"/>
  <c r="J81" i="19" s="1"/>
  <c r="J7" i="19" s="1"/>
  <c r="I5" i="19"/>
  <c r="J89" i="19"/>
  <c r="J90" i="19" s="1"/>
  <c r="I89" i="19"/>
  <c r="I90" i="19" s="1"/>
  <c r="H5" i="19"/>
  <c r="I79" i="19"/>
  <c r="I81" i="19" s="1"/>
  <c r="I7" i="19" s="1"/>
  <c r="H89" i="19"/>
  <c r="H79" i="19"/>
  <c r="H81" i="19" s="1"/>
  <c r="H7" i="19" s="1"/>
  <c r="G89" i="19"/>
  <c r="G79" i="19"/>
  <c r="G81" i="19" s="1"/>
  <c r="Y238" i="19" s="1"/>
  <c r="F89" i="19"/>
  <c r="F82" i="19" s="1"/>
  <c r="F79" i="19"/>
  <c r="F81" i="19" s="1"/>
  <c r="AI85" i="19"/>
  <c r="E89" i="19"/>
  <c r="E90" i="19" s="1"/>
  <c r="AH85" i="19"/>
  <c r="D5" i="19"/>
  <c r="E79" i="19"/>
  <c r="E81" i="19" s="1"/>
  <c r="E7" i="19" s="1"/>
  <c r="AI40" i="19"/>
  <c r="AI86" i="19"/>
  <c r="AI58" i="19"/>
  <c r="AI44" i="19"/>
  <c r="AI87" i="19"/>
  <c r="AI84" i="19"/>
  <c r="AI83" i="19"/>
  <c r="C89" i="19"/>
  <c r="C90" i="19" s="1"/>
  <c r="C79" i="19"/>
  <c r="C81" i="19" s="1"/>
  <c r="C7" i="19" s="1"/>
  <c r="D89" i="19"/>
  <c r="D90" i="19" s="1"/>
  <c r="AI62" i="19"/>
  <c r="D79" i="19"/>
  <c r="D81" i="19" s="1"/>
  <c r="D82" i="19" s="1"/>
  <c r="H4" i="19"/>
  <c r="U7" i="19"/>
  <c r="AM238" i="19"/>
  <c r="U82" i="19"/>
  <c r="AC7" i="19"/>
  <c r="AU238" i="19"/>
  <c r="AC82" i="19"/>
  <c r="AN238" i="19"/>
  <c r="V82" i="19"/>
  <c r="AG238" i="19"/>
  <c r="O82" i="19"/>
  <c r="O7" i="19"/>
  <c r="AW238" i="19"/>
  <c r="AE82" i="19"/>
  <c r="N7" i="19"/>
  <c r="AF238" i="19"/>
  <c r="X7" i="19"/>
  <c r="AP238" i="19"/>
  <c r="AF7" i="19"/>
  <c r="H218" i="19"/>
  <c r="AD7" i="19"/>
  <c r="AV238" i="19"/>
  <c r="Q7" i="19"/>
  <c r="AI238" i="19"/>
  <c r="Y7" i="19"/>
  <c r="AQ238" i="19"/>
  <c r="Y82" i="19"/>
  <c r="AG79" i="19"/>
  <c r="AB238" i="19"/>
  <c r="R7" i="19"/>
  <c r="AJ238" i="19"/>
  <c r="Z7" i="19"/>
  <c r="AR238" i="19"/>
  <c r="Z82" i="19"/>
  <c r="N90" i="19"/>
  <c r="V90" i="19"/>
  <c r="AD90" i="19"/>
  <c r="G90" i="19"/>
  <c r="O90" i="19"/>
  <c r="W90" i="19"/>
  <c r="AE90" i="19"/>
  <c r="F7" i="19"/>
  <c r="X238" i="19"/>
  <c r="AK238" i="19"/>
  <c r="S82" i="19"/>
  <c r="S7" i="19"/>
  <c r="T7" i="19"/>
  <c r="AL238" i="19"/>
  <c r="AB7" i="19"/>
  <c r="AT238" i="19"/>
  <c r="AB82" i="19"/>
  <c r="H90" i="19"/>
  <c r="AF90" i="19"/>
  <c r="AG81" i="19"/>
  <c r="D235" i="19"/>
  <c r="AH58" i="19"/>
  <c r="AH62" i="19"/>
  <c r="AH74" i="19"/>
  <c r="AI74" i="19"/>
  <c r="AH83" i="19"/>
  <c r="B89" i="19"/>
  <c r="B90" i="19" s="1"/>
  <c r="F100" i="19"/>
  <c r="F223" i="19"/>
  <c r="AH84" i="19"/>
  <c r="AH40" i="19"/>
  <c r="AH44" i="19"/>
  <c r="B79" i="19"/>
  <c r="AH86" i="19"/>
  <c r="E221" i="19"/>
  <c r="F221" i="19" s="1"/>
  <c r="G221" i="19" s="1"/>
  <c r="H221" i="19" s="1"/>
  <c r="I221" i="19" s="1"/>
  <c r="J221" i="19" s="1"/>
  <c r="K221" i="19" s="1"/>
  <c r="L221" i="19" s="1"/>
  <c r="M221" i="19" s="1"/>
  <c r="N221" i="19" s="1"/>
  <c r="O221" i="19" s="1"/>
  <c r="P221" i="19" s="1"/>
  <c r="B224" i="19"/>
  <c r="AH87" i="19"/>
  <c r="AH238" i="19" l="1"/>
  <c r="F90" i="19"/>
  <c r="X90" i="19"/>
  <c r="AA7" i="19"/>
  <c r="F224" i="19"/>
  <c r="R82" i="19"/>
  <c r="AO238" i="19"/>
  <c r="L82" i="19"/>
  <c r="AF82" i="19"/>
  <c r="P82" i="19"/>
  <c r="J82" i="19"/>
  <c r="Q82" i="19"/>
  <c r="T82" i="19"/>
  <c r="AA82" i="19"/>
  <c r="H82" i="19"/>
  <c r="W7" i="19"/>
  <c r="I100" i="20"/>
  <c r="I224" i="20"/>
  <c r="J218" i="20"/>
  <c r="J259" i="20"/>
  <c r="L223" i="20"/>
  <c r="M7" i="19"/>
  <c r="M82" i="19"/>
  <c r="L7" i="19"/>
  <c r="AD238" i="19"/>
  <c r="K82" i="19"/>
  <c r="AC238" i="19"/>
  <c r="AA238" i="19"/>
  <c r="C233" i="19"/>
  <c r="B233" i="19"/>
  <c r="I82" i="19"/>
  <c r="Z238" i="19"/>
  <c r="G7" i="19"/>
  <c r="G82" i="19"/>
  <c r="E82" i="19"/>
  <c r="W238" i="19"/>
  <c r="U238" i="19"/>
  <c r="D7" i="19"/>
  <c r="C82" i="19"/>
  <c r="V238" i="19"/>
  <c r="AI90" i="19"/>
  <c r="AH90" i="19"/>
  <c r="I218" i="19"/>
  <c r="E259" i="19"/>
  <c r="G223" i="19"/>
  <c r="E224" i="19"/>
  <c r="AI79" i="19"/>
  <c r="AH79" i="19"/>
  <c r="B81" i="19"/>
  <c r="AI89" i="19"/>
  <c r="AH89" i="19"/>
  <c r="K259" i="20" l="1"/>
  <c r="M223" i="20"/>
  <c r="J100" i="20"/>
  <c r="J224" i="20"/>
  <c r="K218" i="20"/>
  <c r="K6" i="19"/>
  <c r="B7" i="19"/>
  <c r="AJ6" i="19" s="1"/>
  <c r="T238" i="19"/>
  <c r="B82" i="19"/>
  <c r="AI81" i="19"/>
  <c r="AH81" i="19"/>
  <c r="J218" i="19"/>
  <c r="F259" i="19"/>
  <c r="H223" i="19"/>
  <c r="G224" i="19"/>
  <c r="G100" i="19"/>
  <c r="K100" i="20" l="1"/>
  <c r="K224" i="20"/>
  <c r="L218" i="20"/>
  <c r="L259" i="20"/>
  <c r="N223" i="20"/>
  <c r="A7" i="19"/>
  <c r="K218" i="19"/>
  <c r="AI82" i="19"/>
  <c r="AH82" i="19"/>
  <c r="G259" i="19"/>
  <c r="I223" i="19"/>
  <c r="H224" i="19"/>
  <c r="H100" i="19"/>
  <c r="M259" i="20" l="1"/>
  <c r="O223" i="20"/>
  <c r="L224" i="20"/>
  <c r="M218" i="20"/>
  <c r="L100" i="20"/>
  <c r="L218" i="19"/>
  <c r="H259" i="19"/>
  <c r="J223" i="19"/>
  <c r="I224" i="19"/>
  <c r="I100" i="19"/>
  <c r="N218" i="20" l="1"/>
  <c r="M100" i="20"/>
  <c r="M224" i="20"/>
  <c r="N259" i="20"/>
  <c r="P223" i="20"/>
  <c r="O259" i="20" s="1"/>
  <c r="K223" i="19"/>
  <c r="I259" i="19"/>
  <c r="J100" i="19"/>
  <c r="J224" i="19"/>
  <c r="M218" i="19"/>
  <c r="O218" i="20" l="1"/>
  <c r="N100" i="20"/>
  <c r="N224" i="20"/>
  <c r="N218" i="19"/>
  <c r="J259" i="19"/>
  <c r="L223" i="19"/>
  <c r="K100" i="19"/>
  <c r="K224" i="19"/>
  <c r="P218" i="20" l="1"/>
  <c r="O100" i="20"/>
  <c r="O224" i="20"/>
  <c r="K259" i="19"/>
  <c r="M223" i="19"/>
  <c r="L100" i="19"/>
  <c r="L224" i="19"/>
  <c r="O218" i="19"/>
  <c r="P100" i="20" l="1"/>
  <c r="P224" i="20"/>
  <c r="P218" i="19"/>
  <c r="L259" i="19"/>
  <c r="N223" i="19"/>
  <c r="M224" i="19"/>
  <c r="M100" i="19"/>
  <c r="AH100" i="20" l="1"/>
  <c r="AI100" i="20"/>
  <c r="M259" i="19"/>
  <c r="O223" i="19"/>
  <c r="N224" i="19"/>
  <c r="N100" i="19"/>
  <c r="N259" i="19" l="1"/>
  <c r="P223" i="19"/>
  <c r="O100" i="19"/>
  <c r="O224" i="19"/>
  <c r="O259" i="19" l="1"/>
  <c r="P100" i="19"/>
  <c r="P224" i="19"/>
  <c r="AI100" i="19" l="1"/>
  <c r="AH100" i="19"/>
  <c r="U103" i="18" l="1"/>
  <c r="U39" i="18"/>
  <c r="T103" i="18" l="1"/>
  <c r="T39" i="18"/>
  <c r="S103" i="18" l="1"/>
  <c r="S39" i="18"/>
  <c r="R39" i="18"/>
  <c r="Q103" i="18"/>
  <c r="Q39" i="18"/>
  <c r="P103" i="18"/>
  <c r="AH103" i="18" s="1"/>
  <c r="P39" i="18"/>
  <c r="O39" i="18"/>
  <c r="N39" i="18"/>
  <c r="M39" i="18"/>
  <c r="L103" i="18"/>
  <c r="L39" i="18"/>
  <c r="K103" i="18"/>
  <c r="K39" i="18"/>
  <c r="J103" i="18"/>
  <c r="J39" i="18"/>
  <c r="I103" i="18"/>
  <c r="I39" i="18"/>
  <c r="H103" i="18"/>
  <c r="H39" i="18"/>
  <c r="G103" i="18"/>
  <c r="G39" i="18"/>
  <c r="F103" i="18"/>
  <c r="F39" i="18"/>
  <c r="E103" i="18"/>
  <c r="E39" i="18"/>
  <c r="B58" i="18"/>
  <c r="D103" i="18"/>
  <c r="C103" i="18"/>
  <c r="C39" i="18"/>
  <c r="AI39" i="18" s="1"/>
  <c r="D39" i="18"/>
  <c r="B44" i="18"/>
  <c r="B40" i="18"/>
  <c r="B74" i="18"/>
  <c r="B103" i="18"/>
  <c r="B100" i="18" s="1"/>
  <c r="B86" i="18"/>
  <c r="B89" i="18" s="1"/>
  <c r="B39" i="18"/>
  <c r="AH39" i="18" s="1"/>
  <c r="AF263" i="18"/>
  <c r="AE263" i="18"/>
  <c r="AD263" i="18"/>
  <c r="AC263" i="18"/>
  <c r="AB263" i="18"/>
  <c r="AA263" i="18"/>
  <c r="Z263" i="18"/>
  <c r="Y263" i="18"/>
  <c r="X263" i="18"/>
  <c r="W263" i="18"/>
  <c r="V263" i="18"/>
  <c r="U263" i="18"/>
  <c r="T263" i="18"/>
  <c r="S263" i="18"/>
  <c r="R263" i="18"/>
  <c r="Q263" i="18"/>
  <c r="P263" i="18"/>
  <c r="O263" i="18"/>
  <c r="N263" i="18"/>
  <c r="M263" i="18"/>
  <c r="L263" i="18"/>
  <c r="K263" i="18"/>
  <c r="J263" i="18"/>
  <c r="I263" i="18"/>
  <c r="H263" i="18"/>
  <c r="G263" i="18"/>
  <c r="F263" i="18"/>
  <c r="E263" i="18"/>
  <c r="D263" i="18"/>
  <c r="C263" i="18"/>
  <c r="B263" i="18"/>
  <c r="A263" i="18"/>
  <c r="AF262" i="18"/>
  <c r="AE262" i="18"/>
  <c r="AD262" i="18"/>
  <c r="AC262" i="18"/>
  <c r="AB262" i="18"/>
  <c r="AA262" i="18"/>
  <c r="Z262" i="18"/>
  <c r="Y262" i="18"/>
  <c r="X262" i="18"/>
  <c r="W262" i="18"/>
  <c r="V262" i="18"/>
  <c r="U262" i="18"/>
  <c r="T262" i="18"/>
  <c r="S262" i="18"/>
  <c r="R262" i="18"/>
  <c r="Q262" i="18"/>
  <c r="P262" i="18"/>
  <c r="O262" i="18"/>
  <c r="N262" i="18"/>
  <c r="M262" i="18"/>
  <c r="L262" i="18"/>
  <c r="K262" i="18"/>
  <c r="J262" i="18"/>
  <c r="I262" i="18"/>
  <c r="H262" i="18"/>
  <c r="G262" i="18"/>
  <c r="F262" i="18"/>
  <c r="E262" i="18"/>
  <c r="D262" i="18"/>
  <c r="C262" i="18"/>
  <c r="B262" i="18"/>
  <c r="A262" i="18"/>
  <c r="AF261" i="18"/>
  <c r="AE261" i="18"/>
  <c r="AD261" i="18"/>
  <c r="AC261" i="18"/>
  <c r="AB261" i="18"/>
  <c r="AA261" i="18"/>
  <c r="Z261" i="18"/>
  <c r="Y261" i="18"/>
  <c r="X261" i="18"/>
  <c r="W261" i="18"/>
  <c r="V261" i="18"/>
  <c r="U261" i="18"/>
  <c r="T261" i="18"/>
  <c r="S261" i="18"/>
  <c r="R261" i="18"/>
  <c r="Q261" i="18"/>
  <c r="P261" i="18"/>
  <c r="O261" i="18"/>
  <c r="N261" i="18"/>
  <c r="M261" i="18"/>
  <c r="L261" i="18"/>
  <c r="K261" i="18"/>
  <c r="J261" i="18"/>
  <c r="I261" i="18"/>
  <c r="H261" i="18"/>
  <c r="G261" i="18"/>
  <c r="F261" i="18"/>
  <c r="E261" i="18"/>
  <c r="D261" i="18"/>
  <c r="C261" i="18"/>
  <c r="B261" i="18"/>
  <c r="A261" i="18"/>
  <c r="AF260" i="18"/>
  <c r="AE260" i="18"/>
  <c r="AD260" i="18"/>
  <c r="AC260" i="18"/>
  <c r="AB260" i="18"/>
  <c r="AA260" i="18"/>
  <c r="Z260" i="18"/>
  <c r="Y260" i="18"/>
  <c r="X260" i="18"/>
  <c r="W260" i="18"/>
  <c r="V260" i="18"/>
  <c r="U260" i="18"/>
  <c r="T260" i="18"/>
  <c r="S260" i="18"/>
  <c r="R260" i="18"/>
  <c r="Q260" i="18"/>
  <c r="P260" i="18"/>
  <c r="O260" i="18"/>
  <c r="N260" i="18"/>
  <c r="M260" i="18"/>
  <c r="L260" i="18"/>
  <c r="K260" i="18"/>
  <c r="J260" i="18"/>
  <c r="I260" i="18"/>
  <c r="H260" i="18"/>
  <c r="G260" i="18"/>
  <c r="F260" i="18"/>
  <c r="E260" i="18"/>
  <c r="D260" i="18"/>
  <c r="C260" i="18"/>
  <c r="B260" i="18"/>
  <c r="A260" i="18"/>
  <c r="AE259" i="18"/>
  <c r="AD259" i="18"/>
  <c r="AC259" i="18"/>
  <c r="AB259" i="18"/>
  <c r="AA259" i="18"/>
  <c r="Z259" i="18"/>
  <c r="Y259" i="18"/>
  <c r="X259" i="18"/>
  <c r="W259" i="18"/>
  <c r="V259" i="18"/>
  <c r="U259" i="18"/>
  <c r="T259" i="18"/>
  <c r="S259" i="18"/>
  <c r="R259" i="18"/>
  <c r="Q259" i="18"/>
  <c r="P259" i="18"/>
  <c r="B259" i="18"/>
  <c r="S234" i="18"/>
  <c r="AG224" i="18"/>
  <c r="AG57" i="18" s="1"/>
  <c r="AG58" i="18" s="1"/>
  <c r="AF224" i="18"/>
  <c r="AE224" i="18"/>
  <c r="AD224" i="18"/>
  <c r="AC224" i="18"/>
  <c r="AB224" i="18"/>
  <c r="AA224" i="18"/>
  <c r="Z224" i="18"/>
  <c r="Y224" i="18"/>
  <c r="X224" i="18"/>
  <c r="W224" i="18"/>
  <c r="V224" i="18"/>
  <c r="U224" i="18"/>
  <c r="T224" i="18"/>
  <c r="S224" i="18"/>
  <c r="R224" i="18"/>
  <c r="Q224" i="18"/>
  <c r="C224" i="18"/>
  <c r="E223" i="18"/>
  <c r="F223" i="18" s="1"/>
  <c r="E259" i="18" s="1"/>
  <c r="D223" i="18"/>
  <c r="C259" i="18" s="1"/>
  <c r="B223" i="18"/>
  <c r="AF259" i="18" s="1"/>
  <c r="D222" i="18"/>
  <c r="E222" i="18" s="1"/>
  <c r="F222" i="18" s="1"/>
  <c r="G222" i="18" s="1"/>
  <c r="H222" i="18" s="1"/>
  <c r="I222" i="18" s="1"/>
  <c r="J222" i="18" s="1"/>
  <c r="K222" i="18" s="1"/>
  <c r="L222" i="18" s="1"/>
  <c r="M222" i="18" s="1"/>
  <c r="N222" i="18" s="1"/>
  <c r="O222" i="18" s="1"/>
  <c r="P222" i="18" s="1"/>
  <c r="B222" i="18"/>
  <c r="D221" i="18"/>
  <c r="E221" i="18" s="1"/>
  <c r="F221" i="18" s="1"/>
  <c r="G221" i="18" s="1"/>
  <c r="H221" i="18" s="1"/>
  <c r="I221" i="18" s="1"/>
  <c r="J221" i="18" s="1"/>
  <c r="K221" i="18" s="1"/>
  <c r="L221" i="18" s="1"/>
  <c r="M221" i="18" s="1"/>
  <c r="N221" i="18" s="1"/>
  <c r="O221" i="18" s="1"/>
  <c r="P221" i="18" s="1"/>
  <c r="B221" i="18"/>
  <c r="D220" i="18"/>
  <c r="E220" i="18" s="1"/>
  <c r="F220" i="18" s="1"/>
  <c r="G220" i="18" s="1"/>
  <c r="H220" i="18" s="1"/>
  <c r="I220" i="18" s="1"/>
  <c r="J220" i="18" s="1"/>
  <c r="K220" i="18" s="1"/>
  <c r="L220" i="18" s="1"/>
  <c r="M220" i="18" s="1"/>
  <c r="N220" i="18" s="1"/>
  <c r="O220" i="18" s="1"/>
  <c r="P220" i="18" s="1"/>
  <c r="B220" i="18"/>
  <c r="D219" i="18"/>
  <c r="E219" i="18" s="1"/>
  <c r="F219" i="18" s="1"/>
  <c r="G219" i="18" s="1"/>
  <c r="H219" i="18" s="1"/>
  <c r="I219" i="18" s="1"/>
  <c r="J219" i="18" s="1"/>
  <c r="K219" i="18" s="1"/>
  <c r="L219" i="18" s="1"/>
  <c r="M219" i="18" s="1"/>
  <c r="N219" i="18" s="1"/>
  <c r="O219" i="18" s="1"/>
  <c r="P219" i="18" s="1"/>
  <c r="B219" i="18"/>
  <c r="E218" i="18"/>
  <c r="D218" i="18"/>
  <c r="B218" i="18"/>
  <c r="AG216" i="18"/>
  <c r="AF216" i="18"/>
  <c r="AE216" i="18"/>
  <c r="AD216" i="18"/>
  <c r="AC216" i="18"/>
  <c r="AB216" i="18"/>
  <c r="AA216" i="18"/>
  <c r="Z216" i="18"/>
  <c r="Y216" i="18"/>
  <c r="X216" i="18"/>
  <c r="W216" i="18"/>
  <c r="V216" i="18"/>
  <c r="U216" i="18"/>
  <c r="T216" i="18"/>
  <c r="S216" i="18"/>
  <c r="R216" i="18"/>
  <c r="Q216" i="18"/>
  <c r="P216" i="18"/>
  <c r="O216" i="18"/>
  <c r="N216" i="18"/>
  <c r="M216" i="18"/>
  <c r="L216" i="18"/>
  <c r="K216" i="18"/>
  <c r="J216" i="18"/>
  <c r="I216" i="18"/>
  <c r="H216" i="18"/>
  <c r="G216" i="18"/>
  <c r="F216" i="18"/>
  <c r="E216" i="18"/>
  <c r="D216" i="18"/>
  <c r="C216" i="18"/>
  <c r="B216" i="18"/>
  <c r="AI109" i="18"/>
  <c r="AH109" i="18"/>
  <c r="AI108" i="18"/>
  <c r="AH108" i="18"/>
  <c r="AI107" i="18"/>
  <c r="AH107" i="18"/>
  <c r="AI106" i="18"/>
  <c r="AH106" i="18"/>
  <c r="AI105" i="18"/>
  <c r="AH105" i="18"/>
  <c r="AI104" i="18"/>
  <c r="AH104" i="18"/>
  <c r="AI103" i="18"/>
  <c r="AI102" i="18"/>
  <c r="AH102" i="18"/>
  <c r="AI101" i="18"/>
  <c r="AH101" i="18"/>
  <c r="AF100" i="18"/>
  <c r="AE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C100" i="18"/>
  <c r="AI99" i="18"/>
  <c r="AH99" i="18"/>
  <c r="AI98" i="18"/>
  <c r="AH98" i="18"/>
  <c r="AI97" i="18"/>
  <c r="AH97" i="18"/>
  <c r="AI96" i="18"/>
  <c r="AH96" i="18"/>
  <c r="AI95" i="18"/>
  <c r="AH95" i="18"/>
  <c r="AI94" i="18"/>
  <c r="AH94" i="18"/>
  <c r="AI93" i="18"/>
  <c r="AH93" i="18"/>
  <c r="AI92" i="18"/>
  <c r="AH92" i="18"/>
  <c r="AI91" i="18"/>
  <c r="AH91" i="18"/>
  <c r="AI88" i="18"/>
  <c r="AH88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AF85" i="18"/>
  <c r="AE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AF84" i="18"/>
  <c r="AE84" i="18"/>
  <c r="AD84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AF83" i="18"/>
  <c r="AE83" i="18"/>
  <c r="AD83" i="18"/>
  <c r="AC83" i="18"/>
  <c r="AB83" i="18"/>
  <c r="AA83" i="18"/>
  <c r="AA89" i="18" s="1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I89" i="18" s="1"/>
  <c r="H83" i="18"/>
  <c r="G83" i="18"/>
  <c r="F83" i="18"/>
  <c r="E83" i="18"/>
  <c r="D83" i="18"/>
  <c r="C83" i="18"/>
  <c r="AI80" i="18"/>
  <c r="AH80" i="18"/>
  <c r="AI78" i="18"/>
  <c r="AH78" i="18"/>
  <c r="AG78" i="18"/>
  <c r="AI77" i="18"/>
  <c r="AH77" i="18"/>
  <c r="AI76" i="18"/>
  <c r="AH76" i="18"/>
  <c r="AI75" i="18"/>
  <c r="AH75" i="18"/>
  <c r="AG74" i="18"/>
  <c r="AF74" i="18"/>
  <c r="AE74" i="18"/>
  <c r="AD5" i="18" s="1"/>
  <c r="AD74" i="18"/>
  <c r="AC74" i="18"/>
  <c r="AB5" i="18" s="1"/>
  <c r="AB74" i="18"/>
  <c r="AA74" i="18"/>
  <c r="Z5" i="18" s="1"/>
  <c r="Z74" i="18"/>
  <c r="Y5" i="18" s="1"/>
  <c r="Y74" i="18"/>
  <c r="X5" i="18" s="1"/>
  <c r="X74" i="18"/>
  <c r="W5" i="18" s="1"/>
  <c r="W74" i="18"/>
  <c r="V5" i="18" s="1"/>
  <c r="V74" i="18"/>
  <c r="U5" i="18" s="1"/>
  <c r="U74" i="18"/>
  <c r="T5" i="18" s="1"/>
  <c r="T74" i="18"/>
  <c r="S5" i="18" s="1"/>
  <c r="S74" i="18"/>
  <c r="R5" i="18" s="1"/>
  <c r="R74" i="18"/>
  <c r="Q5" i="18" s="1"/>
  <c r="Q74" i="18"/>
  <c r="P5" i="18" s="1"/>
  <c r="P74" i="18"/>
  <c r="O74" i="18"/>
  <c r="N5" i="18" s="1"/>
  <c r="N74" i="18"/>
  <c r="M5" i="18" s="1"/>
  <c r="M74" i="18"/>
  <c r="L74" i="18"/>
  <c r="K5" i="18" s="1"/>
  <c r="K74" i="18"/>
  <c r="J74" i="18"/>
  <c r="I5" i="18" s="1"/>
  <c r="I74" i="18"/>
  <c r="H5" i="18" s="1"/>
  <c r="H74" i="18"/>
  <c r="G5" i="18" s="1"/>
  <c r="G74" i="18"/>
  <c r="F5" i="18" s="1"/>
  <c r="F74" i="18"/>
  <c r="E5" i="18" s="1"/>
  <c r="E74" i="18"/>
  <c r="D5" i="18" s="1"/>
  <c r="D74" i="18"/>
  <c r="C5" i="18" s="1"/>
  <c r="C74" i="18"/>
  <c r="B5" i="18" s="1"/>
  <c r="AF5" i="18"/>
  <c r="AI73" i="18"/>
  <c r="AH73" i="18"/>
  <c r="AI72" i="18"/>
  <c r="AH72" i="18"/>
  <c r="AI71" i="18"/>
  <c r="AH71" i="18"/>
  <c r="AI70" i="18"/>
  <c r="AH70" i="18"/>
  <c r="AI69" i="18"/>
  <c r="AH69" i="18"/>
  <c r="AI68" i="18"/>
  <c r="AH68" i="18"/>
  <c r="AI67" i="18"/>
  <c r="AH67" i="18"/>
  <c r="AI66" i="18"/>
  <c r="AH66" i="18"/>
  <c r="AI65" i="18"/>
  <c r="AH65" i="18"/>
  <c r="AI64" i="18"/>
  <c r="AH64" i="18"/>
  <c r="AI63" i="18"/>
  <c r="AH63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AI61" i="18"/>
  <c r="AH61" i="18"/>
  <c r="AI60" i="18"/>
  <c r="AH60" i="18"/>
  <c r="AI59" i="18"/>
  <c r="AH59" i="18"/>
  <c r="AF58" i="18"/>
  <c r="AE58" i="18"/>
  <c r="AD58" i="18"/>
  <c r="AC58" i="18"/>
  <c r="AB58" i="18"/>
  <c r="AA58" i="18"/>
  <c r="Z58" i="18"/>
  <c r="Y58" i="18"/>
  <c r="X58" i="18"/>
  <c r="W58" i="18"/>
  <c r="V58" i="18"/>
  <c r="U58" i="18"/>
  <c r="T58" i="18"/>
  <c r="S58" i="18"/>
  <c r="R58" i="18"/>
  <c r="Q58" i="18"/>
  <c r="P58" i="18"/>
  <c r="O58" i="18"/>
  <c r="N58" i="18"/>
  <c r="M58" i="18"/>
  <c r="L58" i="18"/>
  <c r="K58" i="18"/>
  <c r="J58" i="18"/>
  <c r="I58" i="18"/>
  <c r="H58" i="18"/>
  <c r="G58" i="18"/>
  <c r="F58" i="18"/>
  <c r="E58" i="18"/>
  <c r="D58" i="18"/>
  <c r="C58" i="18"/>
  <c r="AI57" i="18"/>
  <c r="AH57" i="18"/>
  <c r="AI56" i="18"/>
  <c r="AH56" i="18"/>
  <c r="AI55" i="18"/>
  <c r="AH55" i="18"/>
  <c r="AI54" i="18"/>
  <c r="AH54" i="18"/>
  <c r="AI53" i="18"/>
  <c r="AH53" i="18"/>
  <c r="AI52" i="18"/>
  <c r="AH52" i="18"/>
  <c r="AI51" i="18"/>
  <c r="AH51" i="18"/>
  <c r="AI50" i="18"/>
  <c r="AH50" i="18"/>
  <c r="AI49" i="18"/>
  <c r="AH49" i="18"/>
  <c r="AI48" i="18"/>
  <c r="AH48" i="18"/>
  <c r="AI47" i="18"/>
  <c r="AH47" i="18"/>
  <c r="AI46" i="18"/>
  <c r="AH46" i="18"/>
  <c r="AI45" i="18"/>
  <c r="AH45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AI43" i="18"/>
  <c r="AH43" i="18"/>
  <c r="AI42" i="18"/>
  <c r="AH42" i="18"/>
  <c r="AI41" i="18"/>
  <c r="AH41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AI38" i="18"/>
  <c r="AH38" i="18"/>
  <c r="AI37" i="18"/>
  <c r="AH37" i="18"/>
  <c r="AI36" i="18"/>
  <c r="AH36" i="18"/>
  <c r="AI35" i="18"/>
  <c r="AH35" i="18"/>
  <c r="AI34" i="18"/>
  <c r="AH34" i="18"/>
  <c r="AI33" i="18"/>
  <c r="AH33" i="18"/>
  <c r="AI32" i="18"/>
  <c r="AH32" i="18"/>
  <c r="AI31" i="18"/>
  <c r="AH31" i="18"/>
  <c r="AI30" i="18"/>
  <c r="AH30" i="18"/>
  <c r="AI29" i="18"/>
  <c r="AH29" i="18"/>
  <c r="AI28" i="18"/>
  <c r="AH28" i="18"/>
  <c r="AI27" i="18"/>
  <c r="AH27" i="18"/>
  <c r="AI26" i="18"/>
  <c r="AH26" i="18"/>
  <c r="AI25" i="18"/>
  <c r="AH25" i="18"/>
  <c r="AI24" i="18"/>
  <c r="AH24" i="18"/>
  <c r="AI23" i="18"/>
  <c r="AH23" i="18"/>
  <c r="AI22" i="18"/>
  <c r="AH22" i="18"/>
  <c r="AI21" i="18"/>
  <c r="AH21" i="18"/>
  <c r="AI20" i="18"/>
  <c r="AH20" i="18"/>
  <c r="AI19" i="18"/>
  <c r="AH19" i="18"/>
  <c r="AI18" i="18"/>
  <c r="AH18" i="18"/>
  <c r="AI17" i="18"/>
  <c r="AH17" i="18"/>
  <c r="AI16" i="18"/>
  <c r="AH16" i="18"/>
  <c r="AI15" i="18"/>
  <c r="AH15" i="18"/>
  <c r="AI14" i="18"/>
  <c r="AH14" i="18"/>
  <c r="AI13" i="18"/>
  <c r="AH13" i="18"/>
  <c r="AI12" i="18"/>
  <c r="AH12" i="18"/>
  <c r="AI11" i="18"/>
  <c r="AH11" i="18"/>
  <c r="AE5" i="18"/>
  <c r="AC5" i="18"/>
  <c r="O5" i="18"/>
  <c r="L5" i="18"/>
  <c r="AG4" i="18"/>
  <c r="K4" i="18"/>
  <c r="B4" i="18"/>
  <c r="S235" i="18" s="1"/>
  <c r="AG3" i="18"/>
  <c r="AG2" i="18"/>
  <c r="AG6" i="18" s="1"/>
  <c r="AF103" i="17"/>
  <c r="AF39" i="17"/>
  <c r="AE103" i="17"/>
  <c r="AE39" i="17"/>
  <c r="AD103" i="17"/>
  <c r="AD39" i="17"/>
  <c r="AC103" i="17"/>
  <c r="AC39" i="17"/>
  <c r="AB103" i="17"/>
  <c r="AB39" i="17"/>
  <c r="AA103" i="17"/>
  <c r="AA39" i="17"/>
  <c r="Z103" i="17"/>
  <c r="Z39" i="17"/>
  <c r="W103" i="17"/>
  <c r="W39" i="17"/>
  <c r="V103" i="17"/>
  <c r="V39" i="17"/>
  <c r="U39" i="17"/>
  <c r="U103" i="17"/>
  <c r="T103" i="17"/>
  <c r="T39" i="17"/>
  <c r="S103" i="17"/>
  <c r="S39" i="17"/>
  <c r="R39" i="17"/>
  <c r="Q39" i="17"/>
  <c r="P103" i="17"/>
  <c r="P39" i="17"/>
  <c r="O39" i="17"/>
  <c r="N103" i="17"/>
  <c r="N39" i="17"/>
  <c r="M103" i="17"/>
  <c r="M39" i="17"/>
  <c r="L39" i="17"/>
  <c r="K39" i="17"/>
  <c r="J39" i="17"/>
  <c r="I39" i="17"/>
  <c r="G39" i="17"/>
  <c r="F39" i="17"/>
  <c r="E39" i="17"/>
  <c r="E4" i="18"/>
  <c r="C89" i="18" l="1"/>
  <c r="N79" i="18"/>
  <c r="N81" i="18" s="1"/>
  <c r="AG79" i="18"/>
  <c r="AD89" i="18"/>
  <c r="AD90" i="18" s="1"/>
  <c r="AF89" i="18"/>
  <c r="AF90" i="18" s="1"/>
  <c r="D224" i="18"/>
  <c r="D259" i="18"/>
  <c r="AF79" i="18"/>
  <c r="AF81" i="18" s="1"/>
  <c r="AF7" i="18" s="1"/>
  <c r="AE79" i="18"/>
  <c r="AE81" i="18" s="1"/>
  <c r="AD79" i="18"/>
  <c r="AD81" i="18" s="1"/>
  <c r="AD82" i="18" s="1"/>
  <c r="AC79" i="18"/>
  <c r="AC81" i="18" s="1"/>
  <c r="AC89" i="18"/>
  <c r="AA5" i="18"/>
  <c r="AB89" i="18"/>
  <c r="AB90" i="18" s="1"/>
  <c r="AA90" i="18"/>
  <c r="Z79" i="18"/>
  <c r="Z81" i="18" s="1"/>
  <c r="AR238" i="18" s="1"/>
  <c r="Z89" i="18"/>
  <c r="Y79" i="18"/>
  <c r="Y81" i="18" s="1"/>
  <c r="Y89" i="18"/>
  <c r="Y90" i="18" s="1"/>
  <c r="X89" i="18"/>
  <c r="X90" i="18" s="1"/>
  <c r="X79" i="18"/>
  <c r="X81" i="18" s="1"/>
  <c r="AP238" i="18" s="1"/>
  <c r="W79" i="18"/>
  <c r="W81" i="18" s="1"/>
  <c r="AO238" i="18" s="1"/>
  <c r="V79" i="18"/>
  <c r="V81" i="18" s="1"/>
  <c r="U79" i="18"/>
  <c r="U81" i="18" s="1"/>
  <c r="U89" i="18"/>
  <c r="T89" i="18"/>
  <c r="T90" i="18" s="1"/>
  <c r="S89" i="18"/>
  <c r="S90" i="18" s="1"/>
  <c r="R89" i="18"/>
  <c r="Q89" i="18"/>
  <c r="Q90" i="18" s="1"/>
  <c r="Q79" i="18"/>
  <c r="Q81" i="18" s="1"/>
  <c r="AI238" i="18" s="1"/>
  <c r="P89" i="18"/>
  <c r="P90" i="18" s="1"/>
  <c r="P79" i="18"/>
  <c r="P81" i="18" s="1"/>
  <c r="O79" i="18"/>
  <c r="O81" i="18" s="1"/>
  <c r="N89" i="18"/>
  <c r="N90" i="18" s="1"/>
  <c r="M89" i="18"/>
  <c r="M79" i="18"/>
  <c r="M81" i="18" s="1"/>
  <c r="L89" i="18"/>
  <c r="L90" i="18" s="1"/>
  <c r="K89" i="18"/>
  <c r="K90" i="18" s="1"/>
  <c r="J89" i="18"/>
  <c r="J90" i="18" s="1"/>
  <c r="I90" i="18"/>
  <c r="I79" i="18"/>
  <c r="I81" i="18" s="1"/>
  <c r="AA238" i="18" s="1"/>
  <c r="H89" i="18"/>
  <c r="H90" i="18"/>
  <c r="H79" i="18"/>
  <c r="H81" i="18" s="1"/>
  <c r="Z238" i="18" s="1"/>
  <c r="G79" i="18"/>
  <c r="G81" i="18" s="1"/>
  <c r="Y238" i="18" s="1"/>
  <c r="F89" i="18"/>
  <c r="F90" i="18" s="1"/>
  <c r="AH62" i="18"/>
  <c r="F79" i="18"/>
  <c r="F81" i="18" s="1"/>
  <c r="X238" i="18" s="1"/>
  <c r="AH58" i="18"/>
  <c r="AI83" i="18"/>
  <c r="E89" i="18"/>
  <c r="E79" i="18"/>
  <c r="E81" i="18" s="1"/>
  <c r="E7" i="18" s="1"/>
  <c r="D89" i="18"/>
  <c r="D90" i="18" s="1"/>
  <c r="AH84" i="18"/>
  <c r="C90" i="18"/>
  <c r="AI62" i="18"/>
  <c r="AI58" i="18"/>
  <c r="B79" i="18"/>
  <c r="B81" i="18" s="1"/>
  <c r="B82" i="18" s="1"/>
  <c r="B90" i="18"/>
  <c r="H4" i="18"/>
  <c r="AC7" i="18"/>
  <c r="AU238" i="18"/>
  <c r="AC82" i="18"/>
  <c r="AG238" i="18"/>
  <c r="O82" i="18"/>
  <c r="O7" i="18"/>
  <c r="AW238" i="18"/>
  <c r="AE7" i="18"/>
  <c r="AH238" i="18"/>
  <c r="P82" i="18"/>
  <c r="P7" i="18"/>
  <c r="X82" i="18"/>
  <c r="X7" i="18"/>
  <c r="AX238" i="18"/>
  <c r="AF82" i="18"/>
  <c r="Q7" i="18"/>
  <c r="AQ238" i="18"/>
  <c r="Y7" i="18"/>
  <c r="M7" i="18"/>
  <c r="AE238" i="18"/>
  <c r="M82" i="18"/>
  <c r="AH85" i="18"/>
  <c r="Z7" i="18"/>
  <c r="N7" i="18"/>
  <c r="AF238" i="18"/>
  <c r="N82" i="18"/>
  <c r="V7" i="18"/>
  <c r="AN238" i="18"/>
  <c r="AI44" i="18"/>
  <c r="Z82" i="18"/>
  <c r="G89" i="18"/>
  <c r="G90" i="18" s="1"/>
  <c r="O89" i="18"/>
  <c r="O90" i="18" s="1"/>
  <c r="W89" i="18"/>
  <c r="W90" i="18" s="1"/>
  <c r="AE89" i="18"/>
  <c r="AE90" i="18" s="1"/>
  <c r="R90" i="18"/>
  <c r="AH74" i="18"/>
  <c r="AG81" i="18"/>
  <c r="AI87" i="18"/>
  <c r="Z90" i="18"/>
  <c r="V89" i="18"/>
  <c r="V90" i="18" s="1"/>
  <c r="J79" i="18"/>
  <c r="J81" i="18" s="1"/>
  <c r="R79" i="18"/>
  <c r="R81" i="18" s="1"/>
  <c r="AI74" i="18"/>
  <c r="U7" i="18"/>
  <c r="AM238" i="18"/>
  <c r="U82" i="18"/>
  <c r="AI86" i="18"/>
  <c r="C79" i="18"/>
  <c r="C81" i="18" s="1"/>
  <c r="K79" i="18"/>
  <c r="K81" i="18" s="1"/>
  <c r="S79" i="18"/>
  <c r="S81" i="18" s="1"/>
  <c r="AA79" i="18"/>
  <c r="AA81" i="18" s="1"/>
  <c r="AH83" i="18"/>
  <c r="AI84" i="18"/>
  <c r="AI85" i="18"/>
  <c r="G223" i="18"/>
  <c r="J5" i="18"/>
  <c r="D79" i="18"/>
  <c r="D81" i="18" s="1"/>
  <c r="L79" i="18"/>
  <c r="L81" i="18" s="1"/>
  <c r="T79" i="18"/>
  <c r="T81" i="18" s="1"/>
  <c r="AB79" i="18"/>
  <c r="AB81" i="18" s="1"/>
  <c r="E90" i="18"/>
  <c r="M90" i="18"/>
  <c r="U90" i="18"/>
  <c r="AC90" i="18"/>
  <c r="F218" i="18"/>
  <c r="E100" i="18"/>
  <c r="E224" i="18"/>
  <c r="D100" i="18"/>
  <c r="D235" i="18"/>
  <c r="AH44" i="18"/>
  <c r="AI40" i="18"/>
  <c r="AH86" i="18"/>
  <c r="B224" i="18"/>
  <c r="AH40" i="18"/>
  <c r="AH87" i="18"/>
  <c r="D103" i="17"/>
  <c r="D39" i="17"/>
  <c r="AI39" i="17" s="1"/>
  <c r="C103" i="17"/>
  <c r="C39" i="17"/>
  <c r="B103" i="17"/>
  <c r="B39" i="17"/>
  <c r="B87" i="17"/>
  <c r="B86" i="17"/>
  <c r="B85" i="17"/>
  <c r="B84" i="17"/>
  <c r="B83" i="17"/>
  <c r="B74" i="17"/>
  <c r="B62" i="17"/>
  <c r="B58" i="17"/>
  <c r="B44" i="17"/>
  <c r="B40" i="17"/>
  <c r="AF263" i="17"/>
  <c r="AE263" i="17"/>
  <c r="AD263" i="17"/>
  <c r="AC263" i="17"/>
  <c r="AB263" i="17"/>
  <c r="AA263" i="17"/>
  <c r="Z263" i="17"/>
  <c r="Y263" i="17"/>
  <c r="X263" i="17"/>
  <c r="W263" i="17"/>
  <c r="V263" i="17"/>
  <c r="U263" i="17"/>
  <c r="T263" i="17"/>
  <c r="S263" i="17"/>
  <c r="R263" i="17"/>
  <c r="Q263" i="17"/>
  <c r="P263" i="17"/>
  <c r="O263" i="17"/>
  <c r="N263" i="17"/>
  <c r="M263" i="17"/>
  <c r="L263" i="17"/>
  <c r="K263" i="17"/>
  <c r="J263" i="17"/>
  <c r="I263" i="17"/>
  <c r="H263" i="17"/>
  <c r="G263" i="17"/>
  <c r="F263" i="17"/>
  <c r="E263" i="17"/>
  <c r="D263" i="17"/>
  <c r="C263" i="17"/>
  <c r="B263" i="17"/>
  <c r="A263" i="17"/>
  <c r="AF262" i="17"/>
  <c r="AE262" i="17"/>
  <c r="AD262" i="17"/>
  <c r="AC262" i="17"/>
  <c r="AB262" i="17"/>
  <c r="AA262" i="17"/>
  <c r="Z262" i="17"/>
  <c r="Y262" i="17"/>
  <c r="X262" i="17"/>
  <c r="W262" i="17"/>
  <c r="V262" i="17"/>
  <c r="U262" i="17"/>
  <c r="T262" i="17"/>
  <c r="S262" i="17"/>
  <c r="R262" i="17"/>
  <c r="Q262" i="17"/>
  <c r="P262" i="17"/>
  <c r="O262" i="17"/>
  <c r="N262" i="17"/>
  <c r="M262" i="17"/>
  <c r="L262" i="17"/>
  <c r="K262" i="17"/>
  <c r="J262" i="17"/>
  <c r="I262" i="17"/>
  <c r="H262" i="17"/>
  <c r="G262" i="17"/>
  <c r="F262" i="17"/>
  <c r="E262" i="17"/>
  <c r="D262" i="17"/>
  <c r="C262" i="17"/>
  <c r="B262" i="17"/>
  <c r="A262" i="17"/>
  <c r="AF261" i="17"/>
  <c r="AE261" i="17"/>
  <c r="AD261" i="17"/>
  <c r="AC261" i="17"/>
  <c r="AB261" i="17"/>
  <c r="AA261" i="17"/>
  <c r="Z261" i="17"/>
  <c r="Y261" i="17"/>
  <c r="X261" i="17"/>
  <c r="W261" i="17"/>
  <c r="V261" i="17"/>
  <c r="U261" i="17"/>
  <c r="T261" i="17"/>
  <c r="S261" i="17"/>
  <c r="R261" i="17"/>
  <c r="Q261" i="17"/>
  <c r="P261" i="17"/>
  <c r="O261" i="17"/>
  <c r="N261" i="17"/>
  <c r="M261" i="17"/>
  <c r="L261" i="17"/>
  <c r="K261" i="17"/>
  <c r="J261" i="17"/>
  <c r="I261" i="17"/>
  <c r="H261" i="17"/>
  <c r="G261" i="17"/>
  <c r="F261" i="17"/>
  <c r="E261" i="17"/>
  <c r="D261" i="17"/>
  <c r="C261" i="17"/>
  <c r="B261" i="17"/>
  <c r="A261" i="17"/>
  <c r="AF260" i="17"/>
  <c r="AE260" i="17"/>
  <c r="AD260" i="17"/>
  <c r="AC260" i="17"/>
  <c r="AB260" i="17"/>
  <c r="AA260" i="17"/>
  <c r="Z260" i="17"/>
  <c r="Y260" i="17"/>
  <c r="X260" i="17"/>
  <c r="W260" i="17"/>
  <c r="V260" i="17"/>
  <c r="U260" i="17"/>
  <c r="T260" i="17"/>
  <c r="S260" i="17"/>
  <c r="R260" i="17"/>
  <c r="Q260" i="17"/>
  <c r="P260" i="17"/>
  <c r="O260" i="17"/>
  <c r="N260" i="17"/>
  <c r="M260" i="17"/>
  <c r="L260" i="17"/>
  <c r="K260" i="17"/>
  <c r="J260" i="17"/>
  <c r="I260" i="17"/>
  <c r="H260" i="17"/>
  <c r="G260" i="17"/>
  <c r="F260" i="17"/>
  <c r="E260" i="17"/>
  <c r="D260" i="17"/>
  <c r="C260" i="17"/>
  <c r="B260" i="17"/>
  <c r="A260" i="17"/>
  <c r="AE259" i="17"/>
  <c r="AD259" i="17"/>
  <c r="AC259" i="17"/>
  <c r="AB259" i="17"/>
  <c r="AA259" i="17"/>
  <c r="Z259" i="17"/>
  <c r="Y259" i="17"/>
  <c r="X259" i="17"/>
  <c r="W259" i="17"/>
  <c r="V259" i="17"/>
  <c r="U259" i="17"/>
  <c r="T259" i="17"/>
  <c r="S259" i="17"/>
  <c r="R259" i="17"/>
  <c r="Q259" i="17"/>
  <c r="P259" i="17"/>
  <c r="B259" i="17"/>
  <c r="S234" i="17"/>
  <c r="AG224" i="17"/>
  <c r="AG57" i="17" s="1"/>
  <c r="AG58" i="17" s="1"/>
  <c r="AG3" i="17" s="1"/>
  <c r="AF224" i="17"/>
  <c r="AE224" i="17"/>
  <c r="AD224" i="17"/>
  <c r="AC224" i="17"/>
  <c r="AB224" i="17"/>
  <c r="AA224" i="17"/>
  <c r="Z224" i="17"/>
  <c r="Y224" i="17"/>
  <c r="X224" i="17"/>
  <c r="W224" i="17"/>
  <c r="V224" i="17"/>
  <c r="U224" i="17"/>
  <c r="T224" i="17"/>
  <c r="S224" i="17"/>
  <c r="R224" i="17"/>
  <c r="Q224" i="17"/>
  <c r="C224" i="17"/>
  <c r="D223" i="17"/>
  <c r="C259" i="17" s="1"/>
  <c r="B223" i="17"/>
  <c r="AF259" i="17" s="1"/>
  <c r="D222" i="17"/>
  <c r="E222" i="17" s="1"/>
  <c r="F222" i="17" s="1"/>
  <c r="G222" i="17" s="1"/>
  <c r="H222" i="17" s="1"/>
  <c r="I222" i="17" s="1"/>
  <c r="J222" i="17" s="1"/>
  <c r="K222" i="17" s="1"/>
  <c r="L222" i="17" s="1"/>
  <c r="M222" i="17" s="1"/>
  <c r="N222" i="17" s="1"/>
  <c r="O222" i="17" s="1"/>
  <c r="P222" i="17" s="1"/>
  <c r="B222" i="17"/>
  <c r="D221" i="17"/>
  <c r="E221" i="17" s="1"/>
  <c r="F221" i="17" s="1"/>
  <c r="G221" i="17" s="1"/>
  <c r="H221" i="17" s="1"/>
  <c r="I221" i="17" s="1"/>
  <c r="J221" i="17" s="1"/>
  <c r="K221" i="17" s="1"/>
  <c r="L221" i="17" s="1"/>
  <c r="M221" i="17" s="1"/>
  <c r="N221" i="17" s="1"/>
  <c r="O221" i="17" s="1"/>
  <c r="P221" i="17" s="1"/>
  <c r="B221" i="17"/>
  <c r="D220" i="17"/>
  <c r="E220" i="17" s="1"/>
  <c r="F220" i="17" s="1"/>
  <c r="G220" i="17" s="1"/>
  <c r="H220" i="17" s="1"/>
  <c r="I220" i="17" s="1"/>
  <c r="J220" i="17" s="1"/>
  <c r="K220" i="17" s="1"/>
  <c r="L220" i="17" s="1"/>
  <c r="M220" i="17" s="1"/>
  <c r="N220" i="17" s="1"/>
  <c r="O220" i="17" s="1"/>
  <c r="P220" i="17" s="1"/>
  <c r="B220" i="17"/>
  <c r="D219" i="17"/>
  <c r="E219" i="17" s="1"/>
  <c r="F219" i="17" s="1"/>
  <c r="G219" i="17" s="1"/>
  <c r="H219" i="17" s="1"/>
  <c r="I219" i="17" s="1"/>
  <c r="J219" i="17" s="1"/>
  <c r="K219" i="17" s="1"/>
  <c r="L219" i="17" s="1"/>
  <c r="M219" i="17" s="1"/>
  <c r="N219" i="17" s="1"/>
  <c r="O219" i="17" s="1"/>
  <c r="P219" i="17" s="1"/>
  <c r="B219" i="17"/>
  <c r="E218" i="17"/>
  <c r="F218" i="17" s="1"/>
  <c r="D218" i="17"/>
  <c r="B218" i="17"/>
  <c r="B100" i="17" s="1"/>
  <c r="AG216" i="17"/>
  <c r="AF216" i="17"/>
  <c r="AE216" i="17"/>
  <c r="AD216" i="17"/>
  <c r="AC216" i="17"/>
  <c r="AB216" i="17"/>
  <c r="AA216" i="17"/>
  <c r="Z216" i="17"/>
  <c r="Y216" i="17"/>
  <c r="X216" i="17"/>
  <c r="W216" i="17"/>
  <c r="V216" i="17"/>
  <c r="U216" i="17"/>
  <c r="T216" i="17"/>
  <c r="S216" i="17"/>
  <c r="R216" i="17"/>
  <c r="Q216" i="17"/>
  <c r="P216" i="17"/>
  <c r="O216" i="17"/>
  <c r="N216" i="17"/>
  <c r="M216" i="17"/>
  <c r="L216" i="17"/>
  <c r="K216" i="17"/>
  <c r="J216" i="17"/>
  <c r="I216" i="17"/>
  <c r="H216" i="17"/>
  <c r="G216" i="17"/>
  <c r="F216" i="17"/>
  <c r="E216" i="17"/>
  <c r="D216" i="17"/>
  <c r="C216" i="17"/>
  <c r="B216" i="17"/>
  <c r="AI109" i="17"/>
  <c r="AH109" i="17"/>
  <c r="AI108" i="17"/>
  <c r="AH108" i="17"/>
  <c r="AI107" i="17"/>
  <c r="AH107" i="17"/>
  <c r="AI106" i="17"/>
  <c r="AH106" i="17"/>
  <c r="AI105" i="17"/>
  <c r="AH105" i="17"/>
  <c r="AI104" i="17"/>
  <c r="AH104" i="17"/>
  <c r="AI103" i="17"/>
  <c r="AH103" i="17"/>
  <c r="AI102" i="17"/>
  <c r="AH102" i="17"/>
  <c r="AI101" i="17"/>
  <c r="AH101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C100" i="17"/>
  <c r="AI99" i="17"/>
  <c r="AH99" i="17"/>
  <c r="AI98" i="17"/>
  <c r="AH98" i="17"/>
  <c r="AI97" i="17"/>
  <c r="AH97" i="17"/>
  <c r="AI96" i="17"/>
  <c r="AH96" i="17"/>
  <c r="AI95" i="17"/>
  <c r="AH95" i="17"/>
  <c r="AI94" i="17"/>
  <c r="AH94" i="17"/>
  <c r="AI93" i="17"/>
  <c r="AH93" i="17"/>
  <c r="AI92" i="17"/>
  <c r="AH92" i="17"/>
  <c r="AI91" i="17"/>
  <c r="AH91" i="17"/>
  <c r="AI88" i="17"/>
  <c r="AH88" i="17"/>
  <c r="AF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AF84" i="17"/>
  <c r="AE84" i="17"/>
  <c r="AD84" i="17"/>
  <c r="AC84" i="17"/>
  <c r="AB84" i="17"/>
  <c r="AA84" i="17"/>
  <c r="Z84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AF83" i="17"/>
  <c r="AE83" i="17"/>
  <c r="AD83" i="17"/>
  <c r="AC83" i="17"/>
  <c r="AB83" i="17"/>
  <c r="AA83" i="17"/>
  <c r="Z83" i="17"/>
  <c r="Y83" i="17"/>
  <c r="X83" i="17"/>
  <c r="W83" i="17"/>
  <c r="V83" i="17"/>
  <c r="V89" i="17" s="1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H89" i="17" s="1"/>
  <c r="G83" i="17"/>
  <c r="G89" i="17" s="1"/>
  <c r="F83" i="17"/>
  <c r="E83" i="17"/>
  <c r="D83" i="17"/>
  <c r="C83" i="17"/>
  <c r="AI80" i="17"/>
  <c r="AH80" i="17"/>
  <c r="AI78" i="17"/>
  <c r="AH78" i="17"/>
  <c r="AG78" i="17"/>
  <c r="AI77" i="17"/>
  <c r="AH77" i="17"/>
  <c r="AI76" i="17"/>
  <c r="AH76" i="17"/>
  <c r="AI75" i="17"/>
  <c r="AH75" i="17"/>
  <c r="AG74" i="17"/>
  <c r="AF74" i="17"/>
  <c r="AE5" i="17" s="1"/>
  <c r="AE74" i="17"/>
  <c r="AD74" i="17"/>
  <c r="AC5" i="17" s="1"/>
  <c r="AC74" i="17"/>
  <c r="AB5" i="17" s="1"/>
  <c r="AB74" i="17"/>
  <c r="AA74" i="17"/>
  <c r="Z5" i="17" s="1"/>
  <c r="Z74" i="17"/>
  <c r="Y5" i="17" s="1"/>
  <c r="Y74" i="17"/>
  <c r="X5" i="17" s="1"/>
  <c r="X74" i="17"/>
  <c r="W5" i="17" s="1"/>
  <c r="W74" i="17"/>
  <c r="V5" i="17" s="1"/>
  <c r="V74" i="17"/>
  <c r="U74" i="17"/>
  <c r="T5" i="17" s="1"/>
  <c r="T74" i="17"/>
  <c r="S74" i="17"/>
  <c r="R5" i="17" s="1"/>
  <c r="R74" i="17"/>
  <c r="Q5" i="17" s="1"/>
  <c r="Q74" i="17"/>
  <c r="P5" i="17" s="1"/>
  <c r="P74" i="17"/>
  <c r="O5" i="17" s="1"/>
  <c r="O74" i="17"/>
  <c r="N5" i="17" s="1"/>
  <c r="N74" i="17"/>
  <c r="M5" i="17" s="1"/>
  <c r="M74" i="17"/>
  <c r="L5" i="17" s="1"/>
  <c r="L74" i="17"/>
  <c r="K74" i="17"/>
  <c r="J5" i="17" s="1"/>
  <c r="J74" i="17"/>
  <c r="I5" i="17" s="1"/>
  <c r="I74" i="17"/>
  <c r="H5" i="17" s="1"/>
  <c r="H74" i="17"/>
  <c r="G74" i="17"/>
  <c r="F74" i="17"/>
  <c r="E5" i="17" s="1"/>
  <c r="E74" i="17"/>
  <c r="D5" i="17" s="1"/>
  <c r="D74" i="17"/>
  <c r="C74" i="17"/>
  <c r="B5" i="17" s="1"/>
  <c r="AF5" i="17"/>
  <c r="AI73" i="17"/>
  <c r="AH73" i="17"/>
  <c r="AI72" i="17"/>
  <c r="AH72" i="17"/>
  <c r="AI71" i="17"/>
  <c r="AH71" i="17"/>
  <c r="AI70" i="17"/>
  <c r="AH70" i="17"/>
  <c r="AI69" i="17"/>
  <c r="AH69" i="17"/>
  <c r="AI68" i="17"/>
  <c r="AH68" i="17"/>
  <c r="AI67" i="17"/>
  <c r="AH67" i="17"/>
  <c r="AI66" i="17"/>
  <c r="AH66" i="17"/>
  <c r="AI65" i="17"/>
  <c r="AH65" i="17"/>
  <c r="AI64" i="17"/>
  <c r="AH64" i="17"/>
  <c r="AI63" i="17"/>
  <c r="AH63" i="17"/>
  <c r="AG62" i="17"/>
  <c r="AF62" i="17"/>
  <c r="AE62" i="17"/>
  <c r="AD62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AI61" i="17"/>
  <c r="AH61" i="17"/>
  <c r="AI60" i="17"/>
  <c r="AH60" i="17"/>
  <c r="AI59" i="17"/>
  <c r="AH59" i="17"/>
  <c r="AF58" i="17"/>
  <c r="AE58" i="17"/>
  <c r="AD58" i="17"/>
  <c r="AC58" i="17"/>
  <c r="AB58" i="17"/>
  <c r="AA58" i="17"/>
  <c r="Z58" i="17"/>
  <c r="Y58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AI57" i="17"/>
  <c r="AH57" i="17"/>
  <c r="AI56" i="17"/>
  <c r="AH56" i="17"/>
  <c r="AI55" i="17"/>
  <c r="AH55" i="17"/>
  <c r="AI54" i="17"/>
  <c r="AH54" i="17"/>
  <c r="AI53" i="17"/>
  <c r="AH53" i="17"/>
  <c r="AI52" i="17"/>
  <c r="AH52" i="17"/>
  <c r="AI51" i="17"/>
  <c r="AH51" i="17"/>
  <c r="AI50" i="17"/>
  <c r="AH50" i="17"/>
  <c r="AI49" i="17"/>
  <c r="AH49" i="17"/>
  <c r="AI48" i="17"/>
  <c r="AH48" i="17"/>
  <c r="AI47" i="17"/>
  <c r="AH47" i="17"/>
  <c r="AI46" i="17"/>
  <c r="AH46" i="17"/>
  <c r="AI45" i="17"/>
  <c r="AH45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AI43" i="17"/>
  <c r="AH43" i="17"/>
  <c r="AI42" i="17"/>
  <c r="AH42" i="17"/>
  <c r="AI41" i="17"/>
  <c r="AH41" i="17"/>
  <c r="AG40" i="17"/>
  <c r="AG2" i="17" s="1"/>
  <c r="AG6" i="17" s="1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AI38" i="17"/>
  <c r="AH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AD5" i="17"/>
  <c r="U5" i="17"/>
  <c r="G5" i="17"/>
  <c r="F5" i="17"/>
  <c r="AG4" i="17"/>
  <c r="K4" i="17"/>
  <c r="B4" i="17"/>
  <c r="S235" i="17" s="1"/>
  <c r="AF103" i="16"/>
  <c r="AF39" i="16"/>
  <c r="AE103" i="16"/>
  <c r="AE100" i="16" s="1"/>
  <c r="AE39" i="16"/>
  <c r="AD39" i="16"/>
  <c r="AC39" i="16"/>
  <c r="AB39" i="16"/>
  <c r="AA103" i="16"/>
  <c r="Z103" i="16"/>
  <c r="Y103" i="16"/>
  <c r="X103" i="16"/>
  <c r="X100" i="16" s="1"/>
  <c r="V40" i="16"/>
  <c r="X40" i="16"/>
  <c r="X39" i="16"/>
  <c r="W103" i="16"/>
  <c r="W39" i="16"/>
  <c r="AN20" i="13"/>
  <c r="R103" i="16"/>
  <c r="R39" i="16"/>
  <c r="Q103" i="16"/>
  <c r="Q39" i="16"/>
  <c r="P39" i="16"/>
  <c r="O39" i="16"/>
  <c r="N39" i="16"/>
  <c r="AH39" i="16" s="1"/>
  <c r="M39" i="16"/>
  <c r="L39" i="16"/>
  <c r="K39" i="16"/>
  <c r="J39" i="16"/>
  <c r="I39" i="16"/>
  <c r="H39" i="16"/>
  <c r="G39" i="16"/>
  <c r="F39" i="16"/>
  <c r="E39" i="16"/>
  <c r="C39" i="16"/>
  <c r="D39" i="16"/>
  <c r="C103" i="16"/>
  <c r="B103" i="16"/>
  <c r="B39" i="16"/>
  <c r="AF263" i="16"/>
  <c r="AE263" i="16"/>
  <c r="AD263" i="16"/>
  <c r="AC263" i="16"/>
  <c r="AB263" i="16"/>
  <c r="AA263" i="16"/>
  <c r="Z263" i="16"/>
  <c r="Y263" i="16"/>
  <c r="X263" i="16"/>
  <c r="W263" i="16"/>
  <c r="V263" i="16"/>
  <c r="U263" i="16"/>
  <c r="T263" i="16"/>
  <c r="S263" i="16"/>
  <c r="R263" i="16"/>
  <c r="Q263" i="16"/>
  <c r="P263" i="16"/>
  <c r="O263" i="16"/>
  <c r="N263" i="16"/>
  <c r="M263" i="16"/>
  <c r="L263" i="16"/>
  <c r="K263" i="16"/>
  <c r="J263" i="16"/>
  <c r="I263" i="16"/>
  <c r="H263" i="16"/>
  <c r="G263" i="16"/>
  <c r="F263" i="16"/>
  <c r="E263" i="16"/>
  <c r="D263" i="16"/>
  <c r="C263" i="16"/>
  <c r="B263" i="16"/>
  <c r="A263" i="16"/>
  <c r="AF262" i="16"/>
  <c r="AE262" i="16"/>
  <c r="AD262" i="16"/>
  <c r="AC262" i="16"/>
  <c r="AB262" i="16"/>
  <c r="AA262" i="16"/>
  <c r="Z262" i="16"/>
  <c r="Y262" i="16"/>
  <c r="X262" i="16"/>
  <c r="W262" i="16"/>
  <c r="V262" i="16"/>
  <c r="U262" i="16"/>
  <c r="T262" i="16"/>
  <c r="S262" i="16"/>
  <c r="R262" i="16"/>
  <c r="Q262" i="16"/>
  <c r="P262" i="16"/>
  <c r="O262" i="16"/>
  <c r="N262" i="16"/>
  <c r="M262" i="16"/>
  <c r="L262" i="16"/>
  <c r="K262" i="16"/>
  <c r="J262" i="16"/>
  <c r="I262" i="16"/>
  <c r="H262" i="16"/>
  <c r="G262" i="16"/>
  <c r="F262" i="16"/>
  <c r="E262" i="16"/>
  <c r="D262" i="16"/>
  <c r="C262" i="16"/>
  <c r="B262" i="16"/>
  <c r="A262" i="16"/>
  <c r="AF261" i="16"/>
  <c r="AE261" i="16"/>
  <c r="AD261" i="16"/>
  <c r="AC261" i="16"/>
  <c r="AB261" i="16"/>
  <c r="AA261" i="16"/>
  <c r="Z261" i="16"/>
  <c r="Y261" i="16"/>
  <c r="X261" i="16"/>
  <c r="W261" i="16"/>
  <c r="V261" i="16"/>
  <c r="U261" i="16"/>
  <c r="T261" i="16"/>
  <c r="S261" i="16"/>
  <c r="R261" i="16"/>
  <c r="Q261" i="16"/>
  <c r="P261" i="16"/>
  <c r="O261" i="16"/>
  <c r="N261" i="16"/>
  <c r="M261" i="16"/>
  <c r="L261" i="16"/>
  <c r="K261" i="16"/>
  <c r="J261" i="16"/>
  <c r="I261" i="16"/>
  <c r="H261" i="16"/>
  <c r="G261" i="16"/>
  <c r="F261" i="16"/>
  <c r="E261" i="16"/>
  <c r="D261" i="16"/>
  <c r="C261" i="16"/>
  <c r="B261" i="16"/>
  <c r="A261" i="16"/>
  <c r="AF260" i="16"/>
  <c r="AE260" i="16"/>
  <c r="AD260" i="16"/>
  <c r="AC260" i="16"/>
  <c r="AB260" i="16"/>
  <c r="AA260" i="16"/>
  <c r="Z260" i="16"/>
  <c r="Y260" i="16"/>
  <c r="X260" i="16"/>
  <c r="W260" i="16"/>
  <c r="V260" i="16"/>
  <c r="U260" i="16"/>
  <c r="T260" i="16"/>
  <c r="S260" i="16"/>
  <c r="R260" i="16"/>
  <c r="Q260" i="16"/>
  <c r="P260" i="16"/>
  <c r="O260" i="16"/>
  <c r="N260" i="16"/>
  <c r="M260" i="16"/>
  <c r="L260" i="16"/>
  <c r="K260" i="16"/>
  <c r="J260" i="16"/>
  <c r="I260" i="16"/>
  <c r="H260" i="16"/>
  <c r="G260" i="16"/>
  <c r="F260" i="16"/>
  <c r="E260" i="16"/>
  <c r="D260" i="16"/>
  <c r="C260" i="16"/>
  <c r="B260" i="16"/>
  <c r="A260" i="16"/>
  <c r="AE259" i="16"/>
  <c r="AD259" i="16"/>
  <c r="AC259" i="16"/>
  <c r="AB259" i="16"/>
  <c r="AA259" i="16"/>
  <c r="Z259" i="16"/>
  <c r="Y259" i="16"/>
  <c r="X259" i="16"/>
  <c r="W259" i="16"/>
  <c r="V259" i="16"/>
  <c r="U259" i="16"/>
  <c r="T259" i="16"/>
  <c r="S259" i="16"/>
  <c r="R259" i="16"/>
  <c r="Q259" i="16"/>
  <c r="P259" i="16"/>
  <c r="B259" i="16"/>
  <c r="S234" i="16"/>
  <c r="AG224" i="16"/>
  <c r="AG57" i="16" s="1"/>
  <c r="AG58" i="16" s="1"/>
  <c r="AG3" i="16" s="1"/>
  <c r="AF224" i="16"/>
  <c r="AE224" i="16"/>
  <c r="AD224" i="16"/>
  <c r="AC224" i="16"/>
  <c r="AB224" i="16"/>
  <c r="AA224" i="16"/>
  <c r="Z224" i="16"/>
  <c r="Y224" i="16"/>
  <c r="X224" i="16"/>
  <c r="W224" i="16"/>
  <c r="V224" i="16"/>
  <c r="U224" i="16"/>
  <c r="T224" i="16"/>
  <c r="S224" i="16"/>
  <c r="R224" i="16"/>
  <c r="Q224" i="16"/>
  <c r="C224" i="16"/>
  <c r="D223" i="16"/>
  <c r="E223" i="16" s="1"/>
  <c r="B223" i="16"/>
  <c r="AF259" i="16" s="1"/>
  <c r="D222" i="16"/>
  <c r="E222" i="16" s="1"/>
  <c r="F222" i="16" s="1"/>
  <c r="G222" i="16" s="1"/>
  <c r="H222" i="16" s="1"/>
  <c r="I222" i="16" s="1"/>
  <c r="J222" i="16" s="1"/>
  <c r="K222" i="16" s="1"/>
  <c r="L222" i="16" s="1"/>
  <c r="M222" i="16" s="1"/>
  <c r="N222" i="16" s="1"/>
  <c r="O222" i="16" s="1"/>
  <c r="P222" i="16" s="1"/>
  <c r="B222" i="16"/>
  <c r="D221" i="16"/>
  <c r="E221" i="16" s="1"/>
  <c r="F221" i="16" s="1"/>
  <c r="G221" i="16" s="1"/>
  <c r="H221" i="16" s="1"/>
  <c r="I221" i="16" s="1"/>
  <c r="J221" i="16" s="1"/>
  <c r="K221" i="16" s="1"/>
  <c r="L221" i="16" s="1"/>
  <c r="M221" i="16" s="1"/>
  <c r="N221" i="16" s="1"/>
  <c r="O221" i="16" s="1"/>
  <c r="P221" i="16" s="1"/>
  <c r="B221" i="16"/>
  <c r="D220" i="16"/>
  <c r="E220" i="16" s="1"/>
  <c r="F220" i="16" s="1"/>
  <c r="G220" i="16" s="1"/>
  <c r="H220" i="16" s="1"/>
  <c r="I220" i="16" s="1"/>
  <c r="J220" i="16" s="1"/>
  <c r="K220" i="16" s="1"/>
  <c r="L220" i="16" s="1"/>
  <c r="M220" i="16" s="1"/>
  <c r="N220" i="16" s="1"/>
  <c r="O220" i="16" s="1"/>
  <c r="P220" i="16" s="1"/>
  <c r="B220" i="16"/>
  <c r="D219" i="16"/>
  <c r="E219" i="16" s="1"/>
  <c r="F219" i="16" s="1"/>
  <c r="G219" i="16" s="1"/>
  <c r="H219" i="16" s="1"/>
  <c r="I219" i="16" s="1"/>
  <c r="J219" i="16" s="1"/>
  <c r="K219" i="16" s="1"/>
  <c r="L219" i="16" s="1"/>
  <c r="M219" i="16" s="1"/>
  <c r="N219" i="16" s="1"/>
  <c r="O219" i="16" s="1"/>
  <c r="P219" i="16" s="1"/>
  <c r="B219" i="16"/>
  <c r="E218" i="16"/>
  <c r="D218" i="16"/>
  <c r="B218" i="16"/>
  <c r="AG216" i="16"/>
  <c r="AF216" i="16"/>
  <c r="AE216" i="16"/>
  <c r="AD216" i="16"/>
  <c r="AC216" i="16"/>
  <c r="AB216" i="16"/>
  <c r="AA216" i="16"/>
  <c r="Z216" i="16"/>
  <c r="Y216" i="16"/>
  <c r="X216" i="16"/>
  <c r="W216" i="16"/>
  <c r="V216" i="16"/>
  <c r="U216" i="16"/>
  <c r="T216" i="16"/>
  <c r="S216" i="16"/>
  <c r="R216" i="16"/>
  <c r="Q216" i="16"/>
  <c r="P216" i="16"/>
  <c r="O216" i="16"/>
  <c r="N216" i="16"/>
  <c r="M216" i="16"/>
  <c r="L216" i="16"/>
  <c r="K216" i="16"/>
  <c r="J216" i="16"/>
  <c r="I216" i="16"/>
  <c r="H216" i="16"/>
  <c r="G216" i="16"/>
  <c r="F216" i="16"/>
  <c r="E216" i="16"/>
  <c r="D216" i="16"/>
  <c r="C216" i="16"/>
  <c r="B216" i="16"/>
  <c r="AI109" i="16"/>
  <c r="AH109" i="16"/>
  <c r="AI108" i="16"/>
  <c r="AH108" i="16"/>
  <c r="AI107" i="16"/>
  <c r="AH107" i="16"/>
  <c r="AI106" i="16"/>
  <c r="AH106" i="16"/>
  <c r="AI105" i="16"/>
  <c r="AH105" i="16"/>
  <c r="AI104" i="16"/>
  <c r="AH104" i="16"/>
  <c r="AH103" i="16"/>
  <c r="AI102" i="16"/>
  <c r="AH102" i="16"/>
  <c r="AI101" i="16"/>
  <c r="AH101" i="16"/>
  <c r="AF100" i="16"/>
  <c r="AD100" i="16"/>
  <c r="AC100" i="16"/>
  <c r="AB100" i="16"/>
  <c r="AA100" i="16"/>
  <c r="Z100" i="16"/>
  <c r="Y100" i="16"/>
  <c r="W100" i="16"/>
  <c r="V100" i="16"/>
  <c r="U100" i="16"/>
  <c r="T100" i="16"/>
  <c r="S100" i="16"/>
  <c r="R100" i="16"/>
  <c r="Q100" i="16"/>
  <c r="C100" i="16"/>
  <c r="AI99" i="16"/>
  <c r="AH99" i="16"/>
  <c r="AI98" i="16"/>
  <c r="AH98" i="16"/>
  <c r="AI97" i="16"/>
  <c r="AH97" i="16"/>
  <c r="AI96" i="16"/>
  <c r="AH96" i="16"/>
  <c r="AI95" i="16"/>
  <c r="AH95" i="16"/>
  <c r="AI94" i="16"/>
  <c r="AH94" i="16"/>
  <c r="AI93" i="16"/>
  <c r="AH93" i="16"/>
  <c r="AI92" i="16"/>
  <c r="AH92" i="16"/>
  <c r="AI91" i="16"/>
  <c r="AH91" i="16"/>
  <c r="AI88" i="16"/>
  <c r="AH88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M89" i="16" s="1"/>
  <c r="L83" i="16"/>
  <c r="K83" i="16"/>
  <c r="J83" i="16"/>
  <c r="I83" i="16"/>
  <c r="H83" i="16"/>
  <c r="G83" i="16"/>
  <c r="F83" i="16"/>
  <c r="E83" i="16"/>
  <c r="D83" i="16"/>
  <c r="C83" i="16"/>
  <c r="B83" i="16"/>
  <c r="AI80" i="16"/>
  <c r="AH80" i="16"/>
  <c r="AI78" i="16"/>
  <c r="AH78" i="16"/>
  <c r="AG78" i="16"/>
  <c r="AI77" i="16"/>
  <c r="AH77" i="16"/>
  <c r="AI76" i="16"/>
  <c r="AH76" i="16"/>
  <c r="AI75" i="16"/>
  <c r="AH75" i="16"/>
  <c r="AG74" i="16"/>
  <c r="AF74" i="16"/>
  <c r="AE5" i="16" s="1"/>
  <c r="AE74" i="16"/>
  <c r="AD5" i="16" s="1"/>
  <c r="AD74" i="16"/>
  <c r="AC5" i="16" s="1"/>
  <c r="AC74" i="16"/>
  <c r="AB74" i="16"/>
  <c r="AA74" i="16"/>
  <c r="Z74" i="16"/>
  <c r="Y5" i="16" s="1"/>
  <c r="Y74" i="16"/>
  <c r="X5" i="16" s="1"/>
  <c r="X74" i="16"/>
  <c r="W5" i="16" s="1"/>
  <c r="W74" i="16"/>
  <c r="V74" i="16"/>
  <c r="U5" i="16" s="1"/>
  <c r="U74" i="16"/>
  <c r="T74" i="16"/>
  <c r="S74" i="16"/>
  <c r="R5" i="16" s="1"/>
  <c r="R74" i="16"/>
  <c r="Q5" i="16" s="1"/>
  <c r="Q74" i="16"/>
  <c r="P5" i="16" s="1"/>
  <c r="P74" i="16"/>
  <c r="O5" i="16" s="1"/>
  <c r="O74" i="16"/>
  <c r="N5" i="16" s="1"/>
  <c r="N74" i="16"/>
  <c r="M5" i="16" s="1"/>
  <c r="M74" i="16"/>
  <c r="L74" i="16"/>
  <c r="K74" i="16"/>
  <c r="J5" i="16" s="1"/>
  <c r="J74" i="16"/>
  <c r="I5" i="16" s="1"/>
  <c r="I74" i="16"/>
  <c r="H5" i="16" s="1"/>
  <c r="H74" i="16"/>
  <c r="G5" i="16" s="1"/>
  <c r="G74" i="16"/>
  <c r="F5" i="16" s="1"/>
  <c r="F74" i="16"/>
  <c r="E5" i="16" s="1"/>
  <c r="E74" i="16"/>
  <c r="D74" i="16"/>
  <c r="C74" i="16"/>
  <c r="B5" i="16" s="1"/>
  <c r="B74" i="16"/>
  <c r="AF5" i="16" s="1"/>
  <c r="AI73" i="16"/>
  <c r="AH73" i="16"/>
  <c r="AI72" i="16"/>
  <c r="AH72" i="16"/>
  <c r="AI71" i="16"/>
  <c r="AH71" i="16"/>
  <c r="AI70" i="16"/>
  <c r="AH70" i="16"/>
  <c r="AI69" i="16"/>
  <c r="AH69" i="16"/>
  <c r="AI68" i="16"/>
  <c r="AH68" i="16"/>
  <c r="AI67" i="16"/>
  <c r="AH67" i="16"/>
  <c r="AI66" i="16"/>
  <c r="AH66" i="16"/>
  <c r="AI65" i="16"/>
  <c r="AH65" i="16"/>
  <c r="AI64" i="16"/>
  <c r="AH64" i="16"/>
  <c r="AI63" i="16"/>
  <c r="AH63" i="16"/>
  <c r="AG62" i="16"/>
  <c r="AF62" i="16"/>
  <c r="AE62" i="16"/>
  <c r="AD62" i="16"/>
  <c r="AC62" i="16"/>
  <c r="AB62" i="16"/>
  <c r="AA62" i="16"/>
  <c r="Z62" i="16"/>
  <c r="Y62" i="16"/>
  <c r="X62" i="16"/>
  <c r="W62" i="16"/>
  <c r="V62" i="16"/>
  <c r="U62" i="16"/>
  <c r="T62" i="16"/>
  <c r="S62" i="16"/>
  <c r="R62" i="16"/>
  <c r="Q62" i="16"/>
  <c r="P62" i="16"/>
  <c r="O62" i="16"/>
  <c r="N62" i="16"/>
  <c r="M62" i="16"/>
  <c r="L62" i="16"/>
  <c r="K62" i="16"/>
  <c r="J62" i="16"/>
  <c r="I62" i="16"/>
  <c r="H62" i="16"/>
  <c r="G62" i="16"/>
  <c r="F62" i="16"/>
  <c r="E62" i="16"/>
  <c r="D62" i="16"/>
  <c r="C62" i="16"/>
  <c r="B62" i="16"/>
  <c r="AI61" i="16"/>
  <c r="AH61" i="16"/>
  <c r="AI60" i="16"/>
  <c r="AH60" i="16"/>
  <c r="AI59" i="16"/>
  <c r="AH59" i="16"/>
  <c r="AF58" i="16"/>
  <c r="AE58" i="16"/>
  <c r="AD58" i="16"/>
  <c r="AC58" i="16"/>
  <c r="AB58" i="16"/>
  <c r="AA58" i="16"/>
  <c r="Z58" i="16"/>
  <c r="Y58" i="16"/>
  <c r="X58" i="16"/>
  <c r="W58" i="16"/>
  <c r="V58" i="16"/>
  <c r="U58" i="16"/>
  <c r="T58" i="16"/>
  <c r="S58" i="16"/>
  <c r="R58" i="16"/>
  <c r="Q58" i="16"/>
  <c r="P58" i="16"/>
  <c r="O58" i="16"/>
  <c r="N58" i="16"/>
  <c r="M58" i="16"/>
  <c r="L58" i="16"/>
  <c r="K58" i="16"/>
  <c r="J58" i="16"/>
  <c r="I58" i="16"/>
  <c r="H58" i="16"/>
  <c r="G58" i="16"/>
  <c r="F58" i="16"/>
  <c r="E58" i="16"/>
  <c r="D58" i="16"/>
  <c r="C58" i="16"/>
  <c r="B58" i="16"/>
  <c r="AI57" i="16"/>
  <c r="AH57" i="16"/>
  <c r="AI56" i="16"/>
  <c r="AH56" i="16"/>
  <c r="AI55" i="16"/>
  <c r="AH55" i="16"/>
  <c r="AI54" i="16"/>
  <c r="AH54" i="16"/>
  <c r="AI53" i="16"/>
  <c r="AH53" i="16"/>
  <c r="AI52" i="16"/>
  <c r="AH52" i="16"/>
  <c r="AI51" i="16"/>
  <c r="AH51" i="16"/>
  <c r="AI50" i="16"/>
  <c r="AH50" i="16"/>
  <c r="AI49" i="16"/>
  <c r="AH49" i="16"/>
  <c r="AI48" i="16"/>
  <c r="AH48" i="16"/>
  <c r="AI47" i="16"/>
  <c r="AH47" i="16"/>
  <c r="AI46" i="16"/>
  <c r="AH46" i="16"/>
  <c r="AI45" i="16"/>
  <c r="AH45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AI43" i="16"/>
  <c r="AH43" i="16"/>
  <c r="AI42" i="16"/>
  <c r="AH42" i="16"/>
  <c r="AI41" i="16"/>
  <c r="AH41" i="16"/>
  <c r="AG40" i="16"/>
  <c r="AF40" i="16"/>
  <c r="AE40" i="16"/>
  <c r="AD40" i="16"/>
  <c r="AC40" i="16"/>
  <c r="AB40" i="16"/>
  <c r="AA40" i="16"/>
  <c r="Z40" i="16"/>
  <c r="Y40" i="16"/>
  <c r="W40" i="16"/>
  <c r="U40" i="16"/>
  <c r="U79" i="16" s="1"/>
  <c r="U81" i="16" s="1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AI38" i="16"/>
  <c r="AH38" i="16"/>
  <c r="AI37" i="16"/>
  <c r="AH37" i="16"/>
  <c r="AI36" i="16"/>
  <c r="AH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I21" i="16"/>
  <c r="AH21" i="16"/>
  <c r="AI20" i="16"/>
  <c r="AH20" i="16"/>
  <c r="AI19" i="16"/>
  <c r="AH19" i="16"/>
  <c r="AI18" i="16"/>
  <c r="AH18" i="16"/>
  <c r="AI17" i="16"/>
  <c r="AH17" i="16"/>
  <c r="AI16" i="16"/>
  <c r="AH16" i="16"/>
  <c r="AI15" i="16"/>
  <c r="AH15" i="16"/>
  <c r="AI14" i="16"/>
  <c r="AH14" i="16"/>
  <c r="AI13" i="16"/>
  <c r="AH13" i="16"/>
  <c r="AI12" i="16"/>
  <c r="AH12" i="16"/>
  <c r="AI11" i="16"/>
  <c r="AH11" i="16"/>
  <c r="Z5" i="16"/>
  <c r="V5" i="16"/>
  <c r="AG4" i="16"/>
  <c r="K4" i="16"/>
  <c r="B4" i="16"/>
  <c r="S235" i="16" s="1"/>
  <c r="AF39" i="15"/>
  <c r="AE103" i="15"/>
  <c r="AE39" i="15"/>
  <c r="AD103" i="15"/>
  <c r="AD39" i="15"/>
  <c r="AC103" i="15"/>
  <c r="AC39" i="15"/>
  <c r="AA103" i="15"/>
  <c r="AB103" i="15"/>
  <c r="AB39" i="15"/>
  <c r="AA39" i="15"/>
  <c r="Z103" i="15"/>
  <c r="Z39" i="15"/>
  <c r="Y103" i="15"/>
  <c r="Y39" i="15"/>
  <c r="X103" i="15"/>
  <c r="X39" i="15"/>
  <c r="W103" i="15"/>
  <c r="W62" i="15"/>
  <c r="W39" i="15"/>
  <c r="V103" i="15"/>
  <c r="V39" i="15"/>
  <c r="S40" i="15"/>
  <c r="O39" i="15"/>
  <c r="N39" i="15"/>
  <c r="AH39" i="15" s="1"/>
  <c r="M39" i="15"/>
  <c r="L103" i="15"/>
  <c r="L39" i="15"/>
  <c r="K103" i="15"/>
  <c r="K39" i="15"/>
  <c r="J103" i="15"/>
  <c r="J39" i="15"/>
  <c r="I103" i="15"/>
  <c r="I39" i="15"/>
  <c r="H103" i="15"/>
  <c r="H39" i="15"/>
  <c r="G103" i="15"/>
  <c r="G39" i="15"/>
  <c r="F103" i="15"/>
  <c r="F39" i="15"/>
  <c r="E103" i="15"/>
  <c r="AI103" i="15" s="1"/>
  <c r="E39" i="15"/>
  <c r="AF263" i="15"/>
  <c r="AE263" i="15"/>
  <c r="AD263" i="15"/>
  <c r="AC263" i="15"/>
  <c r="AB263" i="15"/>
  <c r="AA263" i="15"/>
  <c r="Z263" i="15"/>
  <c r="Y263" i="15"/>
  <c r="X263" i="15"/>
  <c r="W263" i="15"/>
  <c r="V263" i="15"/>
  <c r="U263" i="15"/>
  <c r="T263" i="15"/>
  <c r="S263" i="15"/>
  <c r="R263" i="15"/>
  <c r="Q263" i="15"/>
  <c r="P263" i="15"/>
  <c r="O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A263" i="15"/>
  <c r="AF262" i="15"/>
  <c r="AE262" i="15"/>
  <c r="AD262" i="15"/>
  <c r="AC262" i="15"/>
  <c r="AB262" i="15"/>
  <c r="AA262" i="15"/>
  <c r="Z262" i="15"/>
  <c r="Y262" i="15"/>
  <c r="X262" i="15"/>
  <c r="W262" i="15"/>
  <c r="V262" i="15"/>
  <c r="U262" i="15"/>
  <c r="T262" i="15"/>
  <c r="S262" i="15"/>
  <c r="R262" i="15"/>
  <c r="Q262" i="15"/>
  <c r="P262" i="15"/>
  <c r="O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A262" i="15"/>
  <c r="AF261" i="15"/>
  <c r="AE261" i="15"/>
  <c r="AD261" i="15"/>
  <c r="AC261" i="15"/>
  <c r="AB261" i="15"/>
  <c r="AA261" i="15"/>
  <c r="Z261" i="15"/>
  <c r="Y261" i="15"/>
  <c r="X261" i="15"/>
  <c r="W261" i="15"/>
  <c r="V261" i="15"/>
  <c r="U261" i="15"/>
  <c r="T261" i="15"/>
  <c r="S261" i="15"/>
  <c r="R261" i="15"/>
  <c r="Q261" i="15"/>
  <c r="P261" i="15"/>
  <c r="O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A261" i="15"/>
  <c r="AF260" i="15"/>
  <c r="AE260" i="15"/>
  <c r="AD260" i="15"/>
  <c r="AC260" i="15"/>
  <c r="AB260" i="15"/>
  <c r="AA260" i="15"/>
  <c r="Z260" i="15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A260" i="15"/>
  <c r="AE259" i="15"/>
  <c r="AD259" i="15"/>
  <c r="AC259" i="15"/>
  <c r="AB259" i="15"/>
  <c r="AA259" i="15"/>
  <c r="Z259" i="15"/>
  <c r="Y259" i="15"/>
  <c r="X259" i="15"/>
  <c r="W259" i="15"/>
  <c r="V259" i="15"/>
  <c r="U259" i="15"/>
  <c r="T259" i="15"/>
  <c r="S259" i="15"/>
  <c r="R259" i="15"/>
  <c r="Q259" i="15"/>
  <c r="P259" i="15"/>
  <c r="B259" i="15"/>
  <c r="S234" i="15"/>
  <c r="AG224" i="15"/>
  <c r="AG57" i="15" s="1"/>
  <c r="AG58" i="15" s="1"/>
  <c r="AF224" i="15"/>
  <c r="AE224" i="15"/>
  <c r="AD224" i="15"/>
  <c r="AC224" i="15"/>
  <c r="AB224" i="15"/>
  <c r="AA224" i="15"/>
  <c r="Z224" i="15"/>
  <c r="Y224" i="15"/>
  <c r="X224" i="15"/>
  <c r="W224" i="15"/>
  <c r="V224" i="15"/>
  <c r="U224" i="15"/>
  <c r="T224" i="15"/>
  <c r="S224" i="15"/>
  <c r="R224" i="15"/>
  <c r="Q224" i="15"/>
  <c r="C224" i="15"/>
  <c r="D223" i="15"/>
  <c r="E223" i="15" s="1"/>
  <c r="B223" i="15"/>
  <c r="AF259" i="15" s="1"/>
  <c r="E222" i="15"/>
  <c r="F222" i="15" s="1"/>
  <c r="G222" i="15" s="1"/>
  <c r="H222" i="15" s="1"/>
  <c r="I222" i="15" s="1"/>
  <c r="J222" i="15" s="1"/>
  <c r="K222" i="15" s="1"/>
  <c r="L222" i="15" s="1"/>
  <c r="M222" i="15" s="1"/>
  <c r="N222" i="15" s="1"/>
  <c r="O222" i="15" s="1"/>
  <c r="P222" i="15" s="1"/>
  <c r="D222" i="15"/>
  <c r="B222" i="15"/>
  <c r="E221" i="15"/>
  <c r="F221" i="15" s="1"/>
  <c r="G221" i="15" s="1"/>
  <c r="H221" i="15" s="1"/>
  <c r="I221" i="15" s="1"/>
  <c r="J221" i="15" s="1"/>
  <c r="K221" i="15" s="1"/>
  <c r="L221" i="15" s="1"/>
  <c r="M221" i="15" s="1"/>
  <c r="N221" i="15" s="1"/>
  <c r="O221" i="15" s="1"/>
  <c r="P221" i="15" s="1"/>
  <c r="D221" i="15"/>
  <c r="B221" i="15"/>
  <c r="D220" i="15"/>
  <c r="E220" i="15" s="1"/>
  <c r="F220" i="15" s="1"/>
  <c r="G220" i="15" s="1"/>
  <c r="H220" i="15" s="1"/>
  <c r="I220" i="15" s="1"/>
  <c r="J220" i="15" s="1"/>
  <c r="K220" i="15" s="1"/>
  <c r="L220" i="15" s="1"/>
  <c r="M220" i="15" s="1"/>
  <c r="N220" i="15" s="1"/>
  <c r="O220" i="15" s="1"/>
  <c r="P220" i="15" s="1"/>
  <c r="B220" i="15"/>
  <c r="D219" i="15"/>
  <c r="E219" i="15" s="1"/>
  <c r="F219" i="15" s="1"/>
  <c r="G219" i="15" s="1"/>
  <c r="H219" i="15" s="1"/>
  <c r="I219" i="15" s="1"/>
  <c r="J219" i="15" s="1"/>
  <c r="K219" i="15" s="1"/>
  <c r="L219" i="15" s="1"/>
  <c r="M219" i="15" s="1"/>
  <c r="N219" i="15" s="1"/>
  <c r="O219" i="15" s="1"/>
  <c r="P219" i="15" s="1"/>
  <c r="B219" i="15"/>
  <c r="D218" i="15"/>
  <c r="D224" i="15" s="1"/>
  <c r="B218" i="15"/>
  <c r="B100" i="15" s="1"/>
  <c r="AG216" i="15"/>
  <c r="AF216" i="15"/>
  <c r="AE216" i="15"/>
  <c r="AD216" i="15"/>
  <c r="AC216" i="15"/>
  <c r="AB216" i="15"/>
  <c r="AA216" i="15"/>
  <c r="Z216" i="15"/>
  <c r="Y216" i="15"/>
  <c r="X216" i="15"/>
  <c r="W216" i="15"/>
  <c r="V216" i="15"/>
  <c r="U216" i="15"/>
  <c r="T216" i="15"/>
  <c r="S216" i="15"/>
  <c r="R216" i="15"/>
  <c r="Q216" i="15"/>
  <c r="P216" i="15"/>
  <c r="O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I109" i="15"/>
  <c r="AH109" i="15"/>
  <c r="AI108" i="15"/>
  <c r="AH108" i="15"/>
  <c r="AI107" i="15"/>
  <c r="AH107" i="15"/>
  <c r="AI106" i="15"/>
  <c r="AH106" i="15"/>
  <c r="AI105" i="15"/>
  <c r="AH105" i="15"/>
  <c r="AI104" i="15"/>
  <c r="AH104" i="15"/>
  <c r="AI102" i="15"/>
  <c r="AH102" i="15"/>
  <c r="AI101" i="15"/>
  <c r="AH101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C100" i="15"/>
  <c r="AI99" i="15"/>
  <c r="AH99" i="15"/>
  <c r="AI98" i="15"/>
  <c r="AH98" i="15"/>
  <c r="AI97" i="15"/>
  <c r="AH97" i="15"/>
  <c r="AI96" i="15"/>
  <c r="AH96" i="15"/>
  <c r="AI95" i="15"/>
  <c r="AH95" i="15"/>
  <c r="AI94" i="15"/>
  <c r="AH94" i="15"/>
  <c r="AI93" i="15"/>
  <c r="AH93" i="15"/>
  <c r="AI92" i="15"/>
  <c r="AH92" i="15"/>
  <c r="AI91" i="15"/>
  <c r="AH91" i="15"/>
  <c r="AI88" i="15"/>
  <c r="AH88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F85" i="15"/>
  <c r="AE85" i="15"/>
  <c r="AE89" i="15" s="1"/>
  <c r="AE90" i="15" s="1"/>
  <c r="AD85" i="15"/>
  <c r="AC85" i="15"/>
  <c r="AB85" i="15"/>
  <c r="AA85" i="15"/>
  <c r="Z85" i="15"/>
  <c r="Y85" i="15"/>
  <c r="X85" i="15"/>
  <c r="W85" i="15"/>
  <c r="W89" i="15" s="1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R89" i="15" s="1"/>
  <c r="Q83" i="15"/>
  <c r="P83" i="15"/>
  <c r="O83" i="15"/>
  <c r="N83" i="15"/>
  <c r="M83" i="15"/>
  <c r="L83" i="15"/>
  <c r="K83" i="15"/>
  <c r="J83" i="15"/>
  <c r="J89" i="15" s="1"/>
  <c r="I83" i="15"/>
  <c r="H83" i="15"/>
  <c r="G83" i="15"/>
  <c r="F83" i="15"/>
  <c r="E83" i="15"/>
  <c r="D83" i="15"/>
  <c r="C83" i="15"/>
  <c r="C89" i="15" s="1"/>
  <c r="B83" i="15"/>
  <c r="AI80" i="15"/>
  <c r="AH80" i="15"/>
  <c r="AI78" i="15"/>
  <c r="AH78" i="15"/>
  <c r="AG78" i="15"/>
  <c r="AI77" i="15"/>
  <c r="AH77" i="15"/>
  <c r="AI76" i="15"/>
  <c r="AH76" i="15"/>
  <c r="AI75" i="15"/>
  <c r="AH75" i="15"/>
  <c r="AG74" i="15"/>
  <c r="AF74" i="15"/>
  <c r="AE5" i="15" s="1"/>
  <c r="AE74" i="15"/>
  <c r="AD5" i="15" s="1"/>
  <c r="AD74" i="15"/>
  <c r="AC74" i="15"/>
  <c r="AB74" i="15"/>
  <c r="AA74" i="15"/>
  <c r="Z74" i="15"/>
  <c r="Y74" i="15"/>
  <c r="X5" i="15" s="1"/>
  <c r="X74" i="15"/>
  <c r="W5" i="15" s="1"/>
  <c r="W74" i="15"/>
  <c r="V74" i="15"/>
  <c r="U74" i="15"/>
  <c r="T74" i="15"/>
  <c r="S74" i="15"/>
  <c r="R74" i="15"/>
  <c r="Q5" i="15" s="1"/>
  <c r="Q74" i="15"/>
  <c r="P5" i="15" s="1"/>
  <c r="P74" i="15"/>
  <c r="O5" i="15" s="1"/>
  <c r="O74" i="15"/>
  <c r="N5" i="15" s="1"/>
  <c r="N74" i="15"/>
  <c r="M74" i="15"/>
  <c r="L74" i="15"/>
  <c r="K74" i="15"/>
  <c r="J74" i="15"/>
  <c r="I74" i="15"/>
  <c r="H74" i="15"/>
  <c r="G5" i="15" s="1"/>
  <c r="G74" i="15"/>
  <c r="F5" i="15" s="1"/>
  <c r="F74" i="15"/>
  <c r="E74" i="15"/>
  <c r="D74" i="15"/>
  <c r="C74" i="15"/>
  <c r="B74" i="15"/>
  <c r="AI73" i="15"/>
  <c r="AH73" i="15"/>
  <c r="AI72" i="15"/>
  <c r="AH72" i="15"/>
  <c r="AI71" i="15"/>
  <c r="AH71" i="15"/>
  <c r="AI70" i="15"/>
  <c r="AH70" i="15"/>
  <c r="AI69" i="15"/>
  <c r="AH69" i="15"/>
  <c r="AI68" i="15"/>
  <c r="AH68" i="15"/>
  <c r="AI67" i="15"/>
  <c r="AH67" i="15"/>
  <c r="AI66" i="15"/>
  <c r="AH66" i="15"/>
  <c r="AI65" i="15"/>
  <c r="AH65" i="15"/>
  <c r="AI64" i="15"/>
  <c r="AH64" i="15"/>
  <c r="AI63" i="15"/>
  <c r="AH63" i="15"/>
  <c r="AG62" i="15"/>
  <c r="AF62" i="15"/>
  <c r="AE62" i="15"/>
  <c r="AD62" i="15"/>
  <c r="AC62" i="15"/>
  <c r="AB62" i="15"/>
  <c r="AA62" i="15"/>
  <c r="Z62" i="15"/>
  <c r="Y62" i="15"/>
  <c r="X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I61" i="15"/>
  <c r="AH61" i="15"/>
  <c r="AI60" i="15"/>
  <c r="AH60" i="15"/>
  <c r="AI59" i="15"/>
  <c r="AH59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I57" i="15"/>
  <c r="AH57" i="15"/>
  <c r="AI56" i="15"/>
  <c r="AH56" i="15"/>
  <c r="AI55" i="15"/>
  <c r="AH55" i="15"/>
  <c r="AI54" i="15"/>
  <c r="AH54" i="15"/>
  <c r="AI53" i="15"/>
  <c r="AH53" i="15"/>
  <c r="AI52" i="15"/>
  <c r="AH52" i="15"/>
  <c r="AI51" i="15"/>
  <c r="AH51" i="15"/>
  <c r="AI50" i="15"/>
  <c r="AH50" i="15"/>
  <c r="AI49" i="15"/>
  <c r="AH49" i="15"/>
  <c r="AI48" i="15"/>
  <c r="AH48" i="15"/>
  <c r="AI47" i="15"/>
  <c r="AH47" i="15"/>
  <c r="AI46" i="15"/>
  <c r="AH46" i="15"/>
  <c r="AI45" i="15"/>
  <c r="AH45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I43" i="15"/>
  <c r="AH43" i="15"/>
  <c r="AI42" i="15"/>
  <c r="AH42" i="15"/>
  <c r="AI41" i="15"/>
  <c r="AH41" i="15"/>
  <c r="AG40" i="15"/>
  <c r="AF40" i="15"/>
  <c r="AE40" i="15"/>
  <c r="AD40" i="15"/>
  <c r="AC40" i="15"/>
  <c r="AC79" i="15" s="1"/>
  <c r="AC81" i="15" s="1"/>
  <c r="AB40" i="15"/>
  <c r="AA40" i="15"/>
  <c r="Z40" i="15"/>
  <c r="Z79" i="15" s="1"/>
  <c r="Z81" i="15" s="1"/>
  <c r="Y40" i="15"/>
  <c r="X40" i="15"/>
  <c r="W40" i="15"/>
  <c r="V40" i="15"/>
  <c r="U40" i="15"/>
  <c r="T40" i="15"/>
  <c r="R40" i="15"/>
  <c r="Q40" i="15"/>
  <c r="P40" i="15"/>
  <c r="O40" i="15"/>
  <c r="N40" i="15"/>
  <c r="M40" i="15"/>
  <c r="L40" i="15"/>
  <c r="K40" i="15"/>
  <c r="J40" i="15"/>
  <c r="I40" i="15"/>
  <c r="I79" i="15" s="1"/>
  <c r="I81" i="15" s="1"/>
  <c r="H40" i="15"/>
  <c r="G40" i="15"/>
  <c r="F40" i="15"/>
  <c r="E40" i="15"/>
  <c r="D40" i="15"/>
  <c r="C40" i="15"/>
  <c r="B40" i="15"/>
  <c r="AI39" i="15"/>
  <c r="AI38" i="15"/>
  <c r="AH38" i="15"/>
  <c r="AI37" i="15"/>
  <c r="AH37" i="15"/>
  <c r="AI36" i="15"/>
  <c r="AH36" i="15"/>
  <c r="AI35" i="15"/>
  <c r="AH35" i="15"/>
  <c r="AI34" i="15"/>
  <c r="AH34" i="15"/>
  <c r="AI33" i="15"/>
  <c r="AH33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I23" i="15"/>
  <c r="AH23" i="15"/>
  <c r="AI22" i="15"/>
  <c r="AH22" i="15"/>
  <c r="AI21" i="15"/>
  <c r="AH21" i="15"/>
  <c r="AI20" i="15"/>
  <c r="AH20" i="15"/>
  <c r="AI19" i="15"/>
  <c r="AH19" i="15"/>
  <c r="AI18" i="15"/>
  <c r="AH18" i="15"/>
  <c r="AI17" i="15"/>
  <c r="AH17" i="15"/>
  <c r="AI16" i="15"/>
  <c r="AH16" i="15"/>
  <c r="AI15" i="15"/>
  <c r="AH15" i="15"/>
  <c r="AI14" i="15"/>
  <c r="AH14" i="15"/>
  <c r="AI13" i="15"/>
  <c r="AH13" i="15"/>
  <c r="AI12" i="15"/>
  <c r="AH12" i="15"/>
  <c r="AI11" i="15"/>
  <c r="AH11" i="15"/>
  <c r="AB5" i="15"/>
  <c r="Y5" i="15"/>
  <c r="V5" i="15"/>
  <c r="I5" i="15"/>
  <c r="H5" i="15"/>
  <c r="AG4" i="15"/>
  <c r="K4" i="15"/>
  <c r="B4" i="15"/>
  <c r="S235" i="15" s="1"/>
  <c r="AC103" i="14"/>
  <c r="AC39" i="14"/>
  <c r="AB103" i="14"/>
  <c r="AB39" i="14"/>
  <c r="AA39" i="14"/>
  <c r="Z39" i="14"/>
  <c r="Y39" i="14"/>
  <c r="X39" i="14"/>
  <c r="W39" i="14"/>
  <c r="S58" i="14"/>
  <c r="Q39" i="14"/>
  <c r="R103" i="14"/>
  <c r="R39" i="14"/>
  <c r="P103" i="14"/>
  <c r="P39" i="14"/>
  <c r="O39" i="14"/>
  <c r="N103" i="14"/>
  <c r="N39" i="14"/>
  <c r="M103" i="14"/>
  <c r="M39" i="14"/>
  <c r="L39" i="14"/>
  <c r="K39" i="14"/>
  <c r="I39" i="14"/>
  <c r="H39" i="14"/>
  <c r="F39" i="14"/>
  <c r="E39" i="14"/>
  <c r="D39" i="14"/>
  <c r="C39" i="14"/>
  <c r="B39" i="14"/>
  <c r="AF263" i="14"/>
  <c r="AE263" i="14"/>
  <c r="AD263" i="14"/>
  <c r="AC263" i="14"/>
  <c r="AB263" i="14"/>
  <c r="AA263" i="14"/>
  <c r="Z263" i="14"/>
  <c r="Y263" i="14"/>
  <c r="X263" i="14"/>
  <c r="W263" i="14"/>
  <c r="V263" i="14"/>
  <c r="U263" i="14"/>
  <c r="T263" i="14"/>
  <c r="S263" i="14"/>
  <c r="R263" i="14"/>
  <c r="Q263" i="14"/>
  <c r="P263" i="14"/>
  <c r="O263" i="14"/>
  <c r="N263" i="14"/>
  <c r="M263" i="14"/>
  <c r="L263" i="14"/>
  <c r="K263" i="14"/>
  <c r="J263" i="14"/>
  <c r="I263" i="14"/>
  <c r="H263" i="14"/>
  <c r="G263" i="14"/>
  <c r="F263" i="14"/>
  <c r="E263" i="14"/>
  <c r="D263" i="14"/>
  <c r="C263" i="14"/>
  <c r="B263" i="14"/>
  <c r="A263" i="14"/>
  <c r="AF262" i="14"/>
  <c r="AE262" i="14"/>
  <c r="AD262" i="14"/>
  <c r="AC262" i="14"/>
  <c r="AB262" i="14"/>
  <c r="AA262" i="14"/>
  <c r="Z262" i="14"/>
  <c r="Y262" i="14"/>
  <c r="X262" i="14"/>
  <c r="W262" i="14"/>
  <c r="V262" i="14"/>
  <c r="U262" i="14"/>
  <c r="T262" i="14"/>
  <c r="S262" i="14"/>
  <c r="R262" i="14"/>
  <c r="Q262" i="14"/>
  <c r="P262" i="14"/>
  <c r="O262" i="14"/>
  <c r="N262" i="14"/>
  <c r="M262" i="14"/>
  <c r="L262" i="14"/>
  <c r="K262" i="14"/>
  <c r="J262" i="14"/>
  <c r="I262" i="14"/>
  <c r="H262" i="14"/>
  <c r="G262" i="14"/>
  <c r="F262" i="14"/>
  <c r="E262" i="14"/>
  <c r="D262" i="14"/>
  <c r="C262" i="14"/>
  <c r="B262" i="14"/>
  <c r="A262" i="14"/>
  <c r="AF261" i="14"/>
  <c r="AE261" i="14"/>
  <c r="AD261" i="14"/>
  <c r="AC261" i="14"/>
  <c r="AB261" i="14"/>
  <c r="AA261" i="14"/>
  <c r="Z261" i="14"/>
  <c r="Y261" i="14"/>
  <c r="X261" i="14"/>
  <c r="W261" i="14"/>
  <c r="V261" i="14"/>
  <c r="U261" i="14"/>
  <c r="T261" i="14"/>
  <c r="S261" i="14"/>
  <c r="R261" i="14"/>
  <c r="Q261" i="14"/>
  <c r="P261" i="14"/>
  <c r="O261" i="14"/>
  <c r="N261" i="14"/>
  <c r="M261" i="14"/>
  <c r="L261" i="14"/>
  <c r="K261" i="14"/>
  <c r="J261" i="14"/>
  <c r="I261" i="14"/>
  <c r="H261" i="14"/>
  <c r="G261" i="14"/>
  <c r="F261" i="14"/>
  <c r="E261" i="14"/>
  <c r="D261" i="14"/>
  <c r="C261" i="14"/>
  <c r="B261" i="14"/>
  <c r="A261" i="14"/>
  <c r="AF260" i="14"/>
  <c r="AE260" i="14"/>
  <c r="AD260" i="14"/>
  <c r="AC260" i="14"/>
  <c r="AB260" i="14"/>
  <c r="AA260" i="14"/>
  <c r="Z260" i="14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A260" i="14"/>
  <c r="AE259" i="14"/>
  <c r="AD259" i="14"/>
  <c r="AC259" i="14"/>
  <c r="AB259" i="14"/>
  <c r="AA259" i="14"/>
  <c r="Z259" i="14"/>
  <c r="Y259" i="14"/>
  <c r="X259" i="14"/>
  <c r="W259" i="14"/>
  <c r="V259" i="14"/>
  <c r="U259" i="14"/>
  <c r="T259" i="14"/>
  <c r="S259" i="14"/>
  <c r="R259" i="14"/>
  <c r="Q259" i="14"/>
  <c r="P259" i="14"/>
  <c r="C259" i="14"/>
  <c r="B259" i="14"/>
  <c r="S234" i="14"/>
  <c r="AG224" i="14"/>
  <c r="AF224" i="14"/>
  <c r="AE224" i="14"/>
  <c r="AD224" i="14"/>
  <c r="AC224" i="14"/>
  <c r="AB224" i="14"/>
  <c r="AA224" i="14"/>
  <c r="Z224" i="14"/>
  <c r="Y224" i="14"/>
  <c r="X224" i="14"/>
  <c r="W224" i="14"/>
  <c r="V224" i="14"/>
  <c r="U224" i="14"/>
  <c r="T224" i="14"/>
  <c r="S224" i="14"/>
  <c r="R224" i="14"/>
  <c r="Q224" i="14"/>
  <c r="C224" i="14"/>
  <c r="D223" i="14"/>
  <c r="E223" i="14" s="1"/>
  <c r="B223" i="14"/>
  <c r="AF259" i="14" s="1"/>
  <c r="E222" i="14"/>
  <c r="F222" i="14" s="1"/>
  <c r="G222" i="14" s="1"/>
  <c r="H222" i="14" s="1"/>
  <c r="I222" i="14" s="1"/>
  <c r="J222" i="14" s="1"/>
  <c r="K222" i="14" s="1"/>
  <c r="L222" i="14" s="1"/>
  <c r="M222" i="14" s="1"/>
  <c r="N222" i="14" s="1"/>
  <c r="O222" i="14" s="1"/>
  <c r="P222" i="14" s="1"/>
  <c r="D222" i="14"/>
  <c r="B222" i="14"/>
  <c r="D221" i="14"/>
  <c r="E221" i="14" s="1"/>
  <c r="F221" i="14" s="1"/>
  <c r="G221" i="14" s="1"/>
  <c r="H221" i="14" s="1"/>
  <c r="I221" i="14" s="1"/>
  <c r="J221" i="14" s="1"/>
  <c r="K221" i="14" s="1"/>
  <c r="L221" i="14" s="1"/>
  <c r="M221" i="14" s="1"/>
  <c r="N221" i="14" s="1"/>
  <c r="O221" i="14" s="1"/>
  <c r="P221" i="14" s="1"/>
  <c r="B221" i="14"/>
  <c r="D220" i="14"/>
  <c r="E220" i="14" s="1"/>
  <c r="F220" i="14" s="1"/>
  <c r="G220" i="14" s="1"/>
  <c r="H220" i="14" s="1"/>
  <c r="I220" i="14" s="1"/>
  <c r="J220" i="14" s="1"/>
  <c r="K220" i="14" s="1"/>
  <c r="L220" i="14" s="1"/>
  <c r="M220" i="14" s="1"/>
  <c r="N220" i="14" s="1"/>
  <c r="O220" i="14" s="1"/>
  <c r="P220" i="14" s="1"/>
  <c r="B220" i="14"/>
  <c r="D219" i="14"/>
  <c r="E219" i="14" s="1"/>
  <c r="F219" i="14" s="1"/>
  <c r="G219" i="14" s="1"/>
  <c r="H219" i="14" s="1"/>
  <c r="I219" i="14" s="1"/>
  <c r="J219" i="14" s="1"/>
  <c r="K219" i="14" s="1"/>
  <c r="L219" i="14" s="1"/>
  <c r="M219" i="14" s="1"/>
  <c r="N219" i="14" s="1"/>
  <c r="O219" i="14" s="1"/>
  <c r="P219" i="14" s="1"/>
  <c r="B219" i="14"/>
  <c r="E218" i="14"/>
  <c r="F218" i="14" s="1"/>
  <c r="D218" i="14"/>
  <c r="D100" i="14" s="1"/>
  <c r="B218" i="14"/>
  <c r="AG216" i="14"/>
  <c r="AF216" i="14"/>
  <c r="AE216" i="14"/>
  <c r="AD216" i="14"/>
  <c r="AC216" i="14"/>
  <c r="AB216" i="14"/>
  <c r="AA216" i="14"/>
  <c r="Z216" i="14"/>
  <c r="Y216" i="14"/>
  <c r="X216" i="14"/>
  <c r="W216" i="14"/>
  <c r="V216" i="14"/>
  <c r="U216" i="14"/>
  <c r="T216" i="14"/>
  <c r="S216" i="14"/>
  <c r="R216" i="14"/>
  <c r="Q216" i="14"/>
  <c r="P216" i="14"/>
  <c r="O216" i="14"/>
  <c r="N216" i="14"/>
  <c r="M216" i="14"/>
  <c r="L216" i="14"/>
  <c r="K216" i="14"/>
  <c r="J216" i="14"/>
  <c r="I216" i="14"/>
  <c r="H216" i="14"/>
  <c r="G216" i="14"/>
  <c r="F216" i="14"/>
  <c r="E216" i="14"/>
  <c r="D216" i="14"/>
  <c r="C216" i="14"/>
  <c r="B216" i="14"/>
  <c r="AI109" i="14"/>
  <c r="AH109" i="14"/>
  <c r="AI108" i="14"/>
  <c r="AH108" i="14"/>
  <c r="AI107" i="14"/>
  <c r="AH107" i="14"/>
  <c r="AI106" i="14"/>
  <c r="AH106" i="14"/>
  <c r="AI105" i="14"/>
  <c r="AH105" i="14"/>
  <c r="AI104" i="14"/>
  <c r="AH104" i="14"/>
  <c r="AI103" i="14"/>
  <c r="AH103" i="14"/>
  <c r="AI102" i="14"/>
  <c r="AH102" i="14"/>
  <c r="AI101" i="14"/>
  <c r="AH101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C100" i="14"/>
  <c r="AI99" i="14"/>
  <c r="AH99" i="14"/>
  <c r="AI98" i="14"/>
  <c r="AH98" i="14"/>
  <c r="AI97" i="14"/>
  <c r="AH97" i="14"/>
  <c r="AI96" i="14"/>
  <c r="AH96" i="14"/>
  <c r="AI95" i="14"/>
  <c r="AH95" i="14"/>
  <c r="AI94" i="14"/>
  <c r="AH94" i="14"/>
  <c r="AI93" i="14"/>
  <c r="AH93" i="14"/>
  <c r="AI92" i="14"/>
  <c r="AH92" i="14"/>
  <c r="AI91" i="14"/>
  <c r="AH91" i="14"/>
  <c r="AI88" i="14"/>
  <c r="AH88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N89" i="14" s="1"/>
  <c r="M83" i="14"/>
  <c r="L83" i="14"/>
  <c r="K83" i="14"/>
  <c r="J83" i="14"/>
  <c r="I83" i="14"/>
  <c r="H83" i="14"/>
  <c r="G83" i="14"/>
  <c r="F83" i="14"/>
  <c r="E83" i="14"/>
  <c r="D83" i="14"/>
  <c r="C83" i="14"/>
  <c r="B83" i="14"/>
  <c r="AI80" i="14"/>
  <c r="AH80" i="14"/>
  <c r="AI78" i="14"/>
  <c r="AH78" i="14"/>
  <c r="AG78" i="14"/>
  <c r="AI77" i="14"/>
  <c r="AH77" i="14"/>
  <c r="AI76" i="14"/>
  <c r="AH76" i="14"/>
  <c r="AI75" i="14"/>
  <c r="AH75" i="14"/>
  <c r="AG74" i="14"/>
  <c r="AF74" i="14"/>
  <c r="AE74" i="14"/>
  <c r="AD5" i="14" s="1"/>
  <c r="AD74" i="14"/>
  <c r="AC5" i="14" s="1"/>
  <c r="AC74" i="14"/>
  <c r="AB5" i="14" s="1"/>
  <c r="AB74" i="14"/>
  <c r="AA74" i="14"/>
  <c r="Z5" i="14" s="1"/>
  <c r="Z74" i="14"/>
  <c r="Y5" i="14" s="1"/>
  <c r="Y74" i="14"/>
  <c r="X74" i="14"/>
  <c r="W5" i="14" s="1"/>
  <c r="W74" i="14"/>
  <c r="V5" i="14" s="1"/>
  <c r="V74" i="14"/>
  <c r="U5" i="14" s="1"/>
  <c r="U74" i="14"/>
  <c r="T74" i="14"/>
  <c r="S74" i="14"/>
  <c r="R74" i="14"/>
  <c r="Q5" i="14" s="1"/>
  <c r="Q74" i="14"/>
  <c r="P74" i="14"/>
  <c r="O74" i="14"/>
  <c r="N5" i="14" s="1"/>
  <c r="N74" i="14"/>
  <c r="M74" i="14"/>
  <c r="L5" i="14" s="1"/>
  <c r="L74" i="14"/>
  <c r="K74" i="14"/>
  <c r="J74" i="14"/>
  <c r="I74" i="14"/>
  <c r="H74" i="14"/>
  <c r="G74" i="14"/>
  <c r="F74" i="14"/>
  <c r="E74" i="14"/>
  <c r="D5" i="14" s="1"/>
  <c r="D74" i="14"/>
  <c r="C74" i="14"/>
  <c r="B5" i="14" s="1"/>
  <c r="B74" i="14"/>
  <c r="AI73" i="14"/>
  <c r="AH73" i="14"/>
  <c r="AI72" i="14"/>
  <c r="AH72" i="14"/>
  <c r="AI71" i="14"/>
  <c r="AH71" i="14"/>
  <c r="AI70" i="14"/>
  <c r="AH70" i="14"/>
  <c r="AI69" i="14"/>
  <c r="AH69" i="14"/>
  <c r="AI68" i="14"/>
  <c r="AH68" i="14"/>
  <c r="AI67" i="14"/>
  <c r="AH67" i="14"/>
  <c r="AI66" i="14"/>
  <c r="AH66" i="14"/>
  <c r="AI65" i="14"/>
  <c r="AH65" i="14"/>
  <c r="AI64" i="14"/>
  <c r="AH64" i="14"/>
  <c r="AI63" i="14"/>
  <c r="AH63" i="14"/>
  <c r="AG62" i="14"/>
  <c r="AF62" i="14"/>
  <c r="AE62" i="14"/>
  <c r="AD62" i="14"/>
  <c r="AC62" i="14"/>
  <c r="AB62" i="14"/>
  <c r="AA62" i="14"/>
  <c r="Z62" i="14"/>
  <c r="Y62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I61" i="14"/>
  <c r="AH61" i="14"/>
  <c r="AI60" i="14"/>
  <c r="AH60" i="14"/>
  <c r="AI59" i="14"/>
  <c r="AH59" i="14"/>
  <c r="AF58" i="14"/>
  <c r="AE58" i="14"/>
  <c r="AD58" i="14"/>
  <c r="AC58" i="14"/>
  <c r="AB58" i="14"/>
  <c r="AA58" i="14"/>
  <c r="Z58" i="14"/>
  <c r="Y58" i="14"/>
  <c r="X58" i="14"/>
  <c r="W58" i="14"/>
  <c r="V58" i="14"/>
  <c r="U58" i="14"/>
  <c r="T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I57" i="14"/>
  <c r="AH57" i="14"/>
  <c r="AG57" i="14"/>
  <c r="AG58" i="14" s="1"/>
  <c r="AG3" i="14" s="1"/>
  <c r="AI56" i="14"/>
  <c r="AH56" i="14"/>
  <c r="AI55" i="14"/>
  <c r="AH55" i="14"/>
  <c r="AI54" i="14"/>
  <c r="AH54" i="14"/>
  <c r="AI53" i="14"/>
  <c r="AH53" i="14"/>
  <c r="AI52" i="14"/>
  <c r="AH52" i="14"/>
  <c r="AI51" i="14"/>
  <c r="AH51" i="14"/>
  <c r="AI50" i="14"/>
  <c r="AH50" i="14"/>
  <c r="AI49" i="14"/>
  <c r="AH49" i="14"/>
  <c r="AI48" i="14"/>
  <c r="AH48" i="14"/>
  <c r="AI47" i="14"/>
  <c r="AH47" i="14"/>
  <c r="AI46" i="14"/>
  <c r="AH46" i="14"/>
  <c r="AI45" i="14"/>
  <c r="AH45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I43" i="14"/>
  <c r="AH43" i="14"/>
  <c r="AI42" i="14"/>
  <c r="AH42" i="14"/>
  <c r="AI41" i="14"/>
  <c r="AH41" i="14"/>
  <c r="AG40" i="14"/>
  <c r="AF40" i="14"/>
  <c r="AE40" i="14"/>
  <c r="AD40" i="14"/>
  <c r="AC40" i="14"/>
  <c r="AB40" i="14"/>
  <c r="AA40" i="14"/>
  <c r="Z40" i="14"/>
  <c r="Y40" i="14"/>
  <c r="X40" i="14"/>
  <c r="W40" i="14"/>
  <c r="W79" i="14" s="1"/>
  <c r="W81" i="14" s="1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H79" i="14" s="1"/>
  <c r="H81" i="14" s="1"/>
  <c r="G40" i="14"/>
  <c r="F40" i="14"/>
  <c r="E40" i="14"/>
  <c r="D40" i="14"/>
  <c r="C40" i="14"/>
  <c r="B40" i="14"/>
  <c r="AI38" i="14"/>
  <c r="AH38" i="14"/>
  <c r="AI37" i="14"/>
  <c r="AH37" i="14"/>
  <c r="AI36" i="14"/>
  <c r="AH36" i="14"/>
  <c r="AI35" i="14"/>
  <c r="AH35" i="14"/>
  <c r="AI34" i="14"/>
  <c r="AH34" i="14"/>
  <c r="AI33" i="14"/>
  <c r="AH33" i="14"/>
  <c r="AI32" i="14"/>
  <c r="AH32" i="14"/>
  <c r="AI31" i="14"/>
  <c r="AH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I23" i="14"/>
  <c r="AH23" i="14"/>
  <c r="AI22" i="14"/>
  <c r="AH22" i="14"/>
  <c r="AI21" i="14"/>
  <c r="AH21" i="14"/>
  <c r="AI20" i="14"/>
  <c r="AH20" i="14"/>
  <c r="AI19" i="14"/>
  <c r="AH19" i="14"/>
  <c r="AI18" i="14"/>
  <c r="AH18" i="14"/>
  <c r="AI17" i="14"/>
  <c r="AH17" i="14"/>
  <c r="AI16" i="14"/>
  <c r="AH16" i="14"/>
  <c r="AI15" i="14"/>
  <c r="AH15" i="14"/>
  <c r="AI14" i="14"/>
  <c r="AH14" i="14"/>
  <c r="AI13" i="14"/>
  <c r="AH13" i="14"/>
  <c r="AI12" i="14"/>
  <c r="AH12" i="14"/>
  <c r="AI11" i="14"/>
  <c r="AH11" i="14"/>
  <c r="X5" i="14"/>
  <c r="T5" i="14"/>
  <c r="R5" i="14"/>
  <c r="P5" i="14"/>
  <c r="M5" i="14"/>
  <c r="J5" i="14"/>
  <c r="I5" i="14"/>
  <c r="H5" i="14"/>
  <c r="G5" i="14"/>
  <c r="F5" i="14"/>
  <c r="E5" i="14"/>
  <c r="AG4" i="14"/>
  <c r="K4" i="14"/>
  <c r="B4" i="14"/>
  <c r="S235" i="14" s="1"/>
  <c r="AF39" i="13"/>
  <c r="AE39" i="13"/>
  <c r="AD39" i="13"/>
  <c r="AC39" i="13"/>
  <c r="AB39" i="13"/>
  <c r="Z103" i="13"/>
  <c r="Z39" i="13"/>
  <c r="Y103" i="13"/>
  <c r="Y39" i="13"/>
  <c r="W103" i="13"/>
  <c r="W39" i="13"/>
  <c r="V103" i="13"/>
  <c r="V39" i="13"/>
  <c r="T58" i="13"/>
  <c r="AK62" i="13"/>
  <c r="AK58" i="13"/>
  <c r="AK44" i="13"/>
  <c r="AK40" i="13"/>
  <c r="AM40" i="13" s="1"/>
  <c r="AM42" i="13" s="1"/>
  <c r="AM43" i="13" s="1"/>
  <c r="AH12" i="13"/>
  <c r="AH11" i="13"/>
  <c r="R103" i="13"/>
  <c r="R39" i="13"/>
  <c r="Q103" i="13"/>
  <c r="Q39" i="13"/>
  <c r="P103" i="13"/>
  <c r="P39" i="13"/>
  <c r="O103" i="13"/>
  <c r="O39" i="13"/>
  <c r="N103" i="13"/>
  <c r="N39" i="13"/>
  <c r="M103" i="13"/>
  <c r="M39" i="13"/>
  <c r="K103" i="13"/>
  <c r="K39" i="13"/>
  <c r="J103" i="13"/>
  <c r="J39" i="13"/>
  <c r="AI39" i="13" s="1"/>
  <c r="I103" i="13"/>
  <c r="I39" i="13"/>
  <c r="AH39" i="13" s="1"/>
  <c r="C103" i="13"/>
  <c r="C39" i="13"/>
  <c r="B103" i="13"/>
  <c r="AF263" i="13"/>
  <c r="AE263" i="13"/>
  <c r="AD263" i="13"/>
  <c r="AC263" i="13"/>
  <c r="AB263" i="13"/>
  <c r="AA263" i="13"/>
  <c r="Z263" i="13"/>
  <c r="Y263" i="13"/>
  <c r="X263" i="13"/>
  <c r="W263" i="13"/>
  <c r="V263" i="13"/>
  <c r="U263" i="13"/>
  <c r="T263" i="13"/>
  <c r="S263" i="13"/>
  <c r="R263" i="13"/>
  <c r="Q263" i="13"/>
  <c r="P263" i="13"/>
  <c r="O263" i="13"/>
  <c r="N263" i="13"/>
  <c r="M263" i="13"/>
  <c r="L263" i="13"/>
  <c r="K263" i="13"/>
  <c r="J263" i="13"/>
  <c r="I263" i="13"/>
  <c r="H263" i="13"/>
  <c r="G263" i="13"/>
  <c r="F263" i="13"/>
  <c r="E263" i="13"/>
  <c r="D263" i="13"/>
  <c r="C263" i="13"/>
  <c r="B263" i="13"/>
  <c r="A263" i="13"/>
  <c r="AF262" i="13"/>
  <c r="AE262" i="13"/>
  <c r="AD262" i="13"/>
  <c r="AC262" i="13"/>
  <c r="AB262" i="13"/>
  <c r="AA262" i="13"/>
  <c r="Z262" i="13"/>
  <c r="Y262" i="13"/>
  <c r="X262" i="13"/>
  <c r="W262" i="13"/>
  <c r="V262" i="13"/>
  <c r="U262" i="13"/>
  <c r="T262" i="13"/>
  <c r="S262" i="13"/>
  <c r="R262" i="13"/>
  <c r="Q262" i="13"/>
  <c r="P262" i="13"/>
  <c r="O262" i="13"/>
  <c r="N262" i="13"/>
  <c r="M262" i="13"/>
  <c r="L262" i="13"/>
  <c r="K262" i="13"/>
  <c r="J262" i="13"/>
  <c r="I262" i="13"/>
  <c r="H262" i="13"/>
  <c r="G262" i="13"/>
  <c r="F262" i="13"/>
  <c r="E262" i="13"/>
  <c r="D262" i="13"/>
  <c r="C262" i="13"/>
  <c r="B262" i="13"/>
  <c r="A262" i="13"/>
  <c r="AF261" i="13"/>
  <c r="AE261" i="13"/>
  <c r="AD261" i="13"/>
  <c r="AC261" i="13"/>
  <c r="AB261" i="13"/>
  <c r="AA261" i="13"/>
  <c r="Z261" i="13"/>
  <c r="Y261" i="13"/>
  <c r="X261" i="13"/>
  <c r="W261" i="13"/>
  <c r="V261" i="13"/>
  <c r="U261" i="13"/>
  <c r="T261" i="13"/>
  <c r="S261" i="13"/>
  <c r="R261" i="13"/>
  <c r="Q261" i="13"/>
  <c r="P261" i="13"/>
  <c r="O261" i="13"/>
  <c r="N261" i="13"/>
  <c r="M261" i="13"/>
  <c r="L261" i="13"/>
  <c r="K261" i="13"/>
  <c r="J261" i="13"/>
  <c r="I261" i="13"/>
  <c r="H261" i="13"/>
  <c r="G261" i="13"/>
  <c r="F261" i="13"/>
  <c r="E261" i="13"/>
  <c r="D261" i="13"/>
  <c r="C261" i="13"/>
  <c r="B261" i="13"/>
  <c r="A261" i="13"/>
  <c r="AF260" i="13"/>
  <c r="AE260" i="13"/>
  <c r="AD260" i="13"/>
  <c r="AC260" i="13"/>
  <c r="AB260" i="13"/>
  <c r="AA260" i="13"/>
  <c r="Z260" i="13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A260" i="13"/>
  <c r="AE259" i="13"/>
  <c r="AD259" i="13"/>
  <c r="AC259" i="13"/>
  <c r="AB259" i="13"/>
  <c r="AA259" i="13"/>
  <c r="Z259" i="13"/>
  <c r="Y259" i="13"/>
  <c r="X259" i="13"/>
  <c r="W259" i="13"/>
  <c r="V259" i="13"/>
  <c r="U259" i="13"/>
  <c r="T259" i="13"/>
  <c r="S259" i="13"/>
  <c r="R259" i="13"/>
  <c r="Q259" i="13"/>
  <c r="P259" i="13"/>
  <c r="B259" i="13"/>
  <c r="S234" i="13"/>
  <c r="AG224" i="13"/>
  <c r="AF224" i="13"/>
  <c r="AE224" i="13"/>
  <c r="AD224" i="13"/>
  <c r="AC224" i="13"/>
  <c r="AB224" i="13"/>
  <c r="AA224" i="13"/>
  <c r="Z224" i="13"/>
  <c r="Y224" i="13"/>
  <c r="X224" i="13"/>
  <c r="W224" i="13"/>
  <c r="V224" i="13"/>
  <c r="U224" i="13"/>
  <c r="T224" i="13"/>
  <c r="S224" i="13"/>
  <c r="R224" i="13"/>
  <c r="Q224" i="13"/>
  <c r="C224" i="13"/>
  <c r="D223" i="13"/>
  <c r="C259" i="13" s="1"/>
  <c r="B223" i="13"/>
  <c r="AF259" i="13" s="1"/>
  <c r="D222" i="13"/>
  <c r="E222" i="13" s="1"/>
  <c r="F222" i="13" s="1"/>
  <c r="G222" i="13" s="1"/>
  <c r="H222" i="13" s="1"/>
  <c r="I222" i="13" s="1"/>
  <c r="J222" i="13" s="1"/>
  <c r="K222" i="13" s="1"/>
  <c r="L222" i="13" s="1"/>
  <c r="M222" i="13" s="1"/>
  <c r="N222" i="13" s="1"/>
  <c r="O222" i="13" s="1"/>
  <c r="P222" i="13" s="1"/>
  <c r="B222" i="13"/>
  <c r="D221" i="13"/>
  <c r="E221" i="13" s="1"/>
  <c r="F221" i="13" s="1"/>
  <c r="G221" i="13" s="1"/>
  <c r="H221" i="13" s="1"/>
  <c r="I221" i="13" s="1"/>
  <c r="J221" i="13" s="1"/>
  <c r="K221" i="13" s="1"/>
  <c r="L221" i="13" s="1"/>
  <c r="M221" i="13" s="1"/>
  <c r="N221" i="13" s="1"/>
  <c r="O221" i="13" s="1"/>
  <c r="P221" i="13" s="1"/>
  <c r="B221" i="13"/>
  <c r="E220" i="13"/>
  <c r="F220" i="13" s="1"/>
  <c r="G220" i="13" s="1"/>
  <c r="H220" i="13" s="1"/>
  <c r="I220" i="13" s="1"/>
  <c r="J220" i="13" s="1"/>
  <c r="K220" i="13" s="1"/>
  <c r="L220" i="13" s="1"/>
  <c r="M220" i="13" s="1"/>
  <c r="N220" i="13" s="1"/>
  <c r="O220" i="13" s="1"/>
  <c r="P220" i="13" s="1"/>
  <c r="D220" i="13"/>
  <c r="B220" i="13"/>
  <c r="D219" i="13"/>
  <c r="B219" i="13"/>
  <c r="D218" i="13"/>
  <c r="E218" i="13" s="1"/>
  <c r="B218" i="13"/>
  <c r="B100" i="13" s="1"/>
  <c r="AG216" i="13"/>
  <c r="AF216" i="13"/>
  <c r="AE216" i="13"/>
  <c r="AD216" i="13"/>
  <c r="AC216" i="13"/>
  <c r="AB216" i="13"/>
  <c r="AA216" i="13"/>
  <c r="Z216" i="13"/>
  <c r="Y216" i="13"/>
  <c r="X216" i="13"/>
  <c r="W216" i="13"/>
  <c r="V216" i="13"/>
  <c r="U216" i="13"/>
  <c r="T216" i="13"/>
  <c r="S216" i="13"/>
  <c r="R216" i="13"/>
  <c r="Q216" i="13"/>
  <c r="P216" i="13"/>
  <c r="O216" i="13"/>
  <c r="N216" i="13"/>
  <c r="M216" i="13"/>
  <c r="L216" i="13"/>
  <c r="K216" i="13"/>
  <c r="J216" i="13"/>
  <c r="I216" i="13"/>
  <c r="H216" i="13"/>
  <c r="G216" i="13"/>
  <c r="F216" i="13"/>
  <c r="E216" i="13"/>
  <c r="D216" i="13"/>
  <c r="C216" i="13"/>
  <c r="B216" i="13"/>
  <c r="AI109" i="13"/>
  <c r="AH109" i="13"/>
  <c r="AI108" i="13"/>
  <c r="AH108" i="13"/>
  <c r="AI107" i="13"/>
  <c r="AH107" i="13"/>
  <c r="AI106" i="13"/>
  <c r="AH106" i="13"/>
  <c r="AI105" i="13"/>
  <c r="AH105" i="13"/>
  <c r="AI104" i="13"/>
  <c r="AH104" i="13"/>
  <c r="AI103" i="13"/>
  <c r="AH103" i="13"/>
  <c r="AI102" i="13"/>
  <c r="AH102" i="13"/>
  <c r="AI101" i="13"/>
  <c r="AH101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C100" i="13"/>
  <c r="AI99" i="13"/>
  <c r="AH99" i="13"/>
  <c r="AI98" i="13"/>
  <c r="AH98" i="13"/>
  <c r="AI97" i="13"/>
  <c r="AH97" i="13"/>
  <c r="AI96" i="13"/>
  <c r="AH96" i="13"/>
  <c r="AI95" i="13"/>
  <c r="AH95" i="13"/>
  <c r="AI94" i="13"/>
  <c r="AH94" i="13"/>
  <c r="AI93" i="13"/>
  <c r="AH93" i="13"/>
  <c r="AI92" i="13"/>
  <c r="AH92" i="13"/>
  <c r="AI91" i="13"/>
  <c r="AH91" i="13"/>
  <c r="AI88" i="13"/>
  <c r="AH88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AF83" i="13"/>
  <c r="AE83" i="13"/>
  <c r="AD83" i="13"/>
  <c r="AC83" i="13"/>
  <c r="AB83" i="13"/>
  <c r="AA83" i="13"/>
  <c r="AA89" i="13" s="1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K89" i="13" s="1"/>
  <c r="J83" i="13"/>
  <c r="I83" i="13"/>
  <c r="H83" i="13"/>
  <c r="G83" i="13"/>
  <c r="F83" i="13"/>
  <c r="E83" i="13"/>
  <c r="D83" i="13"/>
  <c r="C83" i="13"/>
  <c r="C89" i="13" s="1"/>
  <c r="B83" i="13"/>
  <c r="AI80" i="13"/>
  <c r="AH80" i="13"/>
  <c r="AI78" i="13"/>
  <c r="AH78" i="13"/>
  <c r="AG78" i="13"/>
  <c r="AI77" i="13"/>
  <c r="AH77" i="13"/>
  <c r="AI76" i="13"/>
  <c r="AH76" i="13"/>
  <c r="AI75" i="13"/>
  <c r="AH75" i="13"/>
  <c r="AG74" i="13"/>
  <c r="AF74" i="13"/>
  <c r="AE5" i="13" s="1"/>
  <c r="AE74" i="13"/>
  <c r="AD74" i="13"/>
  <c r="AC74" i="13"/>
  <c r="AB74" i="13"/>
  <c r="AA5" i="13" s="1"/>
  <c r="AA74" i="13"/>
  <c r="Z5" i="13" s="1"/>
  <c r="Z74" i="13"/>
  <c r="Y74" i="13"/>
  <c r="X5" i="13" s="1"/>
  <c r="X74" i="13"/>
  <c r="W5" i="13" s="1"/>
  <c r="W74" i="13"/>
  <c r="V74" i="13"/>
  <c r="U5" i="13" s="1"/>
  <c r="U74" i="13"/>
  <c r="T74" i="13"/>
  <c r="S5" i="13" s="1"/>
  <c r="S74" i="13"/>
  <c r="R74" i="13"/>
  <c r="Q74" i="13"/>
  <c r="P5" i="13" s="1"/>
  <c r="P74" i="13"/>
  <c r="O5" i="13" s="1"/>
  <c r="O74" i="13"/>
  <c r="N5" i="13" s="1"/>
  <c r="N74" i="13"/>
  <c r="M74" i="13"/>
  <c r="L74" i="13"/>
  <c r="K5" i="13" s="1"/>
  <c r="K74" i="13"/>
  <c r="K90" i="13" s="1"/>
  <c r="J74" i="13"/>
  <c r="I74" i="13"/>
  <c r="H5" i="13" s="1"/>
  <c r="H74" i="13"/>
  <c r="G5" i="13" s="1"/>
  <c r="G74" i="13"/>
  <c r="F5" i="13" s="1"/>
  <c r="F74" i="13"/>
  <c r="E5" i="13" s="1"/>
  <c r="E74" i="13"/>
  <c r="D5" i="13" s="1"/>
  <c r="D74" i="13"/>
  <c r="C5" i="13" s="1"/>
  <c r="C74" i="13"/>
  <c r="B74" i="13"/>
  <c r="AF5" i="13" s="1"/>
  <c r="AI73" i="13"/>
  <c r="AH73" i="13"/>
  <c r="AI72" i="13"/>
  <c r="AH72" i="13"/>
  <c r="AI71" i="13"/>
  <c r="AH71" i="13"/>
  <c r="AI70" i="13"/>
  <c r="AH70" i="13"/>
  <c r="AI69" i="13"/>
  <c r="AH69" i="13"/>
  <c r="AI68" i="13"/>
  <c r="AH68" i="13"/>
  <c r="AI67" i="13"/>
  <c r="AH67" i="13"/>
  <c r="AI66" i="13"/>
  <c r="AH66" i="13"/>
  <c r="AI65" i="13"/>
  <c r="AH65" i="13"/>
  <c r="AI64" i="13"/>
  <c r="AH64" i="13"/>
  <c r="AI63" i="13"/>
  <c r="AH63" i="13"/>
  <c r="AG62" i="13"/>
  <c r="AF62" i="13"/>
  <c r="AE62" i="13"/>
  <c r="AD62" i="13"/>
  <c r="AC62" i="13"/>
  <c r="AB62" i="13"/>
  <c r="AA62" i="13"/>
  <c r="Z62" i="13"/>
  <c r="Y62" i="13"/>
  <c r="X62" i="13"/>
  <c r="W62" i="13"/>
  <c r="V62" i="13"/>
  <c r="U62" i="13"/>
  <c r="T62" i="13"/>
  <c r="S62" i="13"/>
  <c r="R62" i="13"/>
  <c r="Q62" i="13"/>
  <c r="P62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B62" i="13"/>
  <c r="AI61" i="13"/>
  <c r="AH61" i="13"/>
  <c r="AI60" i="13"/>
  <c r="AH60" i="13"/>
  <c r="AI59" i="13"/>
  <c r="AH59" i="13"/>
  <c r="AF58" i="13"/>
  <c r="AE58" i="13"/>
  <c r="AD58" i="13"/>
  <c r="AC58" i="13"/>
  <c r="AB58" i="13"/>
  <c r="AA58" i="13"/>
  <c r="Z58" i="13"/>
  <c r="Y58" i="13"/>
  <c r="X58" i="13"/>
  <c r="W58" i="13"/>
  <c r="V58" i="13"/>
  <c r="U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B58" i="13"/>
  <c r="AI57" i="13"/>
  <c r="AH57" i="13"/>
  <c r="AG57" i="13"/>
  <c r="AG58" i="13" s="1"/>
  <c r="AG3" i="13" s="1"/>
  <c r="AI56" i="13"/>
  <c r="AH56" i="13"/>
  <c r="AI55" i="13"/>
  <c r="AH55" i="13"/>
  <c r="AI54" i="13"/>
  <c r="AH54" i="13"/>
  <c r="AI53" i="13"/>
  <c r="AH53" i="13"/>
  <c r="AI52" i="13"/>
  <c r="AH52" i="13"/>
  <c r="AI51" i="13"/>
  <c r="AH51" i="13"/>
  <c r="AI50" i="13"/>
  <c r="AH50" i="13"/>
  <c r="AI49" i="13"/>
  <c r="AH49" i="13"/>
  <c r="AI48" i="13"/>
  <c r="AH48" i="13"/>
  <c r="AI47" i="13"/>
  <c r="AH47" i="13"/>
  <c r="AI46" i="13"/>
  <c r="AH46" i="13"/>
  <c r="AI45" i="13"/>
  <c r="AH45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AI43" i="13"/>
  <c r="AH43" i="13"/>
  <c r="AI42" i="13"/>
  <c r="AH42" i="13"/>
  <c r="AI41" i="13"/>
  <c r="AH41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AI38" i="13"/>
  <c r="AH38" i="13"/>
  <c r="AI37" i="13"/>
  <c r="AH37" i="13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AI21" i="13"/>
  <c r="AH21" i="13"/>
  <c r="AI20" i="13"/>
  <c r="AH20" i="13"/>
  <c r="AI19" i="13"/>
  <c r="AH19" i="13"/>
  <c r="AI18" i="13"/>
  <c r="AH18" i="13"/>
  <c r="AI17" i="13"/>
  <c r="AH17" i="13"/>
  <c r="AI16" i="13"/>
  <c r="AH16" i="13"/>
  <c r="AI15" i="13"/>
  <c r="AH15" i="13"/>
  <c r="AI14" i="13"/>
  <c r="AH14" i="13"/>
  <c r="AI13" i="13"/>
  <c r="AH13" i="13"/>
  <c r="AI12" i="13"/>
  <c r="AI11" i="13"/>
  <c r="AD5" i="13"/>
  <c r="V5" i="13"/>
  <c r="AG4" i="13"/>
  <c r="K4" i="13"/>
  <c r="B4" i="13"/>
  <c r="S235" i="13" s="1"/>
  <c r="AG2" i="13"/>
  <c r="AF103" i="12"/>
  <c r="AF39" i="12"/>
  <c r="AE103" i="12"/>
  <c r="AE39" i="12"/>
  <c r="AD103" i="12"/>
  <c r="AD39" i="12"/>
  <c r="AC39" i="12"/>
  <c r="AA39" i="12"/>
  <c r="Z39" i="12"/>
  <c r="Y103" i="12"/>
  <c r="E4" i="13"/>
  <c r="E4" i="14"/>
  <c r="E4" i="17"/>
  <c r="E4" i="16"/>
  <c r="E4" i="15"/>
  <c r="D259" i="15" l="1"/>
  <c r="F223" i="15"/>
  <c r="F223" i="16"/>
  <c r="D259" i="16"/>
  <c r="E100" i="16"/>
  <c r="AG79" i="15"/>
  <c r="B224" i="15"/>
  <c r="AI39" i="16"/>
  <c r="AG81" i="16"/>
  <c r="D224" i="16"/>
  <c r="C259" i="16"/>
  <c r="AG81" i="17"/>
  <c r="T89" i="17"/>
  <c r="T90" i="17" s="1"/>
  <c r="W7" i="18"/>
  <c r="C89" i="14"/>
  <c r="C90" i="14" s="1"/>
  <c r="B79" i="15"/>
  <c r="AH103" i="15"/>
  <c r="E218" i="15"/>
  <c r="F218" i="15" s="1"/>
  <c r="AI103" i="16"/>
  <c r="F218" i="16"/>
  <c r="G218" i="16" s="1"/>
  <c r="E223" i="17"/>
  <c r="Q82" i="18"/>
  <c r="V79" i="13"/>
  <c r="V81" i="13" s="1"/>
  <c r="D224" i="13"/>
  <c r="AM44" i="13"/>
  <c r="S89" i="14"/>
  <c r="P89" i="16"/>
  <c r="Q89" i="16"/>
  <c r="Q90" i="16" s="1"/>
  <c r="AA79" i="17"/>
  <c r="AA81" i="17" s="1"/>
  <c r="AA82" i="17" s="1"/>
  <c r="D224" i="17"/>
  <c r="AB89" i="14"/>
  <c r="AB90" i="14" s="1"/>
  <c r="B224" i="14"/>
  <c r="D224" i="14"/>
  <c r="H7" i="18"/>
  <c r="G7" i="18"/>
  <c r="D100" i="13"/>
  <c r="U89" i="14"/>
  <c r="M89" i="15"/>
  <c r="M90" i="15" s="1"/>
  <c r="U89" i="15"/>
  <c r="U90" i="15" s="1"/>
  <c r="S89" i="17"/>
  <c r="H82" i="18"/>
  <c r="AG79" i="13"/>
  <c r="C259" i="15"/>
  <c r="AG79" i="16"/>
  <c r="B100" i="16"/>
  <c r="U89" i="17"/>
  <c r="U90" i="17" s="1"/>
  <c r="B89" i="17"/>
  <c r="AE82" i="18"/>
  <c r="AV238" i="18"/>
  <c r="AD7" i="18"/>
  <c r="Y82" i="18"/>
  <c r="C233" i="18"/>
  <c r="I7" i="18"/>
  <c r="I82" i="18"/>
  <c r="F7" i="18"/>
  <c r="F82" i="18"/>
  <c r="E82" i="18"/>
  <c r="W238" i="18"/>
  <c r="L82" i="18"/>
  <c r="L7" i="18"/>
  <c r="AD238" i="18"/>
  <c r="V82" i="18"/>
  <c r="G218" i="18"/>
  <c r="F100" i="18"/>
  <c r="F224" i="18"/>
  <c r="D82" i="18"/>
  <c r="D7" i="18"/>
  <c r="V238" i="18"/>
  <c r="AI89" i="18"/>
  <c r="AH89" i="18"/>
  <c r="T238" i="18"/>
  <c r="AH81" i="18"/>
  <c r="AI81" i="18"/>
  <c r="B7" i="18"/>
  <c r="AA7" i="18"/>
  <c r="AS238" i="18"/>
  <c r="AA82" i="18"/>
  <c r="B233" i="18"/>
  <c r="AH79" i="18"/>
  <c r="AK238" i="18"/>
  <c r="S7" i="18"/>
  <c r="S82" i="18"/>
  <c r="W82" i="18"/>
  <c r="AI79" i="18"/>
  <c r="K7" i="18"/>
  <c r="AC238" i="18"/>
  <c r="K82" i="18"/>
  <c r="G82" i="18"/>
  <c r="AB82" i="18"/>
  <c r="AB7" i="18"/>
  <c r="AT238" i="18"/>
  <c r="F259" i="18"/>
  <c r="H223" i="18"/>
  <c r="C7" i="18"/>
  <c r="U238" i="18"/>
  <c r="C82" i="18"/>
  <c r="AJ238" i="18"/>
  <c r="R7" i="18"/>
  <c r="R82" i="18"/>
  <c r="T7" i="18"/>
  <c r="AL238" i="18"/>
  <c r="T82" i="18"/>
  <c r="AB238" i="18"/>
  <c r="J82" i="18"/>
  <c r="J7" i="18"/>
  <c r="AF89" i="17"/>
  <c r="AF90" i="17" s="1"/>
  <c r="AF79" i="17"/>
  <c r="AF81" i="17" s="1"/>
  <c r="AE89" i="17"/>
  <c r="AE90" i="17" s="1"/>
  <c r="AE79" i="17"/>
  <c r="AE81" i="17" s="1"/>
  <c r="AE7" i="17" s="1"/>
  <c r="AD89" i="17"/>
  <c r="AD90" i="17" s="1"/>
  <c r="AD79" i="17"/>
  <c r="AD81" i="17" s="1"/>
  <c r="AV238" i="17" s="1"/>
  <c r="AC89" i="17"/>
  <c r="AC79" i="17"/>
  <c r="AC81" i="17" s="1"/>
  <c r="AB89" i="17"/>
  <c r="AB90" i="17"/>
  <c r="AB79" i="17"/>
  <c r="AB81" i="17" s="1"/>
  <c r="AB7" i="17" s="1"/>
  <c r="AA89" i="17"/>
  <c r="AA90" i="17" s="1"/>
  <c r="X79" i="17"/>
  <c r="X81" i="17" s="1"/>
  <c r="X7" i="17" s="1"/>
  <c r="Z89" i="17"/>
  <c r="Z90" i="17" s="1"/>
  <c r="Y79" i="17"/>
  <c r="Y81" i="17" s="1"/>
  <c r="Z79" i="17"/>
  <c r="Z81" i="17" s="1"/>
  <c r="Y89" i="17"/>
  <c r="Y90" i="17" s="1"/>
  <c r="X89" i="17"/>
  <c r="X90" i="17" s="1"/>
  <c r="W89" i="17"/>
  <c r="W90" i="17" s="1"/>
  <c r="W79" i="17"/>
  <c r="W81" i="17" s="1"/>
  <c r="AO238" i="17" s="1"/>
  <c r="V79" i="17"/>
  <c r="V81" i="17" s="1"/>
  <c r="V82" i="17" s="1"/>
  <c r="U79" i="17"/>
  <c r="U81" i="17" s="1"/>
  <c r="T79" i="17"/>
  <c r="T81" i="17" s="1"/>
  <c r="T7" i="17" s="1"/>
  <c r="S79" i="17"/>
  <c r="S81" i="17" s="1"/>
  <c r="AK238" i="17" s="1"/>
  <c r="S90" i="17"/>
  <c r="R89" i="17"/>
  <c r="R90" i="17" s="1"/>
  <c r="R79" i="17"/>
  <c r="R81" i="17" s="1"/>
  <c r="AJ238" i="17" s="1"/>
  <c r="Q89" i="17"/>
  <c r="Q90" i="17" s="1"/>
  <c r="AI62" i="17"/>
  <c r="N79" i="17"/>
  <c r="N81" i="17" s="1"/>
  <c r="Q79" i="17"/>
  <c r="Q81" i="17" s="1"/>
  <c r="P79" i="17"/>
  <c r="P81" i="17" s="1"/>
  <c r="AH238" i="17" s="1"/>
  <c r="P89" i="17"/>
  <c r="P90" i="17" s="1"/>
  <c r="O89" i="17"/>
  <c r="O90" i="17" s="1"/>
  <c r="O79" i="17"/>
  <c r="O81" i="17" s="1"/>
  <c r="O82" i="17" s="1"/>
  <c r="AI85" i="17"/>
  <c r="N89" i="17"/>
  <c r="N82" i="17" s="1"/>
  <c r="M89" i="17"/>
  <c r="M79" i="17"/>
  <c r="M81" i="17" s="1"/>
  <c r="AE238" i="17" s="1"/>
  <c r="L89" i="17"/>
  <c r="L90" i="17" s="1"/>
  <c r="L79" i="17"/>
  <c r="L81" i="17" s="1"/>
  <c r="AD238" i="17" s="1"/>
  <c r="K89" i="17"/>
  <c r="K90" i="17" s="1"/>
  <c r="K79" i="17"/>
  <c r="K81" i="17" s="1"/>
  <c r="K7" i="17" s="1"/>
  <c r="J89" i="17"/>
  <c r="J90" i="17" s="1"/>
  <c r="I79" i="17"/>
  <c r="I81" i="17" s="1"/>
  <c r="I7" i="17" s="1"/>
  <c r="I89" i="17"/>
  <c r="I90" i="17" s="1"/>
  <c r="H90" i="17"/>
  <c r="AI83" i="17"/>
  <c r="G90" i="17"/>
  <c r="G79" i="17"/>
  <c r="G81" i="17" s="1"/>
  <c r="Y238" i="17" s="1"/>
  <c r="H79" i="17"/>
  <c r="H81" i="17" s="1"/>
  <c r="H7" i="17" s="1"/>
  <c r="J79" i="17"/>
  <c r="J81" i="17" s="1"/>
  <c r="F79" i="17"/>
  <c r="F81" i="17" s="1"/>
  <c r="X238" i="17" s="1"/>
  <c r="F89" i="17"/>
  <c r="F90" i="17" s="1"/>
  <c r="AI86" i="17"/>
  <c r="E89" i="17"/>
  <c r="E79" i="17"/>
  <c r="E81" i="17" s="1"/>
  <c r="E7" i="17" s="1"/>
  <c r="D89" i="17"/>
  <c r="D90" i="17" s="1"/>
  <c r="AI58" i="17"/>
  <c r="D79" i="17"/>
  <c r="D81" i="17" s="1"/>
  <c r="AH39" i="17"/>
  <c r="AH85" i="17"/>
  <c r="C89" i="17"/>
  <c r="C90" i="17" s="1"/>
  <c r="AI87" i="17"/>
  <c r="C79" i="17"/>
  <c r="C81" i="17" s="1"/>
  <c r="AI44" i="17"/>
  <c r="AI40" i="17"/>
  <c r="B90" i="17"/>
  <c r="AI84" i="17"/>
  <c r="B79" i="17"/>
  <c r="B81" i="17" s="1"/>
  <c r="B82" i="17" s="1"/>
  <c r="H4" i="17"/>
  <c r="AC238" i="17"/>
  <c r="AA238" i="17"/>
  <c r="I82" i="17"/>
  <c r="Q7" i="17"/>
  <c r="AI238" i="17"/>
  <c r="Y7" i="17"/>
  <c r="AQ238" i="17"/>
  <c r="Y82" i="17"/>
  <c r="N90" i="17"/>
  <c r="V90" i="17"/>
  <c r="AR238" i="17"/>
  <c r="Z82" i="17"/>
  <c r="Z7" i="17"/>
  <c r="AL238" i="17"/>
  <c r="T82" i="17"/>
  <c r="AB82" i="17"/>
  <c r="G218" i="17"/>
  <c r="AS238" i="17"/>
  <c r="U7" i="17"/>
  <c r="AM238" i="17"/>
  <c r="AC7" i="17"/>
  <c r="AU238" i="17"/>
  <c r="N7" i="17"/>
  <c r="AF238" i="17"/>
  <c r="AD7" i="17"/>
  <c r="G82" i="17"/>
  <c r="AW238" i="17"/>
  <c r="AE82" i="17"/>
  <c r="S7" i="17"/>
  <c r="S82" i="17"/>
  <c r="P7" i="17"/>
  <c r="AF7" i="17"/>
  <c r="AX238" i="17"/>
  <c r="AF82" i="17"/>
  <c r="E90" i="17"/>
  <c r="M90" i="17"/>
  <c r="AC90" i="17"/>
  <c r="AH84" i="17"/>
  <c r="D100" i="17"/>
  <c r="E224" i="17"/>
  <c r="D235" i="17"/>
  <c r="AG79" i="17"/>
  <c r="AH58" i="17"/>
  <c r="AH62" i="17"/>
  <c r="AH74" i="17"/>
  <c r="E100" i="17"/>
  <c r="C5" i="17"/>
  <c r="K5" i="17"/>
  <c r="S5" i="17"/>
  <c r="AA5" i="17"/>
  <c r="AI74" i="17"/>
  <c r="AH83" i="17"/>
  <c r="AH40" i="17"/>
  <c r="AH44" i="17"/>
  <c r="AH86" i="17"/>
  <c r="B224" i="17"/>
  <c r="AH87" i="17"/>
  <c r="AF89" i="16"/>
  <c r="AF82" i="16" s="1"/>
  <c r="AE89" i="16"/>
  <c r="AE90" i="16" s="1"/>
  <c r="AE79" i="16"/>
  <c r="AE81" i="16" s="1"/>
  <c r="AD89" i="16"/>
  <c r="AD90" i="16"/>
  <c r="AD79" i="16"/>
  <c r="AD81" i="16" s="1"/>
  <c r="AC89" i="16"/>
  <c r="AC90" i="16" s="1"/>
  <c r="AC79" i="16"/>
  <c r="AC81" i="16" s="1"/>
  <c r="AC7" i="16" s="1"/>
  <c r="AB89" i="16"/>
  <c r="AB90" i="16" s="1"/>
  <c r="AF79" i="16"/>
  <c r="AF81" i="16" s="1"/>
  <c r="AB79" i="16"/>
  <c r="AB81" i="16" s="1"/>
  <c r="AT238" i="16" s="1"/>
  <c r="AA89" i="16"/>
  <c r="AA90" i="16" s="1"/>
  <c r="AA79" i="16"/>
  <c r="AA81" i="16" s="1"/>
  <c r="AA7" i="16" s="1"/>
  <c r="Z89" i="16"/>
  <c r="Z90" i="16" s="1"/>
  <c r="Z79" i="16"/>
  <c r="Z81" i="16" s="1"/>
  <c r="Z82" i="16" s="1"/>
  <c r="Y79" i="16"/>
  <c r="Y81" i="16" s="1"/>
  <c r="Y89" i="16"/>
  <c r="Y90" i="16" s="1"/>
  <c r="X89" i="16"/>
  <c r="X90" i="16" s="1"/>
  <c r="X79" i="16"/>
  <c r="X81" i="16" s="1"/>
  <c r="AP238" i="16" s="1"/>
  <c r="W89" i="16"/>
  <c r="W90" i="16" s="1"/>
  <c r="W79" i="16"/>
  <c r="W81" i="16" s="1"/>
  <c r="AO238" i="16" s="1"/>
  <c r="V89" i="16"/>
  <c r="V82" i="16" s="1"/>
  <c r="V90" i="16"/>
  <c r="V79" i="16"/>
  <c r="V81" i="16" s="1"/>
  <c r="U89" i="16"/>
  <c r="T89" i="16"/>
  <c r="T90" i="16" s="1"/>
  <c r="T79" i="16"/>
  <c r="T81" i="16" s="1"/>
  <c r="S89" i="16"/>
  <c r="S90" i="16" s="1"/>
  <c r="S79" i="16"/>
  <c r="S81" i="16" s="1"/>
  <c r="AK238" i="16" s="1"/>
  <c r="R79" i="16"/>
  <c r="R81" i="16" s="1"/>
  <c r="R7" i="16" s="1"/>
  <c r="R89" i="16"/>
  <c r="R90" i="16" s="1"/>
  <c r="Q79" i="16"/>
  <c r="Q81" i="16" s="1"/>
  <c r="P90" i="16"/>
  <c r="P79" i="16"/>
  <c r="P81" i="16" s="1"/>
  <c r="AD79" i="15"/>
  <c r="AD81" i="15" s="1"/>
  <c r="O89" i="16"/>
  <c r="O90" i="16" s="1"/>
  <c r="O79" i="16"/>
  <c r="O81" i="16" s="1"/>
  <c r="O82" i="16" s="1"/>
  <c r="N89" i="16"/>
  <c r="N90" i="16" s="1"/>
  <c r="N79" i="16"/>
  <c r="N81" i="16" s="1"/>
  <c r="N82" i="16" s="1"/>
  <c r="M79" i="16"/>
  <c r="M81" i="16" s="1"/>
  <c r="M7" i="16" s="1"/>
  <c r="L89" i="16"/>
  <c r="L90" i="16" s="1"/>
  <c r="D89" i="16"/>
  <c r="D82" i="16" s="1"/>
  <c r="L79" i="16"/>
  <c r="L81" i="16" s="1"/>
  <c r="L7" i="16" s="1"/>
  <c r="K89" i="16"/>
  <c r="K90" i="16" s="1"/>
  <c r="K79" i="16"/>
  <c r="K81" i="16" s="1"/>
  <c r="AC238" i="16" s="1"/>
  <c r="J89" i="16"/>
  <c r="J90" i="16" s="1"/>
  <c r="J79" i="16"/>
  <c r="J81" i="16" s="1"/>
  <c r="J7" i="16" s="1"/>
  <c r="I89" i="16"/>
  <c r="I90" i="16"/>
  <c r="I79" i="16"/>
  <c r="I81" i="16" s="1"/>
  <c r="I7" i="16" s="1"/>
  <c r="H89" i="16"/>
  <c r="H90" i="16" s="1"/>
  <c r="H79" i="16"/>
  <c r="H81" i="16" s="1"/>
  <c r="Z238" i="16" s="1"/>
  <c r="AH85" i="16"/>
  <c r="AI85" i="16"/>
  <c r="G89" i="16"/>
  <c r="AI84" i="16"/>
  <c r="G90" i="16"/>
  <c r="AI62" i="16"/>
  <c r="G79" i="16"/>
  <c r="G81" i="16" s="1"/>
  <c r="AI83" i="16"/>
  <c r="F89" i="16"/>
  <c r="F90" i="16" s="1"/>
  <c r="F79" i="16"/>
  <c r="F81" i="16" s="1"/>
  <c r="F7" i="16" s="1"/>
  <c r="D79" i="16"/>
  <c r="D81" i="16" s="1"/>
  <c r="V238" i="16" s="1"/>
  <c r="AI86" i="16"/>
  <c r="E89" i="16"/>
  <c r="E90" i="16" s="1"/>
  <c r="E79" i="16"/>
  <c r="E81" i="16" s="1"/>
  <c r="W238" i="16" s="1"/>
  <c r="AI87" i="16"/>
  <c r="C89" i="16"/>
  <c r="C90" i="16" s="1"/>
  <c r="C79" i="16"/>
  <c r="C81" i="16" s="1"/>
  <c r="U238" i="16" s="1"/>
  <c r="AI58" i="16"/>
  <c r="AH44" i="16"/>
  <c r="B79" i="16"/>
  <c r="H4" i="16"/>
  <c r="AJ238" i="16"/>
  <c r="E259" i="16"/>
  <c r="G223" i="16"/>
  <c r="G224" i="16" s="1"/>
  <c r="Y7" i="16"/>
  <c r="AQ238" i="16"/>
  <c r="Y82" i="16"/>
  <c r="C7" i="16"/>
  <c r="AA82" i="16"/>
  <c r="T7" i="16"/>
  <c r="T82" i="16"/>
  <c r="AL238" i="16"/>
  <c r="AB82" i="16"/>
  <c r="AB7" i="16"/>
  <c r="Q7" i="16"/>
  <c r="AI238" i="16"/>
  <c r="Q82" i="16"/>
  <c r="H218" i="16"/>
  <c r="G100" i="16"/>
  <c r="U7" i="16"/>
  <c r="AM238" i="16"/>
  <c r="U82" i="16"/>
  <c r="N7" i="16"/>
  <c r="V7" i="16"/>
  <c r="AN238" i="16"/>
  <c r="AD7" i="16"/>
  <c r="AV238" i="16"/>
  <c r="AD82" i="16"/>
  <c r="AW238" i="16"/>
  <c r="AE82" i="16"/>
  <c r="AE7" i="16"/>
  <c r="H7" i="16"/>
  <c r="P7" i="16"/>
  <c r="AH238" i="16"/>
  <c r="P82" i="16"/>
  <c r="X7" i="16"/>
  <c r="AF7" i="16"/>
  <c r="AX238" i="16"/>
  <c r="M90" i="16"/>
  <c r="U90" i="16"/>
  <c r="D100" i="16"/>
  <c r="E224" i="16"/>
  <c r="D235" i="16"/>
  <c r="AH58" i="16"/>
  <c r="AH62" i="16"/>
  <c r="AH74" i="16"/>
  <c r="F224" i="16"/>
  <c r="AG2" i="16"/>
  <c r="AG6" i="16" s="1"/>
  <c r="C5" i="16"/>
  <c r="K5" i="16"/>
  <c r="S5" i="16"/>
  <c r="AA5" i="16"/>
  <c r="AI74" i="16"/>
  <c r="AH83" i="16"/>
  <c r="B89" i="16"/>
  <c r="F100" i="16"/>
  <c r="D5" i="16"/>
  <c r="L5" i="16"/>
  <c r="T5" i="16"/>
  <c r="AB5" i="16"/>
  <c r="AH84" i="16"/>
  <c r="AI40" i="16"/>
  <c r="AI44" i="16"/>
  <c r="AH86" i="16"/>
  <c r="B224" i="16"/>
  <c r="AH87" i="16"/>
  <c r="AH40" i="16"/>
  <c r="AF89" i="15"/>
  <c r="AF79" i="15"/>
  <c r="AF81" i="15" s="1"/>
  <c r="AX238" i="15" s="1"/>
  <c r="AE79" i="15"/>
  <c r="AE81" i="15" s="1"/>
  <c r="AE82" i="15" s="1"/>
  <c r="AD89" i="15"/>
  <c r="AD90" i="15" s="1"/>
  <c r="AC89" i="15"/>
  <c r="AC90" i="15" s="1"/>
  <c r="AB89" i="15"/>
  <c r="AB90" i="15" s="1"/>
  <c r="AB79" i="15"/>
  <c r="AB81" i="15" s="1"/>
  <c r="AB7" i="15" s="1"/>
  <c r="AA89" i="15"/>
  <c r="AA90" i="15" s="1"/>
  <c r="AA79" i="15"/>
  <c r="AA81" i="15" s="1"/>
  <c r="AS238" i="15" s="1"/>
  <c r="Z89" i="15"/>
  <c r="Z90" i="15"/>
  <c r="Y89" i="15"/>
  <c r="Y90" i="15" s="1"/>
  <c r="X79" i="15"/>
  <c r="X81" i="15" s="1"/>
  <c r="W79" i="15"/>
  <c r="W81" i="15" s="1"/>
  <c r="V89" i="15"/>
  <c r="V90" i="15" s="1"/>
  <c r="V79" i="15"/>
  <c r="V81" i="15" s="1"/>
  <c r="T5" i="15"/>
  <c r="W90" i="15"/>
  <c r="U79" i="15"/>
  <c r="U81" i="15" s="1"/>
  <c r="X89" i="15"/>
  <c r="Y79" i="15"/>
  <c r="Y81" i="15" s="1"/>
  <c r="Y7" i="15" s="1"/>
  <c r="T89" i="15"/>
  <c r="T90" i="15" s="1"/>
  <c r="T79" i="15"/>
  <c r="T81" i="15" s="1"/>
  <c r="T7" i="15" s="1"/>
  <c r="S89" i="15"/>
  <c r="S90" i="15" s="1"/>
  <c r="Q89" i="15"/>
  <c r="Q90" i="15" s="1"/>
  <c r="S79" i="15"/>
  <c r="S81" i="15" s="1"/>
  <c r="R90" i="15"/>
  <c r="Q79" i="15"/>
  <c r="Q81" i="15" s="1"/>
  <c r="Q7" i="15" s="1"/>
  <c r="R79" i="15"/>
  <c r="R81" i="15" s="1"/>
  <c r="R7" i="15" s="1"/>
  <c r="P89" i="15"/>
  <c r="P90" i="15" s="1"/>
  <c r="P79" i="15"/>
  <c r="P81" i="15" s="1"/>
  <c r="P7" i="15" s="1"/>
  <c r="O89" i="15"/>
  <c r="O90" i="15" s="1"/>
  <c r="O79" i="15"/>
  <c r="O81" i="15" s="1"/>
  <c r="N89" i="15"/>
  <c r="N90" i="15" s="1"/>
  <c r="N79" i="15"/>
  <c r="N81" i="15" s="1"/>
  <c r="L5" i="15"/>
  <c r="M79" i="15"/>
  <c r="M81" i="15" s="1"/>
  <c r="AE238" i="15" s="1"/>
  <c r="L79" i="15"/>
  <c r="L81" i="15" s="1"/>
  <c r="L7" i="15" s="1"/>
  <c r="L89" i="15"/>
  <c r="L90" i="15" s="1"/>
  <c r="K89" i="15"/>
  <c r="K90" i="15" s="1"/>
  <c r="K79" i="15"/>
  <c r="K81" i="15" s="1"/>
  <c r="K7" i="15" s="1"/>
  <c r="J90" i="15"/>
  <c r="J79" i="15"/>
  <c r="J81" i="15" s="1"/>
  <c r="J7" i="15" s="1"/>
  <c r="I89" i="15"/>
  <c r="I82" i="15" s="1"/>
  <c r="H89" i="15"/>
  <c r="H90" i="15" s="1"/>
  <c r="AH84" i="15"/>
  <c r="AI84" i="15"/>
  <c r="H79" i="15"/>
  <c r="H81" i="15" s="1"/>
  <c r="H7" i="15" s="1"/>
  <c r="G89" i="15"/>
  <c r="G90" i="15" s="1"/>
  <c r="G79" i="15"/>
  <c r="G81" i="15" s="1"/>
  <c r="G7" i="15" s="1"/>
  <c r="AH62" i="15"/>
  <c r="F89" i="15"/>
  <c r="F90" i="15" s="1"/>
  <c r="F79" i="15"/>
  <c r="F81" i="15" s="1"/>
  <c r="X238" i="15" s="1"/>
  <c r="AI85" i="15"/>
  <c r="E89" i="15"/>
  <c r="E90" i="15" s="1"/>
  <c r="D5" i="15"/>
  <c r="AH44" i="15"/>
  <c r="E79" i="15"/>
  <c r="E81" i="15" s="1"/>
  <c r="E7" i="15" s="1"/>
  <c r="AH58" i="15"/>
  <c r="C90" i="15"/>
  <c r="AH86" i="15"/>
  <c r="D89" i="15"/>
  <c r="D90" i="15" s="1"/>
  <c r="AI87" i="15"/>
  <c r="AH74" i="15"/>
  <c r="AI86" i="15"/>
  <c r="D79" i="15"/>
  <c r="D81" i="15" s="1"/>
  <c r="D7" i="15" s="1"/>
  <c r="B89" i="15"/>
  <c r="AF5" i="15"/>
  <c r="AI62" i="15"/>
  <c r="AI58" i="15"/>
  <c r="AI44" i="15"/>
  <c r="AI40" i="15"/>
  <c r="H4" i="15"/>
  <c r="N7" i="15"/>
  <c r="AF238" i="15"/>
  <c r="N82" i="15"/>
  <c r="V7" i="15"/>
  <c r="AN238" i="15"/>
  <c r="AD7" i="15"/>
  <c r="AV238" i="15"/>
  <c r="AH238" i="15"/>
  <c r="G218" i="15"/>
  <c r="F100" i="15"/>
  <c r="F224" i="15"/>
  <c r="AG238" i="15"/>
  <c r="O7" i="15"/>
  <c r="AO238" i="15"/>
  <c r="W82" i="15"/>
  <c r="W7" i="15"/>
  <c r="AE7" i="15"/>
  <c r="AF7" i="15"/>
  <c r="AF82" i="15"/>
  <c r="I7" i="15"/>
  <c r="AA238" i="15"/>
  <c r="AG81" i="15"/>
  <c r="AG3" i="15"/>
  <c r="B81" i="15"/>
  <c r="Z7" i="15"/>
  <c r="AR238" i="15"/>
  <c r="Z82" i="15"/>
  <c r="AK238" i="15"/>
  <c r="S82" i="15"/>
  <c r="S7" i="15"/>
  <c r="AA82" i="15"/>
  <c r="AL238" i="15"/>
  <c r="T82" i="15"/>
  <c r="AT238" i="15"/>
  <c r="AB82" i="15"/>
  <c r="X7" i="15"/>
  <c r="AP238" i="15"/>
  <c r="X82" i="15"/>
  <c r="B90" i="15"/>
  <c r="U7" i="15"/>
  <c r="U82" i="15"/>
  <c r="AM238" i="15"/>
  <c r="AC7" i="15"/>
  <c r="AU238" i="15"/>
  <c r="AC82" i="15"/>
  <c r="D100" i="15"/>
  <c r="E224" i="15"/>
  <c r="D235" i="15"/>
  <c r="AI83" i="15"/>
  <c r="B5" i="15"/>
  <c r="J5" i="15"/>
  <c r="R5" i="15"/>
  <c r="Z5" i="15"/>
  <c r="X90" i="15"/>
  <c r="AF90" i="15"/>
  <c r="E100" i="15"/>
  <c r="AG2" i="15"/>
  <c r="AG6" i="15" s="1"/>
  <c r="C5" i="15"/>
  <c r="K5" i="15"/>
  <c r="S5" i="15"/>
  <c r="AA5" i="15"/>
  <c r="AI74" i="15"/>
  <c r="AH83" i="15"/>
  <c r="E5" i="15"/>
  <c r="M5" i="15"/>
  <c r="U5" i="15"/>
  <c r="AC5" i="15"/>
  <c r="AH40" i="15"/>
  <c r="AH85" i="15"/>
  <c r="C79" i="15"/>
  <c r="C81" i="15" s="1"/>
  <c r="AH87" i="15"/>
  <c r="AF89" i="14"/>
  <c r="AF90" i="14" s="1"/>
  <c r="AF79" i="14"/>
  <c r="AF81" i="14" s="1"/>
  <c r="AE5" i="14"/>
  <c r="AE89" i="14"/>
  <c r="AE90" i="14" s="1"/>
  <c r="AD89" i="14"/>
  <c r="AE79" i="14"/>
  <c r="AE81" i="14" s="1"/>
  <c r="AW238" i="14" s="1"/>
  <c r="AD79" i="14"/>
  <c r="AD81" i="14" s="1"/>
  <c r="AD82" i="14" s="1"/>
  <c r="AC89" i="14"/>
  <c r="AC79" i="14"/>
  <c r="AC81" i="14" s="1"/>
  <c r="AB79" i="14"/>
  <c r="AB81" i="14" s="1"/>
  <c r="AA89" i="14"/>
  <c r="AA90" i="14"/>
  <c r="AA79" i="14"/>
  <c r="AA81" i="14" s="1"/>
  <c r="Z89" i="14"/>
  <c r="Z90" i="14" s="1"/>
  <c r="Z79" i="14"/>
  <c r="Z81" i="14" s="1"/>
  <c r="Y89" i="14"/>
  <c r="Y79" i="14"/>
  <c r="Y81" i="14" s="1"/>
  <c r="X89" i="14"/>
  <c r="X90" i="14" s="1"/>
  <c r="X79" i="14"/>
  <c r="X81" i="14" s="1"/>
  <c r="W89" i="14"/>
  <c r="W90" i="14" s="1"/>
  <c r="V89" i="14"/>
  <c r="V79" i="14"/>
  <c r="V81" i="14" s="1"/>
  <c r="V7" i="14" s="1"/>
  <c r="U79" i="14"/>
  <c r="U81" i="14" s="1"/>
  <c r="T89" i="14"/>
  <c r="T90" i="14" s="1"/>
  <c r="T79" i="14"/>
  <c r="T81" i="14" s="1"/>
  <c r="T82" i="14" s="1"/>
  <c r="S90" i="14"/>
  <c r="Q89" i="14"/>
  <c r="Q79" i="14"/>
  <c r="Q81" i="14" s="1"/>
  <c r="Q82" i="14" s="1"/>
  <c r="S79" i="14"/>
  <c r="S81" i="14" s="1"/>
  <c r="S82" i="14" s="1"/>
  <c r="R89" i="14"/>
  <c r="R90" i="14" s="1"/>
  <c r="R79" i="14"/>
  <c r="R81" i="14" s="1"/>
  <c r="P89" i="14"/>
  <c r="P90" i="14" s="1"/>
  <c r="O5" i="14"/>
  <c r="P79" i="14"/>
  <c r="P81" i="14" s="1"/>
  <c r="O89" i="14"/>
  <c r="O90" i="14"/>
  <c r="O79" i="14"/>
  <c r="O81" i="14" s="1"/>
  <c r="N79" i="14"/>
  <c r="N81" i="14" s="1"/>
  <c r="N82" i="14" s="1"/>
  <c r="AI39" i="14"/>
  <c r="M89" i="14"/>
  <c r="M79" i="14"/>
  <c r="M81" i="14" s="1"/>
  <c r="M82" i="14" s="1"/>
  <c r="L89" i="14"/>
  <c r="L90" i="14" s="1"/>
  <c r="L79" i="14"/>
  <c r="L81" i="14" s="1"/>
  <c r="L7" i="14" s="1"/>
  <c r="K89" i="14"/>
  <c r="K90" i="14" s="1"/>
  <c r="J89" i="14"/>
  <c r="J90" i="14" s="1"/>
  <c r="J79" i="14"/>
  <c r="J81" i="14" s="1"/>
  <c r="J82" i="14" s="1"/>
  <c r="I89" i="14"/>
  <c r="AI44" i="14"/>
  <c r="I79" i="14"/>
  <c r="I81" i="14" s="1"/>
  <c r="AA238" i="14" s="1"/>
  <c r="H89" i="14"/>
  <c r="H90" i="14" s="1"/>
  <c r="AI85" i="14"/>
  <c r="G89" i="14"/>
  <c r="G90" i="14" s="1"/>
  <c r="G79" i="14"/>
  <c r="G81" i="14" s="1"/>
  <c r="AI83" i="14"/>
  <c r="F89" i="14"/>
  <c r="E89" i="14"/>
  <c r="E79" i="14"/>
  <c r="E81" i="14" s="1"/>
  <c r="W238" i="14" s="1"/>
  <c r="AI86" i="14"/>
  <c r="D89" i="14"/>
  <c r="D90" i="14" s="1"/>
  <c r="D79" i="14"/>
  <c r="D81" i="14" s="1"/>
  <c r="D82" i="14" s="1"/>
  <c r="AI40" i="14"/>
  <c r="AH39" i="14"/>
  <c r="AI58" i="14"/>
  <c r="AI87" i="14"/>
  <c r="AI74" i="14"/>
  <c r="AI84" i="14"/>
  <c r="F79" i="14"/>
  <c r="F81" i="14" s="1"/>
  <c r="AH62" i="14"/>
  <c r="AI62" i="14"/>
  <c r="C79" i="14"/>
  <c r="C81" i="14" s="1"/>
  <c r="C7" i="14" s="1"/>
  <c r="K79" i="14"/>
  <c r="K81" i="14" s="1"/>
  <c r="AH84" i="14"/>
  <c r="AF5" i="14"/>
  <c r="H4" i="14"/>
  <c r="E7" i="14"/>
  <c r="M7" i="14"/>
  <c r="AE238" i="14"/>
  <c r="U7" i="14"/>
  <c r="AM238" i="14"/>
  <c r="U82" i="14"/>
  <c r="AC7" i="14"/>
  <c r="AU238" i="14"/>
  <c r="AC82" i="14"/>
  <c r="I90" i="14"/>
  <c r="Q90" i="14"/>
  <c r="Y90" i="14"/>
  <c r="D259" i="14"/>
  <c r="F223" i="14"/>
  <c r="AB7" i="14"/>
  <c r="AT238" i="14"/>
  <c r="T7" i="14"/>
  <c r="AL238" i="14"/>
  <c r="AG238" i="14"/>
  <c r="O82" i="14"/>
  <c r="O7" i="14"/>
  <c r="AO238" i="14"/>
  <c r="W82" i="14"/>
  <c r="W7" i="14"/>
  <c r="AG81" i="14"/>
  <c r="H7" i="14"/>
  <c r="Z238" i="14"/>
  <c r="H82" i="14"/>
  <c r="P7" i="14"/>
  <c r="AH238" i="14"/>
  <c r="P82" i="14"/>
  <c r="X7" i="14"/>
  <c r="AP238" i="14"/>
  <c r="X82" i="14"/>
  <c r="AF7" i="14"/>
  <c r="AX238" i="14"/>
  <c r="AF82" i="14"/>
  <c r="D7" i="14"/>
  <c r="Q7" i="14"/>
  <c r="Y7" i="14"/>
  <c r="AQ238" i="14"/>
  <c r="Y82" i="14"/>
  <c r="AG79" i="14"/>
  <c r="E90" i="14"/>
  <c r="M90" i="14"/>
  <c r="U90" i="14"/>
  <c r="AC90" i="14"/>
  <c r="G218" i="14"/>
  <c r="F100" i="14"/>
  <c r="F224" i="14"/>
  <c r="R7" i="14"/>
  <c r="AJ238" i="14"/>
  <c r="R82" i="14"/>
  <c r="Z7" i="14"/>
  <c r="AR238" i="14"/>
  <c r="F90" i="14"/>
  <c r="N90" i="14"/>
  <c r="V90" i="14"/>
  <c r="AD90" i="14"/>
  <c r="S7" i="14"/>
  <c r="AA7" i="14"/>
  <c r="AS238" i="14"/>
  <c r="AA82" i="14"/>
  <c r="E224" i="14"/>
  <c r="D235" i="14"/>
  <c r="AH58" i="14"/>
  <c r="AH74" i="14"/>
  <c r="E100" i="14"/>
  <c r="AG2" i="14"/>
  <c r="AG6" i="14" s="1"/>
  <c r="C5" i="14"/>
  <c r="K5" i="14"/>
  <c r="S5" i="14"/>
  <c r="AA5" i="14"/>
  <c r="AH83" i="14"/>
  <c r="B89" i="14"/>
  <c r="AH40" i="14"/>
  <c r="AH44" i="14"/>
  <c r="B79" i="14"/>
  <c r="AH85" i="14"/>
  <c r="AH86" i="14"/>
  <c r="AH87" i="14"/>
  <c r="B100" i="14"/>
  <c r="AF89" i="13"/>
  <c r="AE89" i="13"/>
  <c r="AD89" i="13"/>
  <c r="AD90" i="13" s="1"/>
  <c r="AC5" i="13"/>
  <c r="AD79" i="13"/>
  <c r="AD81" i="13" s="1"/>
  <c r="AD7" i="13" s="1"/>
  <c r="AE79" i="13"/>
  <c r="AE81" i="13" s="1"/>
  <c r="AE7" i="13" s="1"/>
  <c r="AF79" i="13"/>
  <c r="AF81" i="13" s="1"/>
  <c r="AX238" i="13" s="1"/>
  <c r="AC89" i="13"/>
  <c r="AC90" i="13" s="1"/>
  <c r="AB5" i="13"/>
  <c r="AC79" i="13"/>
  <c r="AC81" i="13" s="1"/>
  <c r="AC82" i="13" s="1"/>
  <c r="AB79" i="13"/>
  <c r="AB81" i="13" s="1"/>
  <c r="AB7" i="13" s="1"/>
  <c r="AB89" i="13"/>
  <c r="AB90" i="13" s="1"/>
  <c r="AA90" i="13"/>
  <c r="AA79" i="13"/>
  <c r="AA81" i="13" s="1"/>
  <c r="AS238" i="13" s="1"/>
  <c r="Z79" i="13"/>
  <c r="Z81" i="13" s="1"/>
  <c r="AR238" i="13" s="1"/>
  <c r="Z89" i="13"/>
  <c r="Z90" i="13" s="1"/>
  <c r="Y5" i="13"/>
  <c r="Y79" i="13"/>
  <c r="Y81" i="13" s="1"/>
  <c r="AQ238" i="13" s="1"/>
  <c r="Y89" i="13"/>
  <c r="Y82" i="13" s="1"/>
  <c r="X89" i="13"/>
  <c r="X79" i="13"/>
  <c r="X81" i="13" s="1"/>
  <c r="AP238" i="13" s="1"/>
  <c r="W89" i="13"/>
  <c r="W79" i="13"/>
  <c r="W81" i="13" s="1"/>
  <c r="AO238" i="13" s="1"/>
  <c r="V89" i="13"/>
  <c r="V90" i="13" s="1"/>
  <c r="U89" i="13"/>
  <c r="U90" i="13"/>
  <c r="T5" i="13"/>
  <c r="U79" i="13"/>
  <c r="U81" i="13" s="1"/>
  <c r="U7" i="13" s="1"/>
  <c r="C90" i="13"/>
  <c r="T89" i="13"/>
  <c r="T90" i="13" s="1"/>
  <c r="T79" i="13"/>
  <c r="T81" i="13" s="1"/>
  <c r="S89" i="13"/>
  <c r="S90" i="13" s="1"/>
  <c r="R5" i="13"/>
  <c r="S79" i="13"/>
  <c r="S81" i="13" s="1"/>
  <c r="R89" i="13"/>
  <c r="R90" i="13" s="1"/>
  <c r="Q5" i="13"/>
  <c r="R79" i="13"/>
  <c r="R81" i="13" s="1"/>
  <c r="Q89" i="13"/>
  <c r="Q90" i="13" s="1"/>
  <c r="Q79" i="13"/>
  <c r="Q81" i="13" s="1"/>
  <c r="P89" i="13"/>
  <c r="P79" i="13"/>
  <c r="P81" i="13" s="1"/>
  <c r="O89" i="13"/>
  <c r="O79" i="13"/>
  <c r="O81" i="13" s="1"/>
  <c r="N89" i="13"/>
  <c r="N90" i="13" s="1"/>
  <c r="M5" i="13"/>
  <c r="N79" i="13"/>
  <c r="N81" i="13" s="1"/>
  <c r="N7" i="13" s="1"/>
  <c r="M89" i="13"/>
  <c r="M90" i="13" s="1"/>
  <c r="L5" i="13"/>
  <c r="M79" i="13"/>
  <c r="M81" i="13" s="1"/>
  <c r="AE238" i="13" s="1"/>
  <c r="J5" i="13"/>
  <c r="K79" i="13"/>
  <c r="K81" i="13" s="1"/>
  <c r="K82" i="13" s="1"/>
  <c r="J89" i="13"/>
  <c r="J90" i="13" s="1"/>
  <c r="AI86" i="13"/>
  <c r="H89" i="13"/>
  <c r="H90" i="13" s="1"/>
  <c r="I89" i="13"/>
  <c r="I5" i="13"/>
  <c r="J79" i="13"/>
  <c r="J81" i="13" s="1"/>
  <c r="J7" i="13" s="1"/>
  <c r="AI87" i="13"/>
  <c r="G79" i="13"/>
  <c r="G81" i="13" s="1"/>
  <c r="Y238" i="13" s="1"/>
  <c r="I79" i="13"/>
  <c r="E89" i="13"/>
  <c r="E90" i="13" s="1"/>
  <c r="E79" i="13"/>
  <c r="E81" i="13" s="1"/>
  <c r="E7" i="13" s="1"/>
  <c r="F89" i="13"/>
  <c r="F90" i="13" s="1"/>
  <c r="G89" i="13"/>
  <c r="AI85" i="13"/>
  <c r="H79" i="13"/>
  <c r="H81" i="13" s="1"/>
  <c r="AI83" i="13"/>
  <c r="L89" i="13"/>
  <c r="L90" i="13" s="1"/>
  <c r="D89" i="13"/>
  <c r="D90" i="13" s="1"/>
  <c r="F79" i="13"/>
  <c r="F81" i="13" s="1"/>
  <c r="X238" i="13" s="1"/>
  <c r="L79" i="13"/>
  <c r="L81" i="13" s="1"/>
  <c r="L7" i="13" s="1"/>
  <c r="AI62" i="13"/>
  <c r="D79" i="13"/>
  <c r="D81" i="13" s="1"/>
  <c r="D7" i="13" s="1"/>
  <c r="AI40" i="13"/>
  <c r="B5" i="13"/>
  <c r="AI84" i="13"/>
  <c r="AI58" i="13"/>
  <c r="C79" i="13"/>
  <c r="C81" i="13" s="1"/>
  <c r="C7" i="13" s="1"/>
  <c r="AI44" i="13"/>
  <c r="H4" i="13"/>
  <c r="AG238" i="13"/>
  <c r="O82" i="13"/>
  <c r="O7" i="13"/>
  <c r="AW238" i="13"/>
  <c r="AE82" i="13"/>
  <c r="AB238" i="13"/>
  <c r="R7" i="13"/>
  <c r="AJ238" i="13"/>
  <c r="R82" i="13"/>
  <c r="P7" i="13"/>
  <c r="AH238" i="13"/>
  <c r="P82" i="13"/>
  <c r="K7" i="13"/>
  <c r="AC238" i="13"/>
  <c r="S7" i="13"/>
  <c r="AK238" i="13"/>
  <c r="S82" i="13"/>
  <c r="G90" i="13"/>
  <c r="O90" i="13"/>
  <c r="W90" i="13"/>
  <c r="AE90" i="13"/>
  <c r="T7" i="13"/>
  <c r="AL238" i="13"/>
  <c r="AT238" i="13"/>
  <c r="AB82" i="13"/>
  <c r="P90" i="13"/>
  <c r="X90" i="13"/>
  <c r="AF90" i="13"/>
  <c r="AG81" i="13"/>
  <c r="AV238" i="13"/>
  <c r="AD82" i="13"/>
  <c r="X7" i="13"/>
  <c r="Q7" i="13"/>
  <c r="AI238" i="13"/>
  <c r="AG6" i="13"/>
  <c r="AM238" i="13"/>
  <c r="U82" i="13"/>
  <c r="AC7" i="13"/>
  <c r="I90" i="13"/>
  <c r="Y90" i="13"/>
  <c r="F218" i="13"/>
  <c r="D235" i="13"/>
  <c r="AH58" i="13"/>
  <c r="AH62" i="13"/>
  <c r="AH74" i="13"/>
  <c r="E219" i="13"/>
  <c r="F219" i="13" s="1"/>
  <c r="G219" i="13" s="1"/>
  <c r="H219" i="13" s="1"/>
  <c r="I219" i="13" s="1"/>
  <c r="J219" i="13" s="1"/>
  <c r="K219" i="13" s="1"/>
  <c r="L219" i="13" s="1"/>
  <c r="M219" i="13" s="1"/>
  <c r="N219" i="13" s="1"/>
  <c r="O219" i="13" s="1"/>
  <c r="P219" i="13" s="1"/>
  <c r="E223" i="13"/>
  <c r="E100" i="13" s="1"/>
  <c r="AI74" i="13"/>
  <c r="AH83" i="13"/>
  <c r="B89" i="13"/>
  <c r="B90" i="13" s="1"/>
  <c r="AH84" i="13"/>
  <c r="AH40" i="13"/>
  <c r="AH44" i="13"/>
  <c r="B79" i="13"/>
  <c r="AH85" i="13"/>
  <c r="AH86" i="13"/>
  <c r="B224" i="13"/>
  <c r="AH87" i="13"/>
  <c r="V82" i="13" l="1"/>
  <c r="V7" i="13"/>
  <c r="AN238" i="13"/>
  <c r="AU238" i="13"/>
  <c r="Q82" i="13"/>
  <c r="AA7" i="13"/>
  <c r="Y7" i="13"/>
  <c r="Z7" i="13"/>
  <c r="AK238" i="14"/>
  <c r="AI238" i="14"/>
  <c r="AF238" i="14"/>
  <c r="AW238" i="15"/>
  <c r="V82" i="15"/>
  <c r="AG238" i="16"/>
  <c r="AF238" i="16"/>
  <c r="S7" i="16"/>
  <c r="AR238" i="16"/>
  <c r="AF90" i="16"/>
  <c r="AD82" i="17"/>
  <c r="U82" i="17"/>
  <c r="C82" i="17"/>
  <c r="AB82" i="14"/>
  <c r="G82" i="14"/>
  <c r="P82" i="15"/>
  <c r="AC82" i="16"/>
  <c r="R82" i="16"/>
  <c r="AN238" i="17"/>
  <c r="AA238" i="13"/>
  <c r="I81" i="13"/>
  <c r="I82" i="13" s="1"/>
  <c r="AV238" i="14"/>
  <c r="AU238" i="16"/>
  <c r="V7" i="17"/>
  <c r="E82" i="17"/>
  <c r="F223" i="17"/>
  <c r="D259" i="17"/>
  <c r="Z7" i="16"/>
  <c r="V82" i="14"/>
  <c r="I90" i="15"/>
  <c r="AS238" i="16"/>
  <c r="R7" i="17"/>
  <c r="AN238" i="14"/>
  <c r="O82" i="15"/>
  <c r="AD82" i="15"/>
  <c r="X82" i="17"/>
  <c r="AG238" i="17"/>
  <c r="AA7" i="17"/>
  <c r="L82" i="17"/>
  <c r="R82" i="17"/>
  <c r="D82" i="17"/>
  <c r="Q82" i="17"/>
  <c r="E82" i="13"/>
  <c r="Z82" i="13"/>
  <c r="Z82" i="14"/>
  <c r="G7" i="14"/>
  <c r="AA7" i="15"/>
  <c r="O7" i="16"/>
  <c r="S82" i="16"/>
  <c r="AP238" i="17"/>
  <c r="G7" i="17"/>
  <c r="L7" i="17"/>
  <c r="J82" i="17"/>
  <c r="E259" i="15"/>
  <c r="G223" i="15"/>
  <c r="N7" i="14"/>
  <c r="W238" i="13"/>
  <c r="N82" i="13"/>
  <c r="AA82" i="13"/>
  <c r="AF238" i="13"/>
  <c r="T82" i="13"/>
  <c r="Y238" i="14"/>
  <c r="K82" i="14"/>
  <c r="K6" i="18"/>
  <c r="G259" i="18"/>
  <c r="I223" i="18"/>
  <c r="H218" i="18"/>
  <c r="G224" i="18"/>
  <c r="G100" i="18"/>
  <c r="AH90" i="18"/>
  <c r="AI90" i="18"/>
  <c r="AI82" i="18"/>
  <c r="AH82" i="18"/>
  <c r="A7" i="18"/>
  <c r="AT238" i="17"/>
  <c r="AC82" i="17"/>
  <c r="W7" i="17"/>
  <c r="W82" i="17"/>
  <c r="P82" i="17"/>
  <c r="O7" i="17"/>
  <c r="M82" i="17"/>
  <c r="M7" i="17"/>
  <c r="K82" i="17"/>
  <c r="C233" i="17"/>
  <c r="H82" i="17"/>
  <c r="Z238" i="17"/>
  <c r="B233" i="17"/>
  <c r="W7" i="16"/>
  <c r="W82" i="16"/>
  <c r="F7" i="17"/>
  <c r="F82" i="17"/>
  <c r="AB238" i="17"/>
  <c r="J7" i="17"/>
  <c r="W238" i="17"/>
  <c r="V238" i="17"/>
  <c r="D7" i="17"/>
  <c r="U238" i="17"/>
  <c r="C7" i="17"/>
  <c r="AI79" i="17"/>
  <c r="AH79" i="17"/>
  <c r="AI89" i="17"/>
  <c r="AH89" i="17"/>
  <c r="H218" i="17"/>
  <c r="X82" i="16"/>
  <c r="AE238" i="16"/>
  <c r="M82" i="16"/>
  <c r="L82" i="16"/>
  <c r="D90" i="16"/>
  <c r="D7" i="16"/>
  <c r="AD238" i="16"/>
  <c r="K7" i="16"/>
  <c r="K82" i="16"/>
  <c r="AB238" i="16"/>
  <c r="J82" i="16"/>
  <c r="I82" i="16"/>
  <c r="AA238" i="16"/>
  <c r="B233" i="16"/>
  <c r="H82" i="16"/>
  <c r="C233" i="16"/>
  <c r="G82" i="16"/>
  <c r="Y238" i="16"/>
  <c r="G7" i="16"/>
  <c r="F82" i="16"/>
  <c r="X238" i="16"/>
  <c r="AI79" i="16"/>
  <c r="E82" i="16"/>
  <c r="E7" i="16"/>
  <c r="AH79" i="16"/>
  <c r="B81" i="16"/>
  <c r="T238" i="16" s="1"/>
  <c r="C82" i="16"/>
  <c r="B7" i="16"/>
  <c r="B90" i="16"/>
  <c r="AI89" i="16"/>
  <c r="AH89" i="16"/>
  <c r="F259" i="16"/>
  <c r="H223" i="16"/>
  <c r="I218" i="16"/>
  <c r="H224" i="16"/>
  <c r="H100" i="16"/>
  <c r="Y82" i="15"/>
  <c r="AQ238" i="15"/>
  <c r="Q82" i="15"/>
  <c r="AI238" i="15"/>
  <c r="R82" i="15"/>
  <c r="AJ238" i="15"/>
  <c r="Y238" i="15"/>
  <c r="M82" i="15"/>
  <c r="M7" i="15"/>
  <c r="L82" i="15"/>
  <c r="AD238" i="15"/>
  <c r="K82" i="15"/>
  <c r="AC238" i="15"/>
  <c r="J82" i="15"/>
  <c r="AB238" i="15"/>
  <c r="B233" i="15"/>
  <c r="C233" i="15"/>
  <c r="H82" i="15"/>
  <c r="Z238" i="15"/>
  <c r="AI89" i="15"/>
  <c r="G82" i="15"/>
  <c r="AH89" i="15"/>
  <c r="F82" i="15"/>
  <c r="F7" i="15"/>
  <c r="E82" i="15"/>
  <c r="W238" i="15"/>
  <c r="V238" i="15"/>
  <c r="D82" i="15"/>
  <c r="T238" i="15"/>
  <c r="B82" i="15"/>
  <c r="AI81" i="15"/>
  <c r="AH81" i="15"/>
  <c r="B7" i="15"/>
  <c r="AJ7" i="15" s="1"/>
  <c r="AH79" i="15"/>
  <c r="H218" i="15"/>
  <c r="G100" i="15"/>
  <c r="AI79" i="15"/>
  <c r="U238" i="15"/>
  <c r="C7" i="15"/>
  <c r="C82" i="15"/>
  <c r="AH90" i="15"/>
  <c r="AI90" i="15"/>
  <c r="AE7" i="14"/>
  <c r="AE82" i="14"/>
  <c r="AD7" i="14"/>
  <c r="L82" i="14"/>
  <c r="AD238" i="14"/>
  <c r="C233" i="14"/>
  <c r="AB238" i="14"/>
  <c r="J7" i="14"/>
  <c r="I7" i="14"/>
  <c r="I82" i="14"/>
  <c r="B233" i="14"/>
  <c r="F82" i="14"/>
  <c r="V238" i="14"/>
  <c r="X238" i="14"/>
  <c r="F7" i="14"/>
  <c r="E82" i="14"/>
  <c r="U238" i="14"/>
  <c r="C82" i="14"/>
  <c r="AC238" i="14"/>
  <c r="K7" i="14"/>
  <c r="AI79" i="14"/>
  <c r="AH79" i="14"/>
  <c r="B81" i="14"/>
  <c r="E259" i="14"/>
  <c r="G223" i="14"/>
  <c r="H218" i="14"/>
  <c r="G100" i="14"/>
  <c r="G224" i="14"/>
  <c r="B90" i="14"/>
  <c r="AI89" i="14"/>
  <c r="AH89" i="14"/>
  <c r="AF82" i="13"/>
  <c r="AF7" i="13"/>
  <c r="W7" i="13"/>
  <c r="W82" i="13"/>
  <c r="X82" i="13"/>
  <c r="M7" i="13"/>
  <c r="M82" i="13"/>
  <c r="L82" i="13"/>
  <c r="J82" i="13"/>
  <c r="G7" i="13"/>
  <c r="G82" i="13"/>
  <c r="I7" i="13"/>
  <c r="B233" i="13"/>
  <c r="AD238" i="13"/>
  <c r="H7" i="13"/>
  <c r="F82" i="13"/>
  <c r="F7" i="13"/>
  <c r="Z238" i="13"/>
  <c r="C233" i="13"/>
  <c r="H82" i="13"/>
  <c r="D82" i="13"/>
  <c r="V238" i="13"/>
  <c r="U238" i="13"/>
  <c r="C82" i="13"/>
  <c r="AI90" i="13"/>
  <c r="AH90" i="13"/>
  <c r="G218" i="13"/>
  <c r="E224" i="13"/>
  <c r="AI79" i="13"/>
  <c r="AH79" i="13"/>
  <c r="B81" i="13"/>
  <c r="D259" i="13"/>
  <c r="F223" i="13"/>
  <c r="F224" i="13" s="1"/>
  <c r="AI89" i="13"/>
  <c r="AH89" i="13"/>
  <c r="F100" i="13" l="1"/>
  <c r="A7" i="16"/>
  <c r="AJ7" i="16"/>
  <c r="F259" i="15"/>
  <c r="H223" i="15"/>
  <c r="G224" i="15"/>
  <c r="G223" i="17"/>
  <c r="F224" i="17"/>
  <c r="E259" i="17"/>
  <c r="F100" i="17"/>
  <c r="I218" i="18"/>
  <c r="H100" i="18"/>
  <c r="H224" i="18"/>
  <c r="H259" i="18"/>
  <c r="J223" i="18"/>
  <c r="K6" i="17"/>
  <c r="I218" i="17"/>
  <c r="T238" i="17"/>
  <c r="AI81" i="17"/>
  <c r="AH81" i="17"/>
  <c r="B7" i="17"/>
  <c r="A7" i="17" s="1"/>
  <c r="AH90" i="17"/>
  <c r="AI90" i="17"/>
  <c r="K6" i="16"/>
  <c r="AH81" i="16"/>
  <c r="AI81" i="16"/>
  <c r="B82" i="16"/>
  <c r="AI82" i="16" s="1"/>
  <c r="AI90" i="16"/>
  <c r="AH90" i="16"/>
  <c r="I224" i="16"/>
  <c r="J218" i="16"/>
  <c r="G259" i="16"/>
  <c r="I223" i="16"/>
  <c r="I100" i="16" s="1"/>
  <c r="AH82" i="16"/>
  <c r="K6" i="15"/>
  <c r="A7" i="15"/>
  <c r="I218" i="15"/>
  <c r="H100" i="15"/>
  <c r="H224" i="15"/>
  <c r="AI82" i="15"/>
  <c r="AH82" i="15"/>
  <c r="K6" i="14"/>
  <c r="F259" i="14"/>
  <c r="H223" i="14"/>
  <c r="H100" i="14" s="1"/>
  <c r="I218" i="14"/>
  <c r="H224" i="14"/>
  <c r="T238" i="14"/>
  <c r="B82" i="14"/>
  <c r="B7" i="14"/>
  <c r="AI81" i="14"/>
  <c r="AH81" i="14"/>
  <c r="AI90" i="14"/>
  <c r="AH90" i="14"/>
  <c r="K6" i="13"/>
  <c r="E259" i="13"/>
  <c r="G223" i="13"/>
  <c r="G100" i="13" s="1"/>
  <c r="H218" i="13"/>
  <c r="B7" i="13"/>
  <c r="T238" i="13"/>
  <c r="B82" i="13"/>
  <c r="AI81" i="13"/>
  <c r="AH81" i="13"/>
  <c r="I223" i="15" l="1"/>
  <c r="G259" i="15"/>
  <c r="A7" i="13"/>
  <c r="AJ7" i="13"/>
  <c r="G224" i="13"/>
  <c r="G100" i="17"/>
  <c r="G224" i="17"/>
  <c r="H223" i="17"/>
  <c r="F259" i="17"/>
  <c r="A7" i="14"/>
  <c r="AJ7" i="14"/>
  <c r="K223" i="18"/>
  <c r="I259" i="18"/>
  <c r="I100" i="18"/>
  <c r="I224" i="18"/>
  <c r="J218" i="18"/>
  <c r="AI82" i="17"/>
  <c r="AH82" i="17"/>
  <c r="J218" i="17"/>
  <c r="K218" i="16"/>
  <c r="H259" i="16"/>
  <c r="J223" i="16"/>
  <c r="I100" i="15"/>
  <c r="I224" i="15"/>
  <c r="J218" i="15"/>
  <c r="J218" i="14"/>
  <c r="G259" i="14"/>
  <c r="I223" i="14"/>
  <c r="AI82" i="14"/>
  <c r="AH82" i="14"/>
  <c r="I218" i="13"/>
  <c r="H100" i="13"/>
  <c r="AI82" i="13"/>
  <c r="AH82" i="13"/>
  <c r="F259" i="13"/>
  <c r="H223" i="13"/>
  <c r="H224" i="13" s="1"/>
  <c r="G259" i="17" l="1"/>
  <c r="I223" i="17"/>
  <c r="H100" i="17"/>
  <c r="H224" i="17"/>
  <c r="H259" i="15"/>
  <c r="J223" i="15"/>
  <c r="J100" i="18"/>
  <c r="J224" i="18"/>
  <c r="K218" i="18"/>
  <c r="J259" i="18"/>
  <c r="L223" i="18"/>
  <c r="K218" i="17"/>
  <c r="K223" i="16"/>
  <c r="I259" i="16"/>
  <c r="K100" i="16"/>
  <c r="K224" i="16"/>
  <c r="L218" i="16"/>
  <c r="J224" i="16"/>
  <c r="J100" i="16"/>
  <c r="J100" i="15"/>
  <c r="K218" i="15"/>
  <c r="H259" i="14"/>
  <c r="J223" i="14"/>
  <c r="J100" i="14"/>
  <c r="J224" i="14"/>
  <c r="K218" i="14"/>
  <c r="I224" i="14"/>
  <c r="I100" i="14"/>
  <c r="J218" i="13"/>
  <c r="G259" i="13"/>
  <c r="I223" i="13"/>
  <c r="K223" i="15" l="1"/>
  <c r="I259" i="15"/>
  <c r="H259" i="17"/>
  <c r="J223" i="17"/>
  <c r="I100" i="17"/>
  <c r="I224" i="17"/>
  <c r="J224" i="15"/>
  <c r="K100" i="18"/>
  <c r="K224" i="18"/>
  <c r="L218" i="18"/>
  <c r="K259" i="18"/>
  <c r="M223" i="18"/>
  <c r="L218" i="17"/>
  <c r="M218" i="16"/>
  <c r="J259" i="16"/>
  <c r="L223" i="16"/>
  <c r="L100" i="16" s="1"/>
  <c r="K100" i="15"/>
  <c r="K224" i="15"/>
  <c r="L218" i="15"/>
  <c r="L218" i="14"/>
  <c r="K223" i="14"/>
  <c r="I259" i="14"/>
  <c r="H259" i="13"/>
  <c r="J223" i="13"/>
  <c r="J224" i="13" s="1"/>
  <c r="I224" i="13"/>
  <c r="I100" i="13"/>
  <c r="K218" i="13"/>
  <c r="K223" i="17" l="1"/>
  <c r="I259" i="17"/>
  <c r="J100" i="17"/>
  <c r="J224" i="17"/>
  <c r="J100" i="13"/>
  <c r="J259" i="15"/>
  <c r="L223" i="15"/>
  <c r="L259" i="18"/>
  <c r="N223" i="18"/>
  <c r="L224" i="18"/>
  <c r="L100" i="18"/>
  <c r="M218" i="18"/>
  <c r="M218" i="17"/>
  <c r="K259" i="16"/>
  <c r="M223" i="16"/>
  <c r="M100" i="16" s="1"/>
  <c r="N218" i="16"/>
  <c r="M224" i="16"/>
  <c r="L224" i="16"/>
  <c r="L224" i="15"/>
  <c r="M218" i="15"/>
  <c r="L100" i="15"/>
  <c r="M218" i="14"/>
  <c r="J259" i="14"/>
  <c r="L223" i="14"/>
  <c r="K224" i="14"/>
  <c r="K100" i="14"/>
  <c r="L218" i="13"/>
  <c r="K223" i="13"/>
  <c r="I259" i="13"/>
  <c r="M223" i="15" l="1"/>
  <c r="K259" i="15"/>
  <c r="L223" i="17"/>
  <c r="K100" i="17"/>
  <c r="K224" i="17"/>
  <c r="J259" i="17"/>
  <c r="N218" i="18"/>
  <c r="M100" i="18"/>
  <c r="M224" i="18"/>
  <c r="M259" i="18"/>
  <c r="O223" i="18"/>
  <c r="N218" i="17"/>
  <c r="O218" i="16"/>
  <c r="L259" i="16"/>
  <c r="N223" i="16"/>
  <c r="N224" i="16" s="1"/>
  <c r="N218" i="15"/>
  <c r="M100" i="15"/>
  <c r="M224" i="15"/>
  <c r="K259" i="14"/>
  <c r="M223" i="14"/>
  <c r="N218" i="14"/>
  <c r="M100" i="14"/>
  <c r="M224" i="14"/>
  <c r="L100" i="14"/>
  <c r="L224" i="14"/>
  <c r="J259" i="13"/>
  <c r="L223" i="13"/>
  <c r="L224" i="13" s="1"/>
  <c r="M218" i="13"/>
  <c r="K224" i="13"/>
  <c r="K100" i="13"/>
  <c r="L100" i="17" l="1"/>
  <c r="K259" i="17"/>
  <c r="M223" i="17"/>
  <c r="L224" i="17"/>
  <c r="L100" i="13"/>
  <c r="L259" i="15"/>
  <c r="N223" i="15"/>
  <c r="N224" i="15" s="1"/>
  <c r="N259" i="18"/>
  <c r="P223" i="18"/>
  <c r="O259" i="18" s="1"/>
  <c r="O218" i="18"/>
  <c r="N100" i="18"/>
  <c r="N224" i="18"/>
  <c r="O218" i="17"/>
  <c r="O223" i="16"/>
  <c r="M259" i="16"/>
  <c r="N100" i="16"/>
  <c r="P218" i="16"/>
  <c r="O100" i="16"/>
  <c r="O224" i="16"/>
  <c r="O218" i="15"/>
  <c r="O218" i="14"/>
  <c r="L259" i="14"/>
  <c r="N223" i="14"/>
  <c r="N224" i="14" s="1"/>
  <c r="N218" i="13"/>
  <c r="M100" i="13"/>
  <c r="K259" i="13"/>
  <c r="M223" i="13"/>
  <c r="N223" i="17" l="1"/>
  <c r="M100" i="17"/>
  <c r="M224" i="17"/>
  <c r="L259" i="17"/>
  <c r="O223" i="15"/>
  <c r="M259" i="15"/>
  <c r="N100" i="15"/>
  <c r="P218" i="18"/>
  <c r="O224" i="18"/>
  <c r="O100" i="18"/>
  <c r="P218" i="17"/>
  <c r="N259" i="16"/>
  <c r="P223" i="16"/>
  <c r="O259" i="16" s="1"/>
  <c r="P218" i="15"/>
  <c r="O224" i="15"/>
  <c r="O100" i="15"/>
  <c r="M259" i="14"/>
  <c r="O223" i="14"/>
  <c r="O224" i="14" s="1"/>
  <c r="N100" i="14"/>
  <c r="P218" i="14"/>
  <c r="L259" i="13"/>
  <c r="N223" i="13"/>
  <c r="M224" i="13"/>
  <c r="O218" i="13"/>
  <c r="N100" i="13"/>
  <c r="N224" i="13"/>
  <c r="P100" i="16" l="1"/>
  <c r="N259" i="15"/>
  <c r="P223" i="15"/>
  <c r="O259" i="15" s="1"/>
  <c r="N224" i="17"/>
  <c r="O223" i="17"/>
  <c r="M259" i="17"/>
  <c r="N100" i="17"/>
  <c r="P100" i="18"/>
  <c r="P224" i="18"/>
  <c r="AI100" i="16"/>
  <c r="AH100" i="16"/>
  <c r="P224" i="16"/>
  <c r="P224" i="15"/>
  <c r="P100" i="15"/>
  <c r="N259" i="14"/>
  <c r="P223" i="14"/>
  <c r="O259" i="14" s="1"/>
  <c r="M259" i="13"/>
  <c r="O223" i="13"/>
  <c r="P218" i="13"/>
  <c r="O100" i="13"/>
  <c r="O224" i="13"/>
  <c r="O100" i="17" l="1"/>
  <c r="O224" i="17"/>
  <c r="N259" i="17"/>
  <c r="P223" i="17"/>
  <c r="AH100" i="18"/>
  <c r="AI100" i="18"/>
  <c r="AI100" i="15"/>
  <c r="AH100" i="15"/>
  <c r="P224" i="14"/>
  <c r="P100" i="14"/>
  <c r="N259" i="13"/>
  <c r="P223" i="13"/>
  <c r="O259" i="13" s="1"/>
  <c r="O259" i="17" l="1"/>
  <c r="P224" i="17"/>
  <c r="P100" i="17"/>
  <c r="AI100" i="14"/>
  <c r="AH100" i="14"/>
  <c r="P224" i="13"/>
  <c r="P100" i="13"/>
  <c r="AI100" i="17" l="1"/>
  <c r="AH100" i="17"/>
  <c r="AH100" i="13"/>
  <c r="AI100" i="13"/>
  <c r="V100" i="12" l="1"/>
  <c r="V39" i="12"/>
  <c r="U103" i="12" l="1"/>
  <c r="U39" i="12"/>
  <c r="T103" i="12"/>
  <c r="T39" i="12"/>
  <c r="S40" i="12" l="1"/>
  <c r="R39" i="12"/>
  <c r="P39" i="12"/>
  <c r="Q39" i="12"/>
  <c r="O39" i="12"/>
  <c r="N74" i="12"/>
  <c r="N39" i="12"/>
  <c r="M39" i="12"/>
  <c r="L103" i="12"/>
  <c r="L39" i="12"/>
  <c r="AK37" i="11"/>
  <c r="K103" i="12"/>
  <c r="K39" i="12"/>
  <c r="J103" i="12"/>
  <c r="J39" i="12"/>
  <c r="I103" i="12"/>
  <c r="I39" i="12"/>
  <c r="H103" i="12"/>
  <c r="H39" i="12"/>
  <c r="G103" i="12"/>
  <c r="G39" i="12"/>
  <c r="F103" i="12"/>
  <c r="F39" i="12"/>
  <c r="E103" i="12" l="1"/>
  <c r="E39" i="12"/>
  <c r="D103" i="12"/>
  <c r="D39" i="12"/>
  <c r="C103" i="12"/>
  <c r="C39" i="12"/>
  <c r="AI39" i="12" s="1"/>
  <c r="B103" i="12"/>
  <c r="AH103" i="12" s="1"/>
  <c r="B87" i="12"/>
  <c r="B86" i="12"/>
  <c r="B85" i="12"/>
  <c r="B84" i="12"/>
  <c r="B83" i="12"/>
  <c r="B74" i="12"/>
  <c r="AF5" i="12" s="1"/>
  <c r="B62" i="12"/>
  <c r="B58" i="12"/>
  <c r="B44" i="12"/>
  <c r="B40" i="12"/>
  <c r="B39" i="12"/>
  <c r="AF263" i="12"/>
  <c r="AE263" i="12"/>
  <c r="AD263" i="12"/>
  <c r="AC263" i="12"/>
  <c r="AB263" i="12"/>
  <c r="AA263" i="12"/>
  <c r="Z263" i="12"/>
  <c r="Y263" i="12"/>
  <c r="X263" i="12"/>
  <c r="W263" i="12"/>
  <c r="V263" i="12"/>
  <c r="U263" i="12"/>
  <c r="T263" i="12"/>
  <c r="S263" i="12"/>
  <c r="R263" i="12"/>
  <c r="Q263" i="12"/>
  <c r="P263" i="12"/>
  <c r="O263" i="12"/>
  <c r="N263" i="12"/>
  <c r="M263" i="12"/>
  <c r="L263" i="12"/>
  <c r="K263" i="12"/>
  <c r="J263" i="12"/>
  <c r="I263" i="12"/>
  <c r="H263" i="12"/>
  <c r="G263" i="12"/>
  <c r="F263" i="12"/>
  <c r="E263" i="12"/>
  <c r="D263" i="12"/>
  <c r="C263" i="12"/>
  <c r="B263" i="12"/>
  <c r="A263" i="12"/>
  <c r="AF262" i="12"/>
  <c r="AE262" i="12"/>
  <c r="AD262" i="12"/>
  <c r="AC262" i="12"/>
  <c r="AB262" i="12"/>
  <c r="AA262" i="12"/>
  <c r="Z262" i="12"/>
  <c r="Y262" i="12"/>
  <c r="X262" i="12"/>
  <c r="W262" i="12"/>
  <c r="V262" i="12"/>
  <c r="U262" i="12"/>
  <c r="T262" i="12"/>
  <c r="S262" i="12"/>
  <c r="R262" i="12"/>
  <c r="Q262" i="12"/>
  <c r="P262" i="12"/>
  <c r="O262" i="12"/>
  <c r="N262" i="12"/>
  <c r="M262" i="12"/>
  <c r="L262" i="12"/>
  <c r="K262" i="12"/>
  <c r="J262" i="12"/>
  <c r="I262" i="12"/>
  <c r="H262" i="12"/>
  <c r="G262" i="12"/>
  <c r="F262" i="12"/>
  <c r="E262" i="12"/>
  <c r="D262" i="12"/>
  <c r="C262" i="12"/>
  <c r="B262" i="12"/>
  <c r="A262" i="12"/>
  <c r="AF261" i="12"/>
  <c r="AE261" i="12"/>
  <c r="AD261" i="12"/>
  <c r="AC261" i="12"/>
  <c r="AB261" i="12"/>
  <c r="AA261" i="12"/>
  <c r="Z261" i="12"/>
  <c r="Y261" i="12"/>
  <c r="X261" i="12"/>
  <c r="W261" i="12"/>
  <c r="V261" i="12"/>
  <c r="U261" i="12"/>
  <c r="T261" i="12"/>
  <c r="S261" i="12"/>
  <c r="R261" i="12"/>
  <c r="Q261" i="12"/>
  <c r="P261" i="12"/>
  <c r="O261" i="12"/>
  <c r="N261" i="12"/>
  <c r="M261" i="12"/>
  <c r="L261" i="12"/>
  <c r="K261" i="12"/>
  <c r="J261" i="12"/>
  <c r="I261" i="12"/>
  <c r="H261" i="12"/>
  <c r="G261" i="12"/>
  <c r="F261" i="12"/>
  <c r="E261" i="12"/>
  <c r="D261" i="12"/>
  <c r="C261" i="12"/>
  <c r="B261" i="12"/>
  <c r="A261" i="12"/>
  <c r="AF260" i="12"/>
  <c r="AE260" i="12"/>
  <c r="AD260" i="12"/>
  <c r="AC260" i="12"/>
  <c r="AB260" i="12"/>
  <c r="AA260" i="12"/>
  <c r="Z260" i="12"/>
  <c r="Y260" i="12"/>
  <c r="X260" i="12"/>
  <c r="W260" i="12"/>
  <c r="V260" i="12"/>
  <c r="U260" i="12"/>
  <c r="T260" i="12"/>
  <c r="S260" i="12"/>
  <c r="R260" i="12"/>
  <c r="Q260" i="12"/>
  <c r="P260" i="12"/>
  <c r="O260" i="12"/>
  <c r="N260" i="12"/>
  <c r="M260" i="12"/>
  <c r="L260" i="12"/>
  <c r="K260" i="12"/>
  <c r="J260" i="12"/>
  <c r="I260" i="12"/>
  <c r="H260" i="12"/>
  <c r="G260" i="12"/>
  <c r="F260" i="12"/>
  <c r="E260" i="12"/>
  <c r="D260" i="12"/>
  <c r="C260" i="12"/>
  <c r="B260" i="12"/>
  <c r="A260" i="12"/>
  <c r="AE259" i="12"/>
  <c r="AD259" i="12"/>
  <c r="AC259" i="12"/>
  <c r="AB259" i="12"/>
  <c r="AA259" i="12"/>
  <c r="Z259" i="12"/>
  <c r="Y259" i="12"/>
  <c r="X259" i="12"/>
  <c r="W259" i="12"/>
  <c r="V259" i="12"/>
  <c r="U259" i="12"/>
  <c r="T259" i="12"/>
  <c r="S259" i="12"/>
  <c r="R259" i="12"/>
  <c r="Q259" i="12"/>
  <c r="P259" i="12"/>
  <c r="B259" i="12"/>
  <c r="S234" i="12"/>
  <c r="AG224" i="12"/>
  <c r="AF224" i="12"/>
  <c r="AE224" i="12"/>
  <c r="AD224" i="12"/>
  <c r="AC224" i="12"/>
  <c r="AB224" i="12"/>
  <c r="AA224" i="12"/>
  <c r="Z224" i="12"/>
  <c r="Y224" i="12"/>
  <c r="X224" i="12"/>
  <c r="W224" i="12"/>
  <c r="V224" i="12"/>
  <c r="U224" i="12"/>
  <c r="T224" i="12"/>
  <c r="S224" i="12"/>
  <c r="R224" i="12"/>
  <c r="Q224" i="12"/>
  <c r="C224" i="12"/>
  <c r="D223" i="12"/>
  <c r="C259" i="12" s="1"/>
  <c r="B223" i="12"/>
  <c r="AF259" i="12" s="1"/>
  <c r="D222" i="12"/>
  <c r="E222" i="12" s="1"/>
  <c r="F222" i="12" s="1"/>
  <c r="G222" i="12" s="1"/>
  <c r="H222" i="12" s="1"/>
  <c r="I222" i="12" s="1"/>
  <c r="J222" i="12" s="1"/>
  <c r="K222" i="12" s="1"/>
  <c r="L222" i="12" s="1"/>
  <c r="M222" i="12" s="1"/>
  <c r="N222" i="12" s="1"/>
  <c r="O222" i="12" s="1"/>
  <c r="P222" i="12" s="1"/>
  <c r="B222" i="12"/>
  <c r="D221" i="12"/>
  <c r="E221" i="12" s="1"/>
  <c r="F221" i="12" s="1"/>
  <c r="G221" i="12" s="1"/>
  <c r="H221" i="12" s="1"/>
  <c r="I221" i="12" s="1"/>
  <c r="J221" i="12" s="1"/>
  <c r="K221" i="12" s="1"/>
  <c r="L221" i="12" s="1"/>
  <c r="M221" i="12" s="1"/>
  <c r="N221" i="12" s="1"/>
  <c r="O221" i="12" s="1"/>
  <c r="P221" i="12" s="1"/>
  <c r="B221" i="12"/>
  <c r="D220" i="12"/>
  <c r="E220" i="12" s="1"/>
  <c r="F220" i="12" s="1"/>
  <c r="G220" i="12" s="1"/>
  <c r="H220" i="12" s="1"/>
  <c r="I220" i="12" s="1"/>
  <c r="J220" i="12" s="1"/>
  <c r="K220" i="12" s="1"/>
  <c r="L220" i="12" s="1"/>
  <c r="M220" i="12" s="1"/>
  <c r="N220" i="12" s="1"/>
  <c r="O220" i="12" s="1"/>
  <c r="P220" i="12" s="1"/>
  <c r="B220" i="12"/>
  <c r="D219" i="12"/>
  <c r="E219" i="12" s="1"/>
  <c r="F219" i="12" s="1"/>
  <c r="G219" i="12" s="1"/>
  <c r="H219" i="12" s="1"/>
  <c r="I219" i="12" s="1"/>
  <c r="J219" i="12" s="1"/>
  <c r="K219" i="12" s="1"/>
  <c r="L219" i="12" s="1"/>
  <c r="M219" i="12" s="1"/>
  <c r="N219" i="12" s="1"/>
  <c r="O219" i="12" s="1"/>
  <c r="P219" i="12" s="1"/>
  <c r="B219" i="12"/>
  <c r="D218" i="12"/>
  <c r="E218" i="12" s="1"/>
  <c r="F218" i="12" s="1"/>
  <c r="B218" i="12"/>
  <c r="AG216" i="12"/>
  <c r="AF216" i="12"/>
  <c r="AE216" i="12"/>
  <c r="AD216" i="12"/>
  <c r="AC216" i="12"/>
  <c r="AB216" i="12"/>
  <c r="AA216" i="12"/>
  <c r="Z216" i="12"/>
  <c r="Y216" i="12"/>
  <c r="X216" i="12"/>
  <c r="W216" i="12"/>
  <c r="V216" i="12"/>
  <c r="U216" i="12"/>
  <c r="T216" i="12"/>
  <c r="S216" i="12"/>
  <c r="R216" i="12"/>
  <c r="Q216" i="12"/>
  <c r="P216" i="12"/>
  <c r="O216" i="12"/>
  <c r="N216" i="12"/>
  <c r="M216" i="12"/>
  <c r="L216" i="12"/>
  <c r="K216" i="12"/>
  <c r="J216" i="12"/>
  <c r="I216" i="12"/>
  <c r="H216" i="12"/>
  <c r="G216" i="12"/>
  <c r="F216" i="12"/>
  <c r="E216" i="12"/>
  <c r="D216" i="12"/>
  <c r="C216" i="12"/>
  <c r="B216" i="12"/>
  <c r="AI109" i="12"/>
  <c r="AH109" i="12"/>
  <c r="AI108" i="12"/>
  <c r="AH108" i="12"/>
  <c r="AI107" i="12"/>
  <c r="AH107" i="12"/>
  <c r="AI106" i="12"/>
  <c r="AH106" i="12"/>
  <c r="AI105" i="12"/>
  <c r="AH105" i="12"/>
  <c r="AI104" i="12"/>
  <c r="AH104" i="12"/>
  <c r="AI102" i="12"/>
  <c r="AH102" i="12"/>
  <c r="AI101" i="12"/>
  <c r="AH101" i="12"/>
  <c r="AF100" i="12"/>
  <c r="AE100" i="12"/>
  <c r="AD100" i="12"/>
  <c r="AC100" i="12"/>
  <c r="AB100" i="12"/>
  <c r="AA100" i="12"/>
  <c r="Z100" i="12"/>
  <c r="Y100" i="12"/>
  <c r="X100" i="12"/>
  <c r="W100" i="12"/>
  <c r="U100" i="12"/>
  <c r="T100" i="12"/>
  <c r="S100" i="12"/>
  <c r="R100" i="12"/>
  <c r="Q100" i="12"/>
  <c r="D100" i="12"/>
  <c r="C100" i="12"/>
  <c r="AI99" i="12"/>
  <c r="AH99" i="12"/>
  <c r="AI98" i="12"/>
  <c r="AH98" i="12"/>
  <c r="AI97" i="12"/>
  <c r="AH97" i="12"/>
  <c r="AI96" i="12"/>
  <c r="AH96" i="12"/>
  <c r="AI95" i="12"/>
  <c r="AH95" i="12"/>
  <c r="AI94" i="12"/>
  <c r="AH94" i="12"/>
  <c r="AI93" i="12"/>
  <c r="AH93" i="12"/>
  <c r="AI92" i="12"/>
  <c r="AH92" i="12"/>
  <c r="AI91" i="12"/>
  <c r="AH91" i="12"/>
  <c r="AI88" i="12"/>
  <c r="AH88" i="12"/>
  <c r="AF87" i="12"/>
  <c r="AE87" i="12"/>
  <c r="AD87" i="12"/>
  <c r="AC87" i="12"/>
  <c r="AB87" i="12"/>
  <c r="AA87" i="12"/>
  <c r="Z87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AF86" i="12"/>
  <c r="AE86" i="12"/>
  <c r="AD86" i="12"/>
  <c r="AC86" i="12"/>
  <c r="AB86" i="12"/>
  <c r="AA86" i="12"/>
  <c r="Z86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AF85" i="12"/>
  <c r="AE85" i="12"/>
  <c r="AD85" i="12"/>
  <c r="AC85" i="12"/>
  <c r="AB85" i="12"/>
  <c r="AA85" i="12"/>
  <c r="Z85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AF84" i="12"/>
  <c r="AE84" i="12"/>
  <c r="AD84" i="12"/>
  <c r="AC84" i="12"/>
  <c r="AB84" i="12"/>
  <c r="AA84" i="12"/>
  <c r="Z84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AF83" i="12"/>
  <c r="AE83" i="12"/>
  <c r="AD83" i="12"/>
  <c r="AC83" i="12"/>
  <c r="AB83" i="12"/>
  <c r="AB89" i="12" s="1"/>
  <c r="AA83" i="12"/>
  <c r="Z83" i="12"/>
  <c r="Y83" i="12"/>
  <c r="X83" i="12"/>
  <c r="W83" i="12"/>
  <c r="W89" i="12" s="1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AI80" i="12"/>
  <c r="AH80" i="12"/>
  <c r="AI78" i="12"/>
  <c r="AH78" i="12"/>
  <c r="AG78" i="12"/>
  <c r="AI77" i="12"/>
  <c r="AH77" i="12"/>
  <c r="AI76" i="12"/>
  <c r="AH76" i="12"/>
  <c r="AI75" i="12"/>
  <c r="AH75" i="12"/>
  <c r="AG74" i="12"/>
  <c r="AF74" i="12"/>
  <c r="AE5" i="12" s="1"/>
  <c r="AE74" i="12"/>
  <c r="AD5" i="12" s="1"/>
  <c r="AD74" i="12"/>
  <c r="AC5" i="12" s="1"/>
  <c r="AC74" i="12"/>
  <c r="AB5" i="12" s="1"/>
  <c r="AB74" i="12"/>
  <c r="AA5" i="12" s="1"/>
  <c r="AA74" i="12"/>
  <c r="Z5" i="12" s="1"/>
  <c r="Z74" i="12"/>
  <c r="Y74" i="12"/>
  <c r="X74" i="12"/>
  <c r="W5" i="12" s="1"/>
  <c r="W74" i="12"/>
  <c r="V74" i="12"/>
  <c r="U5" i="12" s="1"/>
  <c r="U74" i="12"/>
  <c r="T5" i="12" s="1"/>
  <c r="T74" i="12"/>
  <c r="S5" i="12" s="1"/>
  <c r="S74" i="12"/>
  <c r="R74" i="12"/>
  <c r="Q5" i="12" s="1"/>
  <c r="Q74" i="12"/>
  <c r="P74" i="12"/>
  <c r="O5" i="12" s="1"/>
  <c r="O74" i="12"/>
  <c r="N5" i="12" s="1"/>
  <c r="M5" i="12"/>
  <c r="M74" i="12"/>
  <c r="L5" i="12" s="1"/>
  <c r="L74" i="12"/>
  <c r="K74" i="12"/>
  <c r="J74" i="12"/>
  <c r="I5" i="12" s="1"/>
  <c r="I74" i="12"/>
  <c r="H74" i="12"/>
  <c r="G74" i="12"/>
  <c r="F5" i="12" s="1"/>
  <c r="F74" i="12"/>
  <c r="E5" i="12" s="1"/>
  <c r="E74" i="12"/>
  <c r="D5" i="12" s="1"/>
  <c r="D74" i="12"/>
  <c r="C5" i="12" s="1"/>
  <c r="C74" i="12"/>
  <c r="AI73" i="12"/>
  <c r="AH73" i="12"/>
  <c r="AI72" i="12"/>
  <c r="AH72" i="12"/>
  <c r="AI71" i="12"/>
  <c r="AH71" i="12"/>
  <c r="AI70" i="12"/>
  <c r="AH70" i="12"/>
  <c r="AI69" i="12"/>
  <c r="AH69" i="12"/>
  <c r="AI68" i="12"/>
  <c r="AH68" i="12"/>
  <c r="AI67" i="12"/>
  <c r="AH67" i="12"/>
  <c r="AI66" i="12"/>
  <c r="AH66" i="12"/>
  <c r="AI65" i="12"/>
  <c r="AH65" i="12"/>
  <c r="AI64" i="12"/>
  <c r="AH64" i="12"/>
  <c r="AI63" i="12"/>
  <c r="AH63" i="12"/>
  <c r="AG62" i="12"/>
  <c r="AF62" i="12"/>
  <c r="AE62" i="12"/>
  <c r="AD62" i="12"/>
  <c r="AC62" i="12"/>
  <c r="AB62" i="12"/>
  <c r="AA62" i="12"/>
  <c r="Z62" i="12"/>
  <c r="Y62" i="12"/>
  <c r="X62" i="12"/>
  <c r="W62" i="12"/>
  <c r="V62" i="12"/>
  <c r="U62" i="12"/>
  <c r="T62" i="12"/>
  <c r="S62" i="12"/>
  <c r="R62" i="12"/>
  <c r="Q62" i="12"/>
  <c r="P62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C62" i="12"/>
  <c r="AI61" i="12"/>
  <c r="AH61" i="12"/>
  <c r="AI60" i="12"/>
  <c r="AH60" i="12"/>
  <c r="AI59" i="12"/>
  <c r="AH59" i="12"/>
  <c r="AF58" i="12"/>
  <c r="AE58" i="12"/>
  <c r="AD58" i="12"/>
  <c r="AC58" i="12"/>
  <c r="AB58" i="12"/>
  <c r="AA58" i="12"/>
  <c r="Z58" i="12"/>
  <c r="Y58" i="12"/>
  <c r="X58" i="12"/>
  <c r="W58" i="12"/>
  <c r="V58" i="12"/>
  <c r="U58" i="12"/>
  <c r="T58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C58" i="12"/>
  <c r="AI57" i="12"/>
  <c r="AH57" i="12"/>
  <c r="AG57" i="12"/>
  <c r="AG58" i="12" s="1"/>
  <c r="AI56" i="12"/>
  <c r="AH56" i="12"/>
  <c r="AI55" i="12"/>
  <c r="AH55" i="12"/>
  <c r="AI54" i="12"/>
  <c r="AH54" i="12"/>
  <c r="AI53" i="12"/>
  <c r="AH53" i="12"/>
  <c r="AI52" i="12"/>
  <c r="AH52" i="12"/>
  <c r="AI51" i="12"/>
  <c r="AH51" i="12"/>
  <c r="AI50" i="12"/>
  <c r="AH50" i="12"/>
  <c r="AI49" i="12"/>
  <c r="AH49" i="12"/>
  <c r="AI48" i="12"/>
  <c r="AH48" i="12"/>
  <c r="AI47" i="12"/>
  <c r="AH47" i="12"/>
  <c r="AI46" i="12"/>
  <c r="AH46" i="12"/>
  <c r="AI45" i="12"/>
  <c r="AH45" i="12"/>
  <c r="AG44" i="12"/>
  <c r="AF44" i="12"/>
  <c r="AE44" i="12"/>
  <c r="AD44" i="12"/>
  <c r="AC44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AI43" i="12"/>
  <c r="AH43" i="12"/>
  <c r="AI42" i="12"/>
  <c r="AH42" i="12"/>
  <c r="AI41" i="12"/>
  <c r="AH41" i="12"/>
  <c r="AG40" i="12"/>
  <c r="AF40" i="12"/>
  <c r="AE40" i="12"/>
  <c r="AD40" i="12"/>
  <c r="AC40" i="12"/>
  <c r="AB40" i="12"/>
  <c r="AA40" i="12"/>
  <c r="Z40" i="12"/>
  <c r="Y40" i="12"/>
  <c r="X40" i="12"/>
  <c r="W40" i="12"/>
  <c r="V40" i="12"/>
  <c r="U40" i="12"/>
  <c r="T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AI38" i="12"/>
  <c r="AH38" i="12"/>
  <c r="AI37" i="12"/>
  <c r="AH37" i="12"/>
  <c r="AI36" i="12"/>
  <c r="AH36" i="12"/>
  <c r="AI35" i="12"/>
  <c r="AH35" i="12"/>
  <c r="AI34" i="12"/>
  <c r="AH34" i="12"/>
  <c r="AI33" i="12"/>
  <c r="AH33" i="12"/>
  <c r="AI32" i="12"/>
  <c r="AH32" i="12"/>
  <c r="AI31" i="12"/>
  <c r="AH31" i="12"/>
  <c r="AI30" i="12"/>
  <c r="AH30" i="12"/>
  <c r="AI29" i="12"/>
  <c r="AH29" i="12"/>
  <c r="AI28" i="12"/>
  <c r="AH28" i="12"/>
  <c r="AI27" i="12"/>
  <c r="AH27" i="12"/>
  <c r="AI26" i="12"/>
  <c r="AH26" i="12"/>
  <c r="AI25" i="12"/>
  <c r="AH25" i="12"/>
  <c r="AI24" i="12"/>
  <c r="AH24" i="12"/>
  <c r="AI23" i="12"/>
  <c r="AH23" i="12"/>
  <c r="AI22" i="12"/>
  <c r="AH22" i="12"/>
  <c r="AI21" i="12"/>
  <c r="AH21" i="12"/>
  <c r="AI20" i="12"/>
  <c r="AH20" i="12"/>
  <c r="AI19" i="12"/>
  <c r="AH19" i="12"/>
  <c r="AI18" i="12"/>
  <c r="AH18" i="12"/>
  <c r="AI17" i="12"/>
  <c r="AH17" i="12"/>
  <c r="AI16" i="12"/>
  <c r="AH16" i="12"/>
  <c r="AI15" i="12"/>
  <c r="AH15" i="12"/>
  <c r="AI14" i="12"/>
  <c r="AH14" i="12"/>
  <c r="AI13" i="12"/>
  <c r="AH13" i="12"/>
  <c r="AI12" i="12"/>
  <c r="AH12" i="12"/>
  <c r="AI11" i="12"/>
  <c r="AH11" i="12"/>
  <c r="Y5" i="12"/>
  <c r="V5" i="12"/>
  <c r="H5" i="12"/>
  <c r="AG4" i="12"/>
  <c r="K4" i="12"/>
  <c r="B4" i="12"/>
  <c r="S235" i="12" s="1"/>
  <c r="AG2" i="12"/>
  <c r="AF103" i="11"/>
  <c r="AF39" i="11"/>
  <c r="AE40" i="11"/>
  <c r="AD40" i="11"/>
  <c r="AE103" i="11"/>
  <c r="AE62" i="11"/>
  <c r="AD103" i="11"/>
  <c r="AD39" i="11"/>
  <c r="AC103" i="11"/>
  <c r="AC39" i="11"/>
  <c r="AB103" i="11"/>
  <c r="AK38" i="11"/>
  <c r="AB2" i="11"/>
  <c r="AB39" i="11"/>
  <c r="AA103" i="11"/>
  <c r="AA39" i="11"/>
  <c r="Z39" i="11"/>
  <c r="X103" i="11"/>
  <c r="X39" i="11"/>
  <c r="W103" i="11"/>
  <c r="W39" i="11"/>
  <c r="V103" i="11"/>
  <c r="V39" i="11"/>
  <c r="U103" i="11"/>
  <c r="U39" i="11"/>
  <c r="S103" i="11"/>
  <c r="S39" i="11"/>
  <c r="E4" i="12"/>
  <c r="K89" i="12" l="1"/>
  <c r="AA89" i="12"/>
  <c r="AI103" i="12"/>
  <c r="D224" i="12"/>
  <c r="B224" i="12"/>
  <c r="K90" i="12"/>
  <c r="AF79" i="12"/>
  <c r="AF81" i="12" s="1"/>
  <c r="AE89" i="12"/>
  <c r="AE90" i="12" s="1"/>
  <c r="AD79" i="12"/>
  <c r="AD81" i="12" s="1"/>
  <c r="AC89" i="12"/>
  <c r="AB79" i="12"/>
  <c r="AB81" i="12" s="1"/>
  <c r="AB7" i="12" s="1"/>
  <c r="AA90" i="12"/>
  <c r="Z79" i="12"/>
  <c r="Z81" i="12" s="1"/>
  <c r="Z7" i="12" s="1"/>
  <c r="Y89" i="12"/>
  <c r="Y90" i="12"/>
  <c r="X5" i="12"/>
  <c r="X79" i="12"/>
  <c r="X81" i="12" s="1"/>
  <c r="X7" i="12" s="1"/>
  <c r="V79" i="12"/>
  <c r="V81" i="12" s="1"/>
  <c r="U89" i="12"/>
  <c r="T89" i="12"/>
  <c r="T79" i="12"/>
  <c r="T81" i="12" s="1"/>
  <c r="T7" i="12" s="1"/>
  <c r="S89" i="12"/>
  <c r="S90" i="12"/>
  <c r="R5" i="12"/>
  <c r="R79" i="12"/>
  <c r="R81" i="12" s="1"/>
  <c r="Q89" i="12"/>
  <c r="Q90" i="12"/>
  <c r="P5" i="12"/>
  <c r="P79" i="12"/>
  <c r="P81" i="12" s="1"/>
  <c r="O89" i="12"/>
  <c r="T90" i="12"/>
  <c r="AB90" i="12"/>
  <c r="R89" i="12"/>
  <c r="Z89" i="12"/>
  <c r="Z90" i="12" s="1"/>
  <c r="W79" i="12"/>
  <c r="W81" i="12" s="1"/>
  <c r="W7" i="12" s="1"/>
  <c r="AE79" i="12"/>
  <c r="AE81" i="12" s="1"/>
  <c r="AE7" i="12" s="1"/>
  <c r="O90" i="12"/>
  <c r="W90" i="12"/>
  <c r="N89" i="12"/>
  <c r="N90" i="12" s="1"/>
  <c r="V89" i="12"/>
  <c r="V90" i="12" s="1"/>
  <c r="AD89" i="12"/>
  <c r="B89" i="12"/>
  <c r="AH39" i="12"/>
  <c r="AG79" i="12"/>
  <c r="R90" i="12"/>
  <c r="P89" i="12"/>
  <c r="P90" i="12" s="1"/>
  <c r="X89" i="12"/>
  <c r="X90" i="12" s="1"/>
  <c r="AF89" i="12"/>
  <c r="S79" i="12"/>
  <c r="S81" i="12" s="1"/>
  <c r="AK238" i="12" s="1"/>
  <c r="AA79" i="12"/>
  <c r="AA81" i="12" s="1"/>
  <c r="AA7" i="12" s="1"/>
  <c r="U79" i="12"/>
  <c r="U81" i="12" s="1"/>
  <c r="U7" i="12" s="1"/>
  <c r="AC79" i="12"/>
  <c r="AC81" i="12" s="1"/>
  <c r="AC7" i="12" s="1"/>
  <c r="Y79" i="12"/>
  <c r="Y81" i="12" s="1"/>
  <c r="Y7" i="12" s="1"/>
  <c r="N79" i="12"/>
  <c r="N81" i="12" s="1"/>
  <c r="N7" i="12" s="1"/>
  <c r="M89" i="12"/>
  <c r="M90" i="12" s="1"/>
  <c r="O79" i="12"/>
  <c r="O81" i="12" s="1"/>
  <c r="AI62" i="12"/>
  <c r="Q79" i="12"/>
  <c r="Q81" i="12" s="1"/>
  <c r="Q7" i="12" s="1"/>
  <c r="M79" i="12"/>
  <c r="M81" i="12" s="1"/>
  <c r="AE238" i="12" s="1"/>
  <c r="L89" i="12"/>
  <c r="L90" i="12" s="1"/>
  <c r="K5" i="12"/>
  <c r="L79" i="12"/>
  <c r="L81" i="12" s="1"/>
  <c r="L82" i="12" s="1"/>
  <c r="J5" i="12"/>
  <c r="K79" i="12"/>
  <c r="K81" i="12" s="1"/>
  <c r="K7" i="12" s="1"/>
  <c r="J89" i="12"/>
  <c r="J90" i="12" s="1"/>
  <c r="J79" i="12"/>
  <c r="J81" i="12" s="1"/>
  <c r="AB238" i="12" s="1"/>
  <c r="I79" i="12"/>
  <c r="I81" i="12" s="1"/>
  <c r="I89" i="12"/>
  <c r="I90" i="12" s="1"/>
  <c r="AH86" i="12"/>
  <c r="H89" i="12"/>
  <c r="H90" i="12" s="1"/>
  <c r="G5" i="12"/>
  <c r="H79" i="12"/>
  <c r="H81" i="12" s="1"/>
  <c r="Z238" i="12" s="1"/>
  <c r="G89" i="12"/>
  <c r="G90" i="12"/>
  <c r="AI87" i="12"/>
  <c r="G79" i="12"/>
  <c r="G81" i="12" s="1"/>
  <c r="G7" i="12" s="1"/>
  <c r="F79" i="12"/>
  <c r="F81" i="12" s="1"/>
  <c r="F7" i="12" s="1"/>
  <c r="F89" i="12"/>
  <c r="F82" i="12" s="1"/>
  <c r="E89" i="12"/>
  <c r="E90" i="12" s="1"/>
  <c r="AH44" i="12"/>
  <c r="E79" i="12"/>
  <c r="E81" i="12" s="1"/>
  <c r="D89" i="12"/>
  <c r="D90" i="12" s="1"/>
  <c r="AI85" i="12"/>
  <c r="D79" i="12"/>
  <c r="D81" i="12" s="1"/>
  <c r="V238" i="12" s="1"/>
  <c r="AI44" i="12"/>
  <c r="AI86" i="12"/>
  <c r="AI84" i="12"/>
  <c r="AH85" i="12"/>
  <c r="C89" i="12"/>
  <c r="C90" i="12" s="1"/>
  <c r="B5" i="12"/>
  <c r="AI58" i="12"/>
  <c r="C79" i="12"/>
  <c r="C81" i="12" s="1"/>
  <c r="C7" i="12" s="1"/>
  <c r="AI40" i="12"/>
  <c r="B79" i="12"/>
  <c r="B81" i="12" s="1"/>
  <c r="B82" i="12" s="1"/>
  <c r="AH84" i="12"/>
  <c r="AI83" i="12"/>
  <c r="H4" i="12"/>
  <c r="X238" i="12"/>
  <c r="AD7" i="12"/>
  <c r="AV238" i="12"/>
  <c r="AD82" i="12"/>
  <c r="B90" i="12"/>
  <c r="AO238" i="12"/>
  <c r="W82" i="12"/>
  <c r="AD238" i="12"/>
  <c r="V7" i="12"/>
  <c r="AN238" i="12"/>
  <c r="Y238" i="12"/>
  <c r="G82" i="12"/>
  <c r="P7" i="12"/>
  <c r="AH238" i="12"/>
  <c r="AF7" i="12"/>
  <c r="AX238" i="12"/>
  <c r="AG81" i="12"/>
  <c r="AG3" i="12"/>
  <c r="AG6" i="12" s="1"/>
  <c r="I7" i="12"/>
  <c r="AA238" i="12"/>
  <c r="I82" i="12"/>
  <c r="U90" i="12"/>
  <c r="AC90" i="12"/>
  <c r="R7" i="12"/>
  <c r="AJ238" i="12"/>
  <c r="R82" i="12"/>
  <c r="AD90" i="12"/>
  <c r="G218" i="12"/>
  <c r="AC238" i="12"/>
  <c r="D235" i="12"/>
  <c r="AH58" i="12"/>
  <c r="AH62" i="12"/>
  <c r="AH74" i="12"/>
  <c r="E223" i="12"/>
  <c r="E224" i="12" s="1"/>
  <c r="AI74" i="12"/>
  <c r="AH83" i="12"/>
  <c r="AH40" i="12"/>
  <c r="AH87" i="12"/>
  <c r="B100" i="12"/>
  <c r="R103" i="11"/>
  <c r="R39" i="11"/>
  <c r="Q103" i="11"/>
  <c r="Q39" i="11"/>
  <c r="L7" i="12" l="1"/>
  <c r="O82" i="12"/>
  <c r="AF82" i="12"/>
  <c r="Z82" i="12"/>
  <c r="AR238" i="12"/>
  <c r="AE82" i="12"/>
  <c r="AC82" i="12"/>
  <c r="AU238" i="12"/>
  <c r="AB82" i="12"/>
  <c r="AP238" i="12"/>
  <c r="AT238" i="12"/>
  <c r="AS238" i="12"/>
  <c r="AA82" i="12"/>
  <c r="V82" i="12"/>
  <c r="U82" i="12"/>
  <c r="AM238" i="12"/>
  <c r="AL238" i="12"/>
  <c r="T82" i="12"/>
  <c r="S7" i="12"/>
  <c r="S82" i="12"/>
  <c r="N82" i="12"/>
  <c r="Y82" i="12"/>
  <c r="AQ238" i="12"/>
  <c r="AF238" i="12"/>
  <c r="P82" i="12"/>
  <c r="X82" i="12"/>
  <c r="AW238" i="12"/>
  <c r="F90" i="12"/>
  <c r="AI90" i="12" s="1"/>
  <c r="AF90" i="12"/>
  <c r="AH90" i="12" s="1"/>
  <c r="H7" i="12"/>
  <c r="E82" i="12"/>
  <c r="Q82" i="12"/>
  <c r="AI238" i="12"/>
  <c r="K82" i="12"/>
  <c r="AG238" i="12"/>
  <c r="O7" i="12"/>
  <c r="M82" i="12"/>
  <c r="M7" i="12"/>
  <c r="C233" i="12"/>
  <c r="K6" i="12" s="1"/>
  <c r="J7" i="12"/>
  <c r="J82" i="12"/>
  <c r="B233" i="12"/>
  <c r="H82" i="12"/>
  <c r="W238" i="12"/>
  <c r="E7" i="12"/>
  <c r="D7" i="12"/>
  <c r="D82" i="12"/>
  <c r="C82" i="12"/>
  <c r="U238" i="12"/>
  <c r="H218" i="12"/>
  <c r="AI89" i="12"/>
  <c r="AH89" i="12"/>
  <c r="AI79" i="12"/>
  <c r="AH79" i="12"/>
  <c r="D259" i="12"/>
  <c r="F223" i="12"/>
  <c r="E100" i="12"/>
  <c r="I218" i="12" l="1"/>
  <c r="E259" i="12"/>
  <c r="G223" i="12"/>
  <c r="F100" i="12"/>
  <c r="F224" i="12"/>
  <c r="B7" i="12"/>
  <c r="T238" i="12"/>
  <c r="AI81" i="12"/>
  <c r="AH81" i="12"/>
  <c r="A7" i="12" l="1"/>
  <c r="AJ8" i="12"/>
  <c r="F259" i="12"/>
  <c r="H223" i="12"/>
  <c r="G100" i="12"/>
  <c r="G224" i="12"/>
  <c r="AI82" i="12"/>
  <c r="AH82" i="12"/>
  <c r="J218" i="12"/>
  <c r="G259" i="12" l="1"/>
  <c r="I223" i="12"/>
  <c r="H100" i="12"/>
  <c r="H224" i="12"/>
  <c r="K218" i="12"/>
  <c r="L218" i="12" l="1"/>
  <c r="H259" i="12"/>
  <c r="J223" i="12"/>
  <c r="I224" i="12"/>
  <c r="I100" i="12"/>
  <c r="K223" i="12" l="1"/>
  <c r="I259" i="12"/>
  <c r="J224" i="12"/>
  <c r="J100" i="12"/>
  <c r="M218" i="12"/>
  <c r="N218" i="12" l="1"/>
  <c r="J259" i="12"/>
  <c r="L223" i="12"/>
  <c r="K100" i="12"/>
  <c r="K224" i="12"/>
  <c r="K259" i="12" l="1"/>
  <c r="M223" i="12"/>
  <c r="L224" i="12"/>
  <c r="L100" i="12"/>
  <c r="O218" i="12"/>
  <c r="P218" i="12" l="1"/>
  <c r="L259" i="12"/>
  <c r="N223" i="12"/>
  <c r="M100" i="12"/>
  <c r="M224" i="12"/>
  <c r="M259" i="12" l="1"/>
  <c r="O223" i="12"/>
  <c r="N224" i="12"/>
  <c r="N100" i="12"/>
  <c r="N259" i="12" l="1"/>
  <c r="P223" i="12"/>
  <c r="O224" i="12"/>
  <c r="O100" i="12"/>
  <c r="O259" i="12" l="1"/>
  <c r="P224" i="12"/>
  <c r="P100" i="12"/>
  <c r="AI100" i="12" l="1"/>
  <c r="AH100" i="12"/>
  <c r="P103" i="11" l="1"/>
  <c r="P39" i="11"/>
  <c r="O103" i="11" l="1"/>
  <c r="O39" i="11"/>
  <c r="N103" i="11"/>
  <c r="M103" i="11"/>
  <c r="M39" i="11"/>
  <c r="L39" i="11"/>
  <c r="K39" i="11"/>
  <c r="J39" i="11"/>
  <c r="I39" i="11"/>
  <c r="H39" i="11"/>
  <c r="G39" i="11"/>
  <c r="F39" i="11"/>
  <c r="E39" i="11"/>
  <c r="D103" i="11"/>
  <c r="D39" i="11"/>
  <c r="B103" i="11"/>
  <c r="C103" i="11"/>
  <c r="C39" i="11"/>
  <c r="B87" i="11"/>
  <c r="B86" i="11"/>
  <c r="B85" i="11"/>
  <c r="B84" i="11"/>
  <c r="B89" i="11" s="1"/>
  <c r="B83" i="11"/>
  <c r="B74" i="11"/>
  <c r="B62" i="11"/>
  <c r="B58" i="11"/>
  <c r="B44" i="11"/>
  <c r="B40" i="11"/>
  <c r="B39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B259" i="11"/>
  <c r="S234" i="11"/>
  <c r="AG224" i="11"/>
  <c r="AG57" i="11" s="1"/>
  <c r="AG58" i="11" s="1"/>
  <c r="AG3" i="11" s="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C224" i="11"/>
  <c r="D223" i="11"/>
  <c r="C259" i="11" s="1"/>
  <c r="B223" i="11"/>
  <c r="AF259" i="11" s="1"/>
  <c r="E222" i="11"/>
  <c r="F222" i="11" s="1"/>
  <c r="G222" i="11" s="1"/>
  <c r="H222" i="11" s="1"/>
  <c r="I222" i="11" s="1"/>
  <c r="J222" i="11" s="1"/>
  <c r="K222" i="11" s="1"/>
  <c r="L222" i="11" s="1"/>
  <c r="M222" i="11" s="1"/>
  <c r="N222" i="11" s="1"/>
  <c r="O222" i="11" s="1"/>
  <c r="P222" i="11" s="1"/>
  <c r="D222" i="11"/>
  <c r="B222" i="11"/>
  <c r="D221" i="11"/>
  <c r="E221" i="11" s="1"/>
  <c r="F221" i="11" s="1"/>
  <c r="G221" i="11" s="1"/>
  <c r="H221" i="11" s="1"/>
  <c r="I221" i="11" s="1"/>
  <c r="J221" i="11" s="1"/>
  <c r="K221" i="11" s="1"/>
  <c r="L221" i="11" s="1"/>
  <c r="M221" i="11" s="1"/>
  <c r="N221" i="11" s="1"/>
  <c r="O221" i="11" s="1"/>
  <c r="P221" i="11" s="1"/>
  <c r="B221" i="11"/>
  <c r="F220" i="11"/>
  <c r="G220" i="11" s="1"/>
  <c r="H220" i="11" s="1"/>
  <c r="I220" i="11" s="1"/>
  <c r="J220" i="11" s="1"/>
  <c r="K220" i="11" s="1"/>
  <c r="L220" i="11" s="1"/>
  <c r="M220" i="11" s="1"/>
  <c r="N220" i="11" s="1"/>
  <c r="O220" i="11" s="1"/>
  <c r="P220" i="11" s="1"/>
  <c r="E220" i="11"/>
  <c r="D220" i="11"/>
  <c r="B220" i="11"/>
  <c r="D219" i="11"/>
  <c r="E219" i="11" s="1"/>
  <c r="F219" i="11" s="1"/>
  <c r="G219" i="11" s="1"/>
  <c r="H219" i="11" s="1"/>
  <c r="I219" i="11" s="1"/>
  <c r="J219" i="11" s="1"/>
  <c r="K219" i="11" s="1"/>
  <c r="L219" i="11" s="1"/>
  <c r="M219" i="11" s="1"/>
  <c r="N219" i="11" s="1"/>
  <c r="O219" i="11" s="1"/>
  <c r="P219" i="11" s="1"/>
  <c r="B219" i="11"/>
  <c r="E218" i="11"/>
  <c r="D218" i="11"/>
  <c r="B218" i="11"/>
  <c r="B100" i="11" s="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I109" i="11"/>
  <c r="AH109" i="11"/>
  <c r="AI108" i="11"/>
  <c r="AH108" i="11"/>
  <c r="AI107" i="11"/>
  <c r="AH107" i="11"/>
  <c r="AI106" i="11"/>
  <c r="AH106" i="11"/>
  <c r="AI105" i="11"/>
  <c r="AH105" i="11"/>
  <c r="AI104" i="11"/>
  <c r="AH104" i="11"/>
  <c r="AI103" i="11"/>
  <c r="AH103" i="11"/>
  <c r="AI102" i="11"/>
  <c r="AH102" i="11"/>
  <c r="AI101" i="11"/>
  <c r="AH101" i="11"/>
  <c r="AF100" i="11"/>
  <c r="AE100" i="11"/>
  <c r="AD100" i="11"/>
  <c r="AC100" i="11"/>
  <c r="AB100" i="11"/>
  <c r="AA100" i="11"/>
  <c r="Z100" i="11"/>
  <c r="X100" i="11"/>
  <c r="W100" i="11"/>
  <c r="V100" i="11"/>
  <c r="U100" i="11"/>
  <c r="T100" i="11"/>
  <c r="S100" i="11"/>
  <c r="R100" i="11"/>
  <c r="Q100" i="11"/>
  <c r="C100" i="11"/>
  <c r="AI99" i="11"/>
  <c r="AH99" i="11"/>
  <c r="AI98" i="11"/>
  <c r="AH98" i="11"/>
  <c r="AI97" i="11"/>
  <c r="AH97" i="11"/>
  <c r="AI96" i="11"/>
  <c r="AH96" i="11"/>
  <c r="AI95" i="11"/>
  <c r="AH95" i="11"/>
  <c r="AI94" i="11"/>
  <c r="AH94" i="11"/>
  <c r="AI93" i="11"/>
  <c r="AH93" i="11"/>
  <c r="AI92" i="11"/>
  <c r="AH92" i="11"/>
  <c r="AI91" i="11"/>
  <c r="AH91" i="11"/>
  <c r="AI88" i="11"/>
  <c r="AH88" i="11"/>
  <c r="AF87" i="11"/>
  <c r="AE87" i="11"/>
  <c r="AD87" i="11"/>
  <c r="AC87" i="11"/>
  <c r="AB87" i="11"/>
  <c r="AA87" i="11"/>
  <c r="Z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AF86" i="11"/>
  <c r="AE86" i="11"/>
  <c r="AD86" i="11"/>
  <c r="AC86" i="11"/>
  <c r="AB86" i="11"/>
  <c r="AA86" i="11"/>
  <c r="Z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AF85" i="11"/>
  <c r="AE85" i="11"/>
  <c r="AD85" i="11"/>
  <c r="AC85" i="11"/>
  <c r="AB85" i="11"/>
  <c r="AA85" i="11"/>
  <c r="Z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AF84" i="11"/>
  <c r="AE84" i="11"/>
  <c r="AD84" i="11"/>
  <c r="AC84" i="11"/>
  <c r="AB84" i="11"/>
  <c r="AA84" i="11"/>
  <c r="Z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AF83" i="11"/>
  <c r="AE83" i="11"/>
  <c r="AD83" i="11"/>
  <c r="AC83" i="11"/>
  <c r="AB83" i="11"/>
  <c r="AB89" i="11" s="1"/>
  <c r="AA83" i="11"/>
  <c r="Z83" i="11"/>
  <c r="X83" i="11"/>
  <c r="W83" i="11"/>
  <c r="W89" i="11" s="1"/>
  <c r="V83" i="11"/>
  <c r="U83" i="11"/>
  <c r="T83" i="11"/>
  <c r="S83" i="11"/>
  <c r="R83" i="11"/>
  <c r="R89" i="11" s="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AI80" i="11"/>
  <c r="AH80" i="11"/>
  <c r="AI78" i="11"/>
  <c r="AH78" i="11"/>
  <c r="AG78" i="11"/>
  <c r="AI77" i="11"/>
  <c r="AH77" i="11"/>
  <c r="AI76" i="11"/>
  <c r="AH76" i="11"/>
  <c r="AI75" i="11"/>
  <c r="AH75" i="11"/>
  <c r="AG74" i="11"/>
  <c r="AF74" i="11"/>
  <c r="AE5" i="11" s="1"/>
  <c r="AE74" i="11"/>
  <c r="AD5" i="11" s="1"/>
  <c r="AD74" i="11"/>
  <c r="AC74" i="11"/>
  <c r="AB74" i="11"/>
  <c r="AA74" i="11"/>
  <c r="Z5" i="11" s="1"/>
  <c r="Z74" i="11"/>
  <c r="Y5" i="11" s="1"/>
  <c r="X74" i="11"/>
  <c r="W5" i="11" s="1"/>
  <c r="W74" i="11"/>
  <c r="V5" i="11" s="1"/>
  <c r="V74" i="11"/>
  <c r="U5" i="11" s="1"/>
  <c r="U74" i="11"/>
  <c r="T5" i="11" s="1"/>
  <c r="T74" i="11"/>
  <c r="S74" i="11"/>
  <c r="R5" i="11" s="1"/>
  <c r="R74" i="11"/>
  <c r="Q5" i="11" s="1"/>
  <c r="Q74" i="11"/>
  <c r="P5" i="11" s="1"/>
  <c r="P74" i="11"/>
  <c r="O5" i="11" s="1"/>
  <c r="O74" i="11"/>
  <c r="N5" i="11" s="1"/>
  <c r="N74" i="11"/>
  <c r="M5" i="11" s="1"/>
  <c r="M74" i="11"/>
  <c r="L5" i="11" s="1"/>
  <c r="L74" i="11"/>
  <c r="K74" i="11"/>
  <c r="J5" i="11" s="1"/>
  <c r="J74" i="11"/>
  <c r="I5" i="11" s="1"/>
  <c r="I74" i="11"/>
  <c r="H5" i="11" s="1"/>
  <c r="H74" i="11"/>
  <c r="G5" i="11" s="1"/>
  <c r="G74" i="11"/>
  <c r="F5" i="11" s="1"/>
  <c r="F74" i="11"/>
  <c r="E5" i="11" s="1"/>
  <c r="E74" i="11"/>
  <c r="D5" i="11" s="1"/>
  <c r="D74" i="11"/>
  <c r="C74" i="11"/>
  <c r="B5" i="11" s="1"/>
  <c r="AI73" i="11"/>
  <c r="AH73" i="11"/>
  <c r="AI72" i="11"/>
  <c r="AH72" i="11"/>
  <c r="AI71" i="11"/>
  <c r="AH71" i="11"/>
  <c r="AI70" i="11"/>
  <c r="AH70" i="11"/>
  <c r="AI69" i="11"/>
  <c r="AH69" i="11"/>
  <c r="AI68" i="11"/>
  <c r="AH68" i="11"/>
  <c r="AI67" i="11"/>
  <c r="AH67" i="11"/>
  <c r="AI66" i="11"/>
  <c r="AH66" i="11"/>
  <c r="AI65" i="11"/>
  <c r="AH65" i="11"/>
  <c r="AI64" i="11"/>
  <c r="AH64" i="11"/>
  <c r="AI63" i="11"/>
  <c r="AH63" i="11"/>
  <c r="AG62" i="11"/>
  <c r="AF62" i="11"/>
  <c r="AD62" i="11"/>
  <c r="AC62" i="11"/>
  <c r="AB62" i="11"/>
  <c r="AA62" i="11"/>
  <c r="Z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AI61" i="11"/>
  <c r="AH61" i="11"/>
  <c r="AI60" i="11"/>
  <c r="AH60" i="11"/>
  <c r="AI59" i="11"/>
  <c r="AH59" i="11"/>
  <c r="AF58" i="11"/>
  <c r="AE58" i="11"/>
  <c r="AD58" i="11"/>
  <c r="AC58" i="11"/>
  <c r="AB58" i="11"/>
  <c r="AA58" i="11"/>
  <c r="Z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AI57" i="11"/>
  <c r="AH57" i="11"/>
  <c r="AI56" i="11"/>
  <c r="AH56" i="11"/>
  <c r="AI55" i="11"/>
  <c r="AH55" i="11"/>
  <c r="AI54" i="11"/>
  <c r="AH54" i="11"/>
  <c r="AI53" i="11"/>
  <c r="AH53" i="11"/>
  <c r="AI52" i="11"/>
  <c r="AH52" i="11"/>
  <c r="AI51" i="11"/>
  <c r="AH51" i="11"/>
  <c r="AI50" i="11"/>
  <c r="AH50" i="11"/>
  <c r="AI49" i="11"/>
  <c r="AH49" i="11"/>
  <c r="AI48" i="11"/>
  <c r="AH48" i="11"/>
  <c r="AI47" i="11"/>
  <c r="AH47" i="11"/>
  <c r="AI46" i="11"/>
  <c r="AH46" i="11"/>
  <c r="AI45" i="11"/>
  <c r="AH45" i="11"/>
  <c r="AG44" i="11"/>
  <c r="AF44" i="11"/>
  <c r="AE44" i="11"/>
  <c r="AD44" i="11"/>
  <c r="AC44" i="11"/>
  <c r="AB44" i="11"/>
  <c r="AA44" i="11"/>
  <c r="Z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AI43" i="11"/>
  <c r="AH43" i="11"/>
  <c r="AI42" i="11"/>
  <c r="AH42" i="11"/>
  <c r="AI41" i="11"/>
  <c r="AH41" i="11"/>
  <c r="AG40" i="11"/>
  <c r="AF40" i="11"/>
  <c r="AC40" i="11"/>
  <c r="AB40" i="11"/>
  <c r="AA40" i="11"/>
  <c r="AA79" i="11" s="1"/>
  <c r="AA81" i="11" s="1"/>
  <c r="Z40" i="11"/>
  <c r="X40" i="11"/>
  <c r="W40" i="11"/>
  <c r="V40" i="11"/>
  <c r="U40" i="11"/>
  <c r="U79" i="11" s="1"/>
  <c r="U81" i="11" s="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AI38" i="11"/>
  <c r="AH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I13" i="11"/>
  <c r="AH13" i="11"/>
  <c r="AI12" i="11"/>
  <c r="AH12" i="11"/>
  <c r="AI11" i="11"/>
  <c r="AH11" i="11"/>
  <c r="AC5" i="11"/>
  <c r="AB5" i="11"/>
  <c r="X5" i="11"/>
  <c r="AG4" i="11"/>
  <c r="K4" i="11"/>
  <c r="B4" i="11"/>
  <c r="S235" i="11" s="1"/>
  <c r="AF103" i="10"/>
  <c r="AF39" i="10"/>
  <c r="AE103" i="10"/>
  <c r="AE39" i="10"/>
  <c r="AD39" i="10"/>
  <c r="AC39" i="10"/>
  <c r="AB39" i="10"/>
  <c r="AA103" i="10"/>
  <c r="AA41" i="10"/>
  <c r="AA39" i="10"/>
  <c r="Z103" i="10"/>
  <c r="Z39" i="10"/>
  <c r="Y39" i="10"/>
  <c r="W103" i="10"/>
  <c r="W100" i="10" s="1"/>
  <c r="X103" i="10"/>
  <c r="X39" i="10"/>
  <c r="W39" i="10"/>
  <c r="V103" i="10"/>
  <c r="V39" i="10"/>
  <c r="U103" i="10"/>
  <c r="U100" i="10" s="1"/>
  <c r="U39" i="10"/>
  <c r="T103" i="10"/>
  <c r="S103" i="10"/>
  <c r="S40" i="10"/>
  <c r="S39" i="10"/>
  <c r="R103" i="10"/>
  <c r="R39" i="10"/>
  <c r="Q103" i="10"/>
  <c r="Q100" i="10" s="1"/>
  <c r="Q39" i="10"/>
  <c r="P39" i="10"/>
  <c r="O39" i="10"/>
  <c r="N103" i="10"/>
  <c r="N39" i="10"/>
  <c r="M103" i="10"/>
  <c r="M39" i="10"/>
  <c r="L103" i="10"/>
  <c r="L39" i="10"/>
  <c r="K103" i="10"/>
  <c r="K39" i="10"/>
  <c r="J103" i="10"/>
  <c r="J39" i="10"/>
  <c r="I103" i="10"/>
  <c r="I39" i="10"/>
  <c r="H103" i="10"/>
  <c r="AL15" i="10"/>
  <c r="G103" i="10"/>
  <c r="G39" i="10"/>
  <c r="F103" i="10"/>
  <c r="F39" i="10"/>
  <c r="E103" i="10"/>
  <c r="E39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B259" i="10"/>
  <c r="S234" i="10"/>
  <c r="AG224" i="10"/>
  <c r="AG57" i="10" s="1"/>
  <c r="AG58" i="10" s="1"/>
  <c r="AG3" i="10" s="1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C224" i="10"/>
  <c r="D223" i="10"/>
  <c r="C259" i="10" s="1"/>
  <c r="B223" i="10"/>
  <c r="AF259" i="10" s="1"/>
  <c r="D222" i="10"/>
  <c r="E222" i="10" s="1"/>
  <c r="F222" i="10" s="1"/>
  <c r="G222" i="10" s="1"/>
  <c r="H222" i="10" s="1"/>
  <c r="I222" i="10" s="1"/>
  <c r="J222" i="10" s="1"/>
  <c r="K222" i="10" s="1"/>
  <c r="L222" i="10" s="1"/>
  <c r="M222" i="10" s="1"/>
  <c r="N222" i="10" s="1"/>
  <c r="O222" i="10" s="1"/>
  <c r="P222" i="10" s="1"/>
  <c r="B222" i="10"/>
  <c r="D221" i="10"/>
  <c r="E221" i="10" s="1"/>
  <c r="F221" i="10" s="1"/>
  <c r="G221" i="10" s="1"/>
  <c r="H221" i="10" s="1"/>
  <c r="I221" i="10" s="1"/>
  <c r="J221" i="10" s="1"/>
  <c r="K221" i="10" s="1"/>
  <c r="L221" i="10" s="1"/>
  <c r="M221" i="10" s="1"/>
  <c r="N221" i="10" s="1"/>
  <c r="O221" i="10" s="1"/>
  <c r="P221" i="10" s="1"/>
  <c r="B221" i="10"/>
  <c r="D220" i="10"/>
  <c r="E220" i="10" s="1"/>
  <c r="F220" i="10" s="1"/>
  <c r="G220" i="10" s="1"/>
  <c r="H220" i="10" s="1"/>
  <c r="I220" i="10" s="1"/>
  <c r="J220" i="10" s="1"/>
  <c r="K220" i="10" s="1"/>
  <c r="L220" i="10" s="1"/>
  <c r="M220" i="10" s="1"/>
  <c r="N220" i="10" s="1"/>
  <c r="O220" i="10" s="1"/>
  <c r="P220" i="10" s="1"/>
  <c r="B220" i="10"/>
  <c r="D219" i="10"/>
  <c r="E219" i="10" s="1"/>
  <c r="F219" i="10" s="1"/>
  <c r="G219" i="10" s="1"/>
  <c r="H219" i="10" s="1"/>
  <c r="I219" i="10" s="1"/>
  <c r="J219" i="10" s="1"/>
  <c r="K219" i="10" s="1"/>
  <c r="L219" i="10" s="1"/>
  <c r="M219" i="10" s="1"/>
  <c r="N219" i="10" s="1"/>
  <c r="O219" i="10" s="1"/>
  <c r="P219" i="10" s="1"/>
  <c r="B219" i="10"/>
  <c r="D218" i="10"/>
  <c r="B218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I109" i="10"/>
  <c r="AH109" i="10"/>
  <c r="AI108" i="10"/>
  <c r="AH108" i="10"/>
  <c r="AI107" i="10"/>
  <c r="AH107" i="10"/>
  <c r="AI106" i="10"/>
  <c r="AH106" i="10"/>
  <c r="AI105" i="10"/>
  <c r="AH105" i="10"/>
  <c r="AI104" i="10"/>
  <c r="AH104" i="10"/>
  <c r="AI102" i="10"/>
  <c r="AH102" i="10"/>
  <c r="AI101" i="10"/>
  <c r="AH101" i="10"/>
  <c r="AF100" i="10"/>
  <c r="AE100" i="10"/>
  <c r="AD100" i="10"/>
  <c r="AC100" i="10"/>
  <c r="AB100" i="10"/>
  <c r="AA100" i="10"/>
  <c r="X100" i="10"/>
  <c r="V100" i="10"/>
  <c r="T100" i="10"/>
  <c r="S100" i="10"/>
  <c r="R100" i="10"/>
  <c r="D100" i="10"/>
  <c r="C100" i="10"/>
  <c r="B100" i="10"/>
  <c r="AI99" i="10"/>
  <c r="AH99" i="10"/>
  <c r="AI98" i="10"/>
  <c r="AH98" i="10"/>
  <c r="AI97" i="10"/>
  <c r="AH97" i="10"/>
  <c r="AI96" i="10"/>
  <c r="AH96" i="10"/>
  <c r="AI95" i="10"/>
  <c r="AH95" i="10"/>
  <c r="AI94" i="10"/>
  <c r="AH94" i="10"/>
  <c r="AI93" i="10"/>
  <c r="AH93" i="10"/>
  <c r="AI92" i="10"/>
  <c r="AH92" i="10"/>
  <c r="AI91" i="10"/>
  <c r="AH91" i="10"/>
  <c r="AI88" i="10"/>
  <c r="AH88" i="10"/>
  <c r="AF87" i="10"/>
  <c r="AE87" i="10"/>
  <c r="AD87" i="10"/>
  <c r="AC87" i="10"/>
  <c r="AB87" i="10"/>
  <c r="AA87" i="10"/>
  <c r="Z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I87" i="10" s="1"/>
  <c r="AF86" i="10"/>
  <c r="AE86" i="10"/>
  <c r="AD86" i="10"/>
  <c r="AC86" i="10"/>
  <c r="AB86" i="10"/>
  <c r="AA86" i="10"/>
  <c r="Z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F85" i="10"/>
  <c r="AE85" i="10"/>
  <c r="AD85" i="10"/>
  <c r="AC85" i="10"/>
  <c r="AB85" i="10"/>
  <c r="AA85" i="10"/>
  <c r="Z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F84" i="10"/>
  <c r="AE84" i="10"/>
  <c r="AD84" i="10"/>
  <c r="AC84" i="10"/>
  <c r="AB84" i="10"/>
  <c r="AA84" i="10"/>
  <c r="Z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F83" i="10"/>
  <c r="AE83" i="10"/>
  <c r="AD83" i="10"/>
  <c r="AC83" i="10"/>
  <c r="AB83" i="10"/>
  <c r="AA83" i="10"/>
  <c r="Z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I80" i="10"/>
  <c r="AH80" i="10"/>
  <c r="AI78" i="10"/>
  <c r="AH78" i="10"/>
  <c r="AG78" i="10"/>
  <c r="AI77" i="10"/>
  <c r="AH77" i="10"/>
  <c r="AI76" i="10"/>
  <c r="AH76" i="10"/>
  <c r="AI75" i="10"/>
  <c r="AH75" i="10"/>
  <c r="AG74" i="10"/>
  <c r="AF74" i="10"/>
  <c r="AE5" i="10" s="1"/>
  <c r="AE74" i="10"/>
  <c r="AD74" i="10"/>
  <c r="AC5" i="10" s="1"/>
  <c r="AC74" i="10"/>
  <c r="AB5" i="10" s="1"/>
  <c r="AB74" i="10"/>
  <c r="AA74" i="10"/>
  <c r="Z74" i="10"/>
  <c r="X74" i="10"/>
  <c r="W5" i="10" s="1"/>
  <c r="W74" i="10"/>
  <c r="V5" i="10" s="1"/>
  <c r="V74" i="10"/>
  <c r="U74" i="10"/>
  <c r="T74" i="10"/>
  <c r="S5" i="10" s="1"/>
  <c r="S74" i="10"/>
  <c r="R74" i="10"/>
  <c r="Q5" i="10" s="1"/>
  <c r="Q74" i="10"/>
  <c r="P5" i="10" s="1"/>
  <c r="P74" i="10"/>
  <c r="O5" i="10" s="1"/>
  <c r="O74" i="10"/>
  <c r="N5" i="10" s="1"/>
  <c r="N74" i="10"/>
  <c r="M5" i="10" s="1"/>
  <c r="M74" i="10"/>
  <c r="L74" i="10"/>
  <c r="K74" i="10"/>
  <c r="J74" i="10"/>
  <c r="I74" i="10"/>
  <c r="H74" i="10"/>
  <c r="G5" i="10" s="1"/>
  <c r="G74" i="10"/>
  <c r="F5" i="10" s="1"/>
  <c r="F74" i="10"/>
  <c r="E5" i="10" s="1"/>
  <c r="E74" i="10"/>
  <c r="D74" i="10"/>
  <c r="C74" i="10"/>
  <c r="B74" i="10"/>
  <c r="AF5" i="10" s="1"/>
  <c r="AI73" i="10"/>
  <c r="AH73" i="10"/>
  <c r="AI72" i="10"/>
  <c r="AH72" i="10"/>
  <c r="AI71" i="10"/>
  <c r="AH71" i="10"/>
  <c r="AI70" i="10"/>
  <c r="AH70" i="10"/>
  <c r="AI69" i="10"/>
  <c r="AH69" i="10"/>
  <c r="AI68" i="10"/>
  <c r="AH68" i="10"/>
  <c r="AI67" i="10"/>
  <c r="AH67" i="10"/>
  <c r="AI66" i="10"/>
  <c r="AH66" i="10"/>
  <c r="AI65" i="10"/>
  <c r="AH65" i="10"/>
  <c r="AI64" i="10"/>
  <c r="AH64" i="10"/>
  <c r="AI63" i="10"/>
  <c r="AH63" i="10"/>
  <c r="AG62" i="10"/>
  <c r="AG4" i="10" s="1"/>
  <c r="AF62" i="10"/>
  <c r="AE62" i="10"/>
  <c r="AD62" i="10"/>
  <c r="AC62" i="10"/>
  <c r="AB62" i="10"/>
  <c r="AA62" i="10"/>
  <c r="Z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I61" i="10"/>
  <c r="AH61" i="10"/>
  <c r="AI60" i="10"/>
  <c r="AH60" i="10"/>
  <c r="AI59" i="10"/>
  <c r="AH59" i="10"/>
  <c r="AF58" i="10"/>
  <c r="AE58" i="10"/>
  <c r="AD58" i="10"/>
  <c r="AC58" i="10"/>
  <c r="AB58" i="10"/>
  <c r="AA58" i="10"/>
  <c r="Z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I57" i="10"/>
  <c r="AH57" i="10"/>
  <c r="AI56" i="10"/>
  <c r="AH56" i="10"/>
  <c r="AI55" i="10"/>
  <c r="AH55" i="10"/>
  <c r="AI54" i="10"/>
  <c r="AH54" i="10"/>
  <c r="AI53" i="10"/>
  <c r="AH53" i="10"/>
  <c r="AI52" i="10"/>
  <c r="AH52" i="10"/>
  <c r="AI51" i="10"/>
  <c r="AH51" i="10"/>
  <c r="AI50" i="10"/>
  <c r="AH50" i="10"/>
  <c r="AI49" i="10"/>
  <c r="AH49" i="10"/>
  <c r="AI48" i="10"/>
  <c r="AH48" i="10"/>
  <c r="AI47" i="10"/>
  <c r="AH47" i="10"/>
  <c r="AI46" i="10"/>
  <c r="AH46" i="10"/>
  <c r="AI45" i="10"/>
  <c r="AH45" i="10"/>
  <c r="AG44" i="10"/>
  <c r="AF44" i="10"/>
  <c r="AE44" i="10"/>
  <c r="AD44" i="10"/>
  <c r="AC44" i="10"/>
  <c r="AB44" i="10"/>
  <c r="AA44" i="10"/>
  <c r="Z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I43" i="10"/>
  <c r="AH43" i="10"/>
  <c r="AI42" i="10"/>
  <c r="AH42" i="10"/>
  <c r="AI41" i="10"/>
  <c r="AH41" i="10"/>
  <c r="AG40" i="10"/>
  <c r="AG2" i="10" s="1"/>
  <c r="AF40" i="10"/>
  <c r="AE40" i="10"/>
  <c r="AD40" i="10"/>
  <c r="AC40" i="10"/>
  <c r="AB40" i="10"/>
  <c r="AA40" i="10"/>
  <c r="Z40" i="10"/>
  <c r="X40" i="10"/>
  <c r="W40" i="10"/>
  <c r="V40" i="10"/>
  <c r="U40" i="10"/>
  <c r="T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I38" i="10"/>
  <c r="AH38" i="10"/>
  <c r="AI37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I13" i="10"/>
  <c r="AH13" i="10"/>
  <c r="AI12" i="10"/>
  <c r="AH12" i="10"/>
  <c r="AI11" i="10"/>
  <c r="AH11" i="10"/>
  <c r="AD5" i="10"/>
  <c r="Z5" i="10"/>
  <c r="Y5" i="10"/>
  <c r="X5" i="10"/>
  <c r="U5" i="10"/>
  <c r="K4" i="10"/>
  <c r="B4" i="10"/>
  <c r="S235" i="10" s="1"/>
  <c r="AC39" i="9"/>
  <c r="AB103" i="9"/>
  <c r="AB39" i="9"/>
  <c r="AA103" i="9"/>
  <c r="AA39" i="9"/>
  <c r="Z103" i="9"/>
  <c r="Z39" i="9"/>
  <c r="Y103" i="9"/>
  <c r="X103" i="9"/>
  <c r="X39" i="9"/>
  <c r="W103" i="9"/>
  <c r="W39" i="9"/>
  <c r="V103" i="9"/>
  <c r="V39" i="9"/>
  <c r="U103" i="9"/>
  <c r="U39" i="9"/>
  <c r="T103" i="9"/>
  <c r="T39" i="9"/>
  <c r="S103" i="9"/>
  <c r="S39" i="9"/>
  <c r="R39" i="9"/>
  <c r="Q39" i="9"/>
  <c r="P39" i="9"/>
  <c r="E4" i="11"/>
  <c r="E4" i="10"/>
  <c r="AH87" i="10" l="1"/>
  <c r="E223" i="11"/>
  <c r="S89" i="11"/>
  <c r="AI103" i="10"/>
  <c r="D224" i="11"/>
  <c r="U89" i="11"/>
  <c r="E100" i="11"/>
  <c r="AI39" i="10"/>
  <c r="AG81" i="11"/>
  <c r="N89" i="11"/>
  <c r="AE89" i="11"/>
  <c r="AE90" i="11" s="1"/>
  <c r="AG6" i="10"/>
  <c r="P89" i="11"/>
  <c r="P90" i="11" s="1"/>
  <c r="X89" i="11"/>
  <c r="B90" i="11"/>
  <c r="AF89" i="11"/>
  <c r="AF90" i="11" s="1"/>
  <c r="AF79" i="11"/>
  <c r="AF81" i="11" s="1"/>
  <c r="AE79" i="11"/>
  <c r="AE81" i="11" s="1"/>
  <c r="AD89" i="11"/>
  <c r="AD90" i="11"/>
  <c r="AD79" i="11"/>
  <c r="AD81" i="11" s="1"/>
  <c r="AC89" i="11"/>
  <c r="AC79" i="11"/>
  <c r="AC81" i="11" s="1"/>
  <c r="AC7" i="11" s="1"/>
  <c r="AB90" i="11"/>
  <c r="AB79" i="11"/>
  <c r="AB81" i="11" s="1"/>
  <c r="AA89" i="11"/>
  <c r="AA90" i="11" s="1"/>
  <c r="Z89" i="11"/>
  <c r="Z79" i="11"/>
  <c r="Z81" i="11" s="1"/>
  <c r="X79" i="11"/>
  <c r="X81" i="11" s="1"/>
  <c r="V89" i="11"/>
  <c r="V90" i="11" s="1"/>
  <c r="AI84" i="11"/>
  <c r="V79" i="11"/>
  <c r="V81" i="11" s="1"/>
  <c r="W79" i="11"/>
  <c r="W81" i="11" s="1"/>
  <c r="W90" i="11"/>
  <c r="X90" i="11"/>
  <c r="Z90" i="11"/>
  <c r="T89" i="11"/>
  <c r="T90" i="11"/>
  <c r="T79" i="11"/>
  <c r="T81" i="11" s="1"/>
  <c r="T82" i="11" s="1"/>
  <c r="S90" i="11"/>
  <c r="S79" i="11"/>
  <c r="S81" i="11" s="1"/>
  <c r="R90" i="11"/>
  <c r="R79" i="11"/>
  <c r="R81" i="11" s="1"/>
  <c r="Q79" i="11"/>
  <c r="Q81" i="11" s="1"/>
  <c r="Q89" i="11"/>
  <c r="Q90" i="11" s="1"/>
  <c r="P79" i="11"/>
  <c r="P81" i="11" s="1"/>
  <c r="P7" i="11" s="1"/>
  <c r="O89" i="11"/>
  <c r="O90" i="11" s="1"/>
  <c r="O79" i="11"/>
  <c r="O81" i="11" s="1"/>
  <c r="N90" i="11"/>
  <c r="N79" i="11"/>
  <c r="N81" i="11" s="1"/>
  <c r="M79" i="11"/>
  <c r="M81" i="11" s="1"/>
  <c r="M7" i="11" s="1"/>
  <c r="M89" i="11"/>
  <c r="L89" i="11"/>
  <c r="L90" i="11" s="1"/>
  <c r="L79" i="11"/>
  <c r="L81" i="11" s="1"/>
  <c r="AI39" i="11"/>
  <c r="K79" i="11"/>
  <c r="K81" i="11" s="1"/>
  <c r="AC238" i="11" s="1"/>
  <c r="K89" i="11"/>
  <c r="K90" i="11" s="1"/>
  <c r="J89" i="11"/>
  <c r="J90" i="11"/>
  <c r="J79" i="11"/>
  <c r="J81" i="11" s="1"/>
  <c r="AB238" i="11" s="1"/>
  <c r="I89" i="11"/>
  <c r="I90" i="11" s="1"/>
  <c r="I79" i="11"/>
  <c r="I81" i="11" s="1"/>
  <c r="I7" i="11" s="1"/>
  <c r="AI83" i="11"/>
  <c r="H89" i="11"/>
  <c r="H90" i="11" s="1"/>
  <c r="H79" i="11"/>
  <c r="H81" i="11" s="1"/>
  <c r="H7" i="11" s="1"/>
  <c r="G89" i="11"/>
  <c r="G90" i="11" s="1"/>
  <c r="G79" i="11"/>
  <c r="G81" i="11" s="1"/>
  <c r="G82" i="11" s="1"/>
  <c r="F79" i="11"/>
  <c r="F81" i="11" s="1"/>
  <c r="F7" i="11" s="1"/>
  <c r="F89" i="11"/>
  <c r="F90" i="11" s="1"/>
  <c r="AI85" i="11"/>
  <c r="E89" i="11"/>
  <c r="AH84" i="11"/>
  <c r="E79" i="11"/>
  <c r="E81" i="11" s="1"/>
  <c r="AI44" i="11"/>
  <c r="D89" i="11"/>
  <c r="D90" i="11" s="1"/>
  <c r="D79" i="11"/>
  <c r="D81" i="11" s="1"/>
  <c r="V238" i="11" s="1"/>
  <c r="AF5" i="11"/>
  <c r="AI58" i="11"/>
  <c r="B79" i="11"/>
  <c r="B81" i="11" s="1"/>
  <c r="B82" i="11" s="1"/>
  <c r="AH85" i="11"/>
  <c r="AI86" i="11"/>
  <c r="C89" i="11"/>
  <c r="C90" i="11" s="1"/>
  <c r="AI87" i="11"/>
  <c r="AH62" i="11"/>
  <c r="C79" i="11"/>
  <c r="C81" i="11" s="1"/>
  <c r="C7" i="11" s="1"/>
  <c r="AH58" i="11"/>
  <c r="AH40" i="11"/>
  <c r="AH39" i="11"/>
  <c r="AI62" i="11"/>
  <c r="H4" i="11"/>
  <c r="R7" i="11"/>
  <c r="AJ238" i="11"/>
  <c r="R82" i="11"/>
  <c r="U238" i="11"/>
  <c r="K82" i="11"/>
  <c r="S7" i="11"/>
  <c r="S82" i="11"/>
  <c r="AK238" i="11"/>
  <c r="AA7" i="11"/>
  <c r="AA82" i="11"/>
  <c r="AS238" i="11"/>
  <c r="L7" i="11"/>
  <c r="AL238" i="11"/>
  <c r="T7" i="11"/>
  <c r="AT238" i="11"/>
  <c r="AB82" i="11"/>
  <c r="AB7" i="11"/>
  <c r="U7" i="11"/>
  <c r="AM238" i="11"/>
  <c r="U82" i="11"/>
  <c r="J7" i="11"/>
  <c r="N7" i="11"/>
  <c r="AF238" i="11"/>
  <c r="N82" i="11"/>
  <c r="V7" i="11"/>
  <c r="AN238" i="11"/>
  <c r="V82" i="11"/>
  <c r="AD7" i="11"/>
  <c r="AV238" i="11"/>
  <c r="AD82" i="11"/>
  <c r="Y238" i="11"/>
  <c r="AG238" i="11"/>
  <c r="O82" i="11"/>
  <c r="O7" i="11"/>
  <c r="AO238" i="11"/>
  <c r="W82" i="11"/>
  <c r="W7" i="11"/>
  <c r="AW238" i="11"/>
  <c r="AE82" i="11"/>
  <c r="AE7" i="11"/>
  <c r="Z7" i="11"/>
  <c r="AR238" i="11"/>
  <c r="Z82" i="11"/>
  <c r="X7" i="11"/>
  <c r="AP238" i="11"/>
  <c r="X82" i="11"/>
  <c r="AF7" i="11"/>
  <c r="AX238" i="11"/>
  <c r="AF82" i="11"/>
  <c r="E90" i="11"/>
  <c r="M90" i="11"/>
  <c r="U90" i="11"/>
  <c r="AC90" i="11"/>
  <c r="Q7" i="11"/>
  <c r="AI238" i="11"/>
  <c r="Q82" i="11"/>
  <c r="Y7" i="11"/>
  <c r="AQ238" i="11"/>
  <c r="AG79" i="11"/>
  <c r="AH44" i="11"/>
  <c r="F218" i="11"/>
  <c r="D100" i="11"/>
  <c r="E224" i="11"/>
  <c r="D235" i="11"/>
  <c r="AH74" i="11"/>
  <c r="AG2" i="11"/>
  <c r="AG6" i="11" s="1"/>
  <c r="C5" i="11"/>
  <c r="K5" i="11"/>
  <c r="S5" i="11"/>
  <c r="AA5" i="11"/>
  <c r="AI74" i="11"/>
  <c r="AH83" i="11"/>
  <c r="AI40" i="11"/>
  <c r="AH86" i="11"/>
  <c r="B224" i="11"/>
  <c r="AH87" i="11"/>
  <c r="AF89" i="10"/>
  <c r="AF79" i="10"/>
  <c r="AF81" i="10" s="1"/>
  <c r="AX238" i="10" s="1"/>
  <c r="AE89" i="10"/>
  <c r="AD89" i="10"/>
  <c r="AD82" i="10" s="1"/>
  <c r="AE79" i="10"/>
  <c r="AE81" i="10" s="1"/>
  <c r="AB89" i="10"/>
  <c r="AB90" i="10" s="1"/>
  <c r="AA5" i="10"/>
  <c r="AA79" i="10"/>
  <c r="AA81" i="10" s="1"/>
  <c r="E223" i="10"/>
  <c r="P89" i="10"/>
  <c r="X89" i="10"/>
  <c r="D224" i="10"/>
  <c r="AB79" i="10"/>
  <c r="AB81" i="10" s="1"/>
  <c r="AT238" i="10" s="1"/>
  <c r="AH103" i="10"/>
  <c r="J89" i="10"/>
  <c r="AA89" i="10"/>
  <c r="AA90" i="10" s="1"/>
  <c r="AD79" i="10"/>
  <c r="AD81" i="10" s="1"/>
  <c r="AV238" i="10" s="1"/>
  <c r="AC89" i="10"/>
  <c r="AC90" i="10" s="1"/>
  <c r="B224" i="10"/>
  <c r="AC79" i="10"/>
  <c r="AC81" i="10" s="1"/>
  <c r="AC7" i="10" s="1"/>
  <c r="Z89" i="10"/>
  <c r="Z90" i="10"/>
  <c r="Z79" i="10"/>
  <c r="Z81" i="10" s="1"/>
  <c r="X79" i="10"/>
  <c r="X81" i="10" s="1"/>
  <c r="W89" i="10"/>
  <c r="W79" i="10"/>
  <c r="W81" i="10" s="1"/>
  <c r="AO238" i="10" s="1"/>
  <c r="V89" i="10"/>
  <c r="V79" i="10"/>
  <c r="V81" i="10" s="1"/>
  <c r="V7" i="10" s="1"/>
  <c r="AH39" i="10"/>
  <c r="U89" i="10"/>
  <c r="U90" i="10" s="1"/>
  <c r="T5" i="10"/>
  <c r="U79" i="10"/>
  <c r="U81" i="10" s="1"/>
  <c r="T89" i="10"/>
  <c r="T90" i="10" s="1"/>
  <c r="T79" i="10"/>
  <c r="T81" i="10" s="1"/>
  <c r="T7" i="10" s="1"/>
  <c r="S89" i="10"/>
  <c r="S90" i="10" s="1"/>
  <c r="R5" i="10"/>
  <c r="S79" i="10"/>
  <c r="S81" i="10" s="1"/>
  <c r="R79" i="10"/>
  <c r="R81" i="10" s="1"/>
  <c r="R82" i="10" s="1"/>
  <c r="Q89" i="10"/>
  <c r="Q90" i="10" s="1"/>
  <c r="Q79" i="10"/>
  <c r="Q81" i="10" s="1"/>
  <c r="R89" i="10"/>
  <c r="R90" i="10" s="1"/>
  <c r="P79" i="10"/>
  <c r="P81" i="10" s="1"/>
  <c r="AH238" i="10" s="1"/>
  <c r="O79" i="10"/>
  <c r="O81" i="10" s="1"/>
  <c r="AG238" i="10" s="1"/>
  <c r="O89" i="10"/>
  <c r="N79" i="10"/>
  <c r="N81" i="10" s="1"/>
  <c r="N89" i="10"/>
  <c r="N90" i="10" s="1"/>
  <c r="L5" i="10"/>
  <c r="M89" i="10"/>
  <c r="M90" i="10" s="1"/>
  <c r="M79" i="10"/>
  <c r="M81" i="10" s="1"/>
  <c r="M7" i="10" s="1"/>
  <c r="L79" i="10"/>
  <c r="L81" i="10" s="1"/>
  <c r="L7" i="10" s="1"/>
  <c r="K5" i="10"/>
  <c r="L89" i="10"/>
  <c r="L90" i="10" s="1"/>
  <c r="K89" i="10"/>
  <c r="K90" i="10" s="1"/>
  <c r="J5" i="10"/>
  <c r="J90" i="10"/>
  <c r="I5" i="10"/>
  <c r="J79" i="10"/>
  <c r="J81" i="10" s="1"/>
  <c r="J7" i="10" s="1"/>
  <c r="K79" i="10"/>
  <c r="K81" i="10" s="1"/>
  <c r="K82" i="10" s="1"/>
  <c r="I89" i="10"/>
  <c r="I90" i="10" s="1"/>
  <c r="AI83" i="10"/>
  <c r="H5" i="10"/>
  <c r="I79" i="10"/>
  <c r="I81" i="10" s="1"/>
  <c r="AA238" i="10" s="1"/>
  <c r="H89" i="10"/>
  <c r="G89" i="10"/>
  <c r="G90" i="10" s="1"/>
  <c r="G79" i="10"/>
  <c r="G81" i="10" s="1"/>
  <c r="Y238" i="10" s="1"/>
  <c r="H79" i="10"/>
  <c r="H81" i="10" s="1"/>
  <c r="Z238" i="10" s="1"/>
  <c r="F89" i="10"/>
  <c r="F79" i="10"/>
  <c r="F81" i="10" s="1"/>
  <c r="X238" i="10" s="1"/>
  <c r="AI86" i="10"/>
  <c r="D5" i="10"/>
  <c r="E89" i="10"/>
  <c r="E90" i="10" s="1"/>
  <c r="E79" i="10"/>
  <c r="E81" i="10" s="1"/>
  <c r="W238" i="10" s="1"/>
  <c r="AI85" i="10"/>
  <c r="C5" i="10"/>
  <c r="D89" i="10"/>
  <c r="D90" i="10" s="1"/>
  <c r="D79" i="10"/>
  <c r="D81" i="10" s="1"/>
  <c r="D7" i="10" s="1"/>
  <c r="AI84" i="10"/>
  <c r="C89" i="10"/>
  <c r="C90" i="10" s="1"/>
  <c r="B5" i="10"/>
  <c r="AI62" i="10"/>
  <c r="AI58" i="10"/>
  <c r="AI44" i="10"/>
  <c r="C79" i="10"/>
  <c r="C81" i="10" s="1"/>
  <c r="U238" i="10" s="1"/>
  <c r="AH85" i="10"/>
  <c r="AH86" i="10"/>
  <c r="AI40" i="10"/>
  <c r="H4" i="10"/>
  <c r="U7" i="10"/>
  <c r="AM238" i="10"/>
  <c r="N7" i="10"/>
  <c r="AF238" i="10"/>
  <c r="AN238" i="10"/>
  <c r="V82" i="10"/>
  <c r="W82" i="10"/>
  <c r="AW238" i="10"/>
  <c r="AE82" i="10"/>
  <c r="AE7" i="10"/>
  <c r="P7" i="10"/>
  <c r="AF7" i="10"/>
  <c r="AF82" i="10"/>
  <c r="X7" i="10"/>
  <c r="AP238" i="10"/>
  <c r="X82" i="10"/>
  <c r="Q7" i="10"/>
  <c r="AI238" i="10"/>
  <c r="Q82" i="10"/>
  <c r="Y7" i="10"/>
  <c r="AQ238" i="10"/>
  <c r="AG79" i="10"/>
  <c r="AJ238" i="10"/>
  <c r="Z7" i="10"/>
  <c r="AR238" i="10"/>
  <c r="Z82" i="10"/>
  <c r="F90" i="10"/>
  <c r="V90" i="10"/>
  <c r="AD90" i="10"/>
  <c r="C7" i="10"/>
  <c r="S7" i="10"/>
  <c r="AK238" i="10"/>
  <c r="S82" i="10"/>
  <c r="AA7" i="10"/>
  <c r="AS238" i="10"/>
  <c r="AA82" i="10"/>
  <c r="O90" i="10"/>
  <c r="W90" i="10"/>
  <c r="AE90" i="10"/>
  <c r="V238" i="10"/>
  <c r="AL238" i="10"/>
  <c r="H90" i="10"/>
  <c r="P90" i="10"/>
  <c r="X90" i="10"/>
  <c r="AF90" i="10"/>
  <c r="AG81" i="10"/>
  <c r="D235" i="10"/>
  <c r="AH58" i="10"/>
  <c r="AH62" i="10"/>
  <c r="AH74" i="10"/>
  <c r="AI74" i="10"/>
  <c r="AH83" i="10"/>
  <c r="B89" i="10"/>
  <c r="B90" i="10" s="1"/>
  <c r="AH84" i="10"/>
  <c r="E218" i="10"/>
  <c r="AH40" i="10"/>
  <c r="AH44" i="10"/>
  <c r="B79" i="10"/>
  <c r="AA238" i="11" l="1"/>
  <c r="P82" i="11"/>
  <c r="N82" i="10"/>
  <c r="T82" i="10"/>
  <c r="W7" i="10"/>
  <c r="AH238" i="11"/>
  <c r="AC82" i="11"/>
  <c r="P82" i="10"/>
  <c r="AU238" i="11"/>
  <c r="E82" i="11"/>
  <c r="F223" i="11"/>
  <c r="D259" i="11"/>
  <c r="AD238" i="10"/>
  <c r="I82" i="11"/>
  <c r="M82" i="11"/>
  <c r="AE238" i="11"/>
  <c r="L82" i="11"/>
  <c r="AD238" i="11"/>
  <c r="K7" i="11"/>
  <c r="D7" i="11"/>
  <c r="D82" i="11"/>
  <c r="J82" i="11"/>
  <c r="H82" i="11"/>
  <c r="Z238" i="11"/>
  <c r="G7" i="11"/>
  <c r="B233" i="11"/>
  <c r="C233" i="11"/>
  <c r="W238" i="11"/>
  <c r="F82" i="11"/>
  <c r="X238" i="11"/>
  <c r="E7" i="11"/>
  <c r="C82" i="11"/>
  <c r="G218" i="11"/>
  <c r="F100" i="11"/>
  <c r="F224" i="11"/>
  <c r="AH79" i="11"/>
  <c r="AI79" i="11"/>
  <c r="AI89" i="11"/>
  <c r="AH89" i="11"/>
  <c r="AD7" i="10"/>
  <c r="AC82" i="10"/>
  <c r="AU238" i="10"/>
  <c r="AB82" i="10"/>
  <c r="AB7" i="10"/>
  <c r="R7" i="10"/>
  <c r="L82" i="10"/>
  <c r="U82" i="10"/>
  <c r="D259" i="10"/>
  <c r="F223" i="10"/>
  <c r="O7" i="10"/>
  <c r="O82" i="10"/>
  <c r="M82" i="10"/>
  <c r="AE238" i="10"/>
  <c r="K7" i="10"/>
  <c r="AC238" i="10"/>
  <c r="J82" i="10"/>
  <c r="AB238" i="10"/>
  <c r="I82" i="10"/>
  <c r="I7" i="10"/>
  <c r="H7" i="10"/>
  <c r="F7" i="10"/>
  <c r="H82" i="10"/>
  <c r="F82" i="10"/>
  <c r="G7" i="10"/>
  <c r="C233" i="10"/>
  <c r="B233" i="10"/>
  <c r="G82" i="10"/>
  <c r="E7" i="10"/>
  <c r="E82" i="10"/>
  <c r="D82" i="10"/>
  <c r="C82" i="10"/>
  <c r="AI90" i="10"/>
  <c r="AH90" i="10"/>
  <c r="F218" i="10"/>
  <c r="E100" i="10"/>
  <c r="E224" i="10"/>
  <c r="AI89" i="10"/>
  <c r="AH89" i="10"/>
  <c r="AI79" i="10"/>
  <c r="AH79" i="10"/>
  <c r="B81" i="10"/>
  <c r="E259" i="11" l="1"/>
  <c r="G223" i="11"/>
  <c r="K6" i="11"/>
  <c r="H218" i="11"/>
  <c r="G100" i="11"/>
  <c r="G224" i="11"/>
  <c r="AI90" i="11"/>
  <c r="AH90" i="11"/>
  <c r="B7" i="11"/>
  <c r="A7" i="11" s="1"/>
  <c r="T238" i="11"/>
  <c r="AI81" i="11"/>
  <c r="AH81" i="11"/>
  <c r="E259" i="10"/>
  <c r="G223" i="10"/>
  <c r="K6" i="10"/>
  <c r="G218" i="10"/>
  <c r="F100" i="10"/>
  <c r="F224" i="10"/>
  <c r="B7" i="10"/>
  <c r="A7" i="10" s="1"/>
  <c r="T238" i="10"/>
  <c r="B82" i="10"/>
  <c r="AI81" i="10"/>
  <c r="AH81" i="10"/>
  <c r="F259" i="11" l="1"/>
  <c r="H223" i="11"/>
  <c r="AI82" i="11"/>
  <c r="AH82" i="11"/>
  <c r="I218" i="11"/>
  <c r="H224" i="11"/>
  <c r="H100" i="11"/>
  <c r="F259" i="10"/>
  <c r="H223" i="10"/>
  <c r="AI82" i="10"/>
  <c r="AH82" i="10"/>
  <c r="H218" i="10"/>
  <c r="G100" i="10"/>
  <c r="G224" i="10"/>
  <c r="G259" i="11" l="1"/>
  <c r="I223" i="11"/>
  <c r="I100" i="11"/>
  <c r="J218" i="11"/>
  <c r="I224" i="11"/>
  <c r="G259" i="10"/>
  <c r="I223" i="10"/>
  <c r="I218" i="10"/>
  <c r="H100" i="10"/>
  <c r="H224" i="10"/>
  <c r="H259" i="11" l="1"/>
  <c r="J223" i="11"/>
  <c r="J100" i="11"/>
  <c r="J224" i="11"/>
  <c r="K218" i="11"/>
  <c r="H259" i="10"/>
  <c r="J223" i="10"/>
  <c r="I100" i="10"/>
  <c r="I224" i="10"/>
  <c r="J218" i="10"/>
  <c r="K223" i="11" l="1"/>
  <c r="I259" i="11"/>
  <c r="K100" i="11"/>
  <c r="K224" i="11"/>
  <c r="L218" i="11"/>
  <c r="K223" i="10"/>
  <c r="I259" i="10"/>
  <c r="J100" i="10"/>
  <c r="J224" i="10"/>
  <c r="K218" i="10"/>
  <c r="J259" i="11" l="1"/>
  <c r="L223" i="11"/>
  <c r="L224" i="11"/>
  <c r="M218" i="11"/>
  <c r="L100" i="11"/>
  <c r="J259" i="10"/>
  <c r="L223" i="10"/>
  <c r="K100" i="10"/>
  <c r="K224" i="10"/>
  <c r="L218" i="10"/>
  <c r="K259" i="11" l="1"/>
  <c r="M223" i="11"/>
  <c r="N218" i="11"/>
  <c r="M100" i="11"/>
  <c r="M224" i="11"/>
  <c r="M223" i="10"/>
  <c r="K259" i="10"/>
  <c r="L224" i="10"/>
  <c r="M218" i="10"/>
  <c r="L100" i="10"/>
  <c r="L259" i="11" l="1"/>
  <c r="N223" i="11"/>
  <c r="O218" i="11"/>
  <c r="N100" i="11"/>
  <c r="N224" i="11"/>
  <c r="L259" i="10"/>
  <c r="N223" i="10"/>
  <c r="N218" i="10"/>
  <c r="M100" i="10"/>
  <c r="M224" i="10"/>
  <c r="M259" i="11" l="1"/>
  <c r="O223" i="11"/>
  <c r="P218" i="11"/>
  <c r="O100" i="11"/>
  <c r="O224" i="11"/>
  <c r="M259" i="10"/>
  <c r="O223" i="10"/>
  <c r="O218" i="10"/>
  <c r="N100" i="10"/>
  <c r="N224" i="10"/>
  <c r="N259" i="11" l="1"/>
  <c r="P223" i="11"/>
  <c r="O259" i="11" s="1"/>
  <c r="P100" i="11"/>
  <c r="P224" i="11"/>
  <c r="N259" i="10"/>
  <c r="P223" i="10"/>
  <c r="O259" i="10" s="1"/>
  <c r="P218" i="10"/>
  <c r="O100" i="10"/>
  <c r="O224" i="10"/>
  <c r="AI100" i="11" l="1"/>
  <c r="AH100" i="11"/>
  <c r="P100" i="10"/>
  <c r="P224" i="10"/>
  <c r="AH100" i="10" l="1"/>
  <c r="AI100" i="10"/>
  <c r="O39" i="9" l="1"/>
  <c r="N39" i="9"/>
  <c r="M39" i="9"/>
  <c r="L39" i="9"/>
  <c r="K39" i="9"/>
  <c r="J39" i="9"/>
  <c r="I39" i="9"/>
  <c r="H39" i="9"/>
  <c r="G39" i="9"/>
  <c r="F39" i="9"/>
  <c r="E39" i="9"/>
  <c r="B39" i="9"/>
  <c r="AF263" i="9"/>
  <c r="AE263" i="9"/>
  <c r="AD263" i="9"/>
  <c r="AC263" i="9"/>
  <c r="AB263" i="9"/>
  <c r="AA263" i="9"/>
  <c r="Z263" i="9"/>
  <c r="Y263" i="9"/>
  <c r="X263" i="9"/>
  <c r="W263" i="9"/>
  <c r="V263" i="9"/>
  <c r="U263" i="9"/>
  <c r="T263" i="9"/>
  <c r="S263" i="9"/>
  <c r="R263" i="9"/>
  <c r="Q263" i="9"/>
  <c r="P263" i="9"/>
  <c r="O263" i="9"/>
  <c r="N263" i="9"/>
  <c r="M263" i="9"/>
  <c r="L263" i="9"/>
  <c r="K263" i="9"/>
  <c r="J263" i="9"/>
  <c r="I263" i="9"/>
  <c r="H263" i="9"/>
  <c r="G263" i="9"/>
  <c r="F263" i="9"/>
  <c r="E263" i="9"/>
  <c r="D263" i="9"/>
  <c r="C263" i="9"/>
  <c r="B263" i="9"/>
  <c r="A263" i="9"/>
  <c r="AF262" i="9"/>
  <c r="AE262" i="9"/>
  <c r="AD262" i="9"/>
  <c r="AC262" i="9"/>
  <c r="AB262" i="9"/>
  <c r="AA262" i="9"/>
  <c r="Z262" i="9"/>
  <c r="Y262" i="9"/>
  <c r="X262" i="9"/>
  <c r="W262" i="9"/>
  <c r="V262" i="9"/>
  <c r="U262" i="9"/>
  <c r="T262" i="9"/>
  <c r="S262" i="9"/>
  <c r="R262" i="9"/>
  <c r="Q262" i="9"/>
  <c r="P262" i="9"/>
  <c r="O262" i="9"/>
  <c r="N262" i="9"/>
  <c r="M262" i="9"/>
  <c r="L262" i="9"/>
  <c r="K262" i="9"/>
  <c r="J262" i="9"/>
  <c r="I262" i="9"/>
  <c r="H262" i="9"/>
  <c r="G262" i="9"/>
  <c r="F262" i="9"/>
  <c r="E262" i="9"/>
  <c r="D262" i="9"/>
  <c r="C262" i="9"/>
  <c r="B262" i="9"/>
  <c r="A262" i="9"/>
  <c r="AF261" i="9"/>
  <c r="AE261" i="9"/>
  <c r="AD261" i="9"/>
  <c r="AC261" i="9"/>
  <c r="AB261" i="9"/>
  <c r="AA261" i="9"/>
  <c r="Z261" i="9"/>
  <c r="Y261" i="9"/>
  <c r="X261" i="9"/>
  <c r="W261" i="9"/>
  <c r="V261" i="9"/>
  <c r="U261" i="9"/>
  <c r="T261" i="9"/>
  <c r="S261" i="9"/>
  <c r="R261" i="9"/>
  <c r="Q261" i="9"/>
  <c r="P261" i="9"/>
  <c r="O261" i="9"/>
  <c r="N261" i="9"/>
  <c r="M261" i="9"/>
  <c r="L261" i="9"/>
  <c r="K261" i="9"/>
  <c r="J261" i="9"/>
  <c r="I261" i="9"/>
  <c r="H261" i="9"/>
  <c r="G261" i="9"/>
  <c r="F261" i="9"/>
  <c r="E261" i="9"/>
  <c r="D261" i="9"/>
  <c r="C261" i="9"/>
  <c r="B261" i="9"/>
  <c r="A261" i="9"/>
  <c r="AF260" i="9"/>
  <c r="AE260" i="9"/>
  <c r="AD260" i="9"/>
  <c r="AC260" i="9"/>
  <c r="AB260" i="9"/>
  <c r="AA260" i="9"/>
  <c r="Z260" i="9"/>
  <c r="Y260" i="9"/>
  <c r="X260" i="9"/>
  <c r="W260" i="9"/>
  <c r="V260" i="9"/>
  <c r="U260" i="9"/>
  <c r="T260" i="9"/>
  <c r="S260" i="9"/>
  <c r="R260" i="9"/>
  <c r="Q260" i="9"/>
  <c r="P260" i="9"/>
  <c r="O260" i="9"/>
  <c r="N260" i="9"/>
  <c r="M260" i="9"/>
  <c r="L260" i="9"/>
  <c r="K260" i="9"/>
  <c r="J260" i="9"/>
  <c r="I260" i="9"/>
  <c r="H260" i="9"/>
  <c r="G260" i="9"/>
  <c r="F260" i="9"/>
  <c r="E260" i="9"/>
  <c r="D260" i="9"/>
  <c r="C260" i="9"/>
  <c r="B260" i="9"/>
  <c r="A260" i="9"/>
  <c r="AE259" i="9"/>
  <c r="AD259" i="9"/>
  <c r="AC259" i="9"/>
  <c r="AB259" i="9"/>
  <c r="AA259" i="9"/>
  <c r="Z259" i="9"/>
  <c r="Y259" i="9"/>
  <c r="X259" i="9"/>
  <c r="W259" i="9"/>
  <c r="V259" i="9"/>
  <c r="U259" i="9"/>
  <c r="T259" i="9"/>
  <c r="S259" i="9"/>
  <c r="R259" i="9"/>
  <c r="Q259" i="9"/>
  <c r="P259" i="9"/>
  <c r="B259" i="9"/>
  <c r="S234" i="9"/>
  <c r="AG224" i="9"/>
  <c r="AF224" i="9"/>
  <c r="AE224" i="9"/>
  <c r="AD224" i="9"/>
  <c r="AC224" i="9"/>
  <c r="AB224" i="9"/>
  <c r="AA224" i="9"/>
  <c r="Z224" i="9"/>
  <c r="Y224" i="9"/>
  <c r="X224" i="9"/>
  <c r="W224" i="9"/>
  <c r="V224" i="9"/>
  <c r="U224" i="9"/>
  <c r="T224" i="9"/>
  <c r="S224" i="9"/>
  <c r="R224" i="9"/>
  <c r="Q224" i="9"/>
  <c r="C224" i="9"/>
  <c r="E223" i="9"/>
  <c r="D259" i="9" s="1"/>
  <c r="D223" i="9"/>
  <c r="C259" i="9" s="1"/>
  <c r="B223" i="9"/>
  <c r="AF259" i="9" s="1"/>
  <c r="D222" i="9"/>
  <c r="E222" i="9" s="1"/>
  <c r="F222" i="9" s="1"/>
  <c r="G222" i="9" s="1"/>
  <c r="H222" i="9" s="1"/>
  <c r="I222" i="9" s="1"/>
  <c r="J222" i="9" s="1"/>
  <c r="K222" i="9" s="1"/>
  <c r="L222" i="9" s="1"/>
  <c r="M222" i="9" s="1"/>
  <c r="N222" i="9" s="1"/>
  <c r="O222" i="9" s="1"/>
  <c r="P222" i="9" s="1"/>
  <c r="B222" i="9"/>
  <c r="F221" i="9"/>
  <c r="G221" i="9" s="1"/>
  <c r="H221" i="9" s="1"/>
  <c r="I221" i="9" s="1"/>
  <c r="J221" i="9" s="1"/>
  <c r="K221" i="9" s="1"/>
  <c r="L221" i="9" s="1"/>
  <c r="M221" i="9" s="1"/>
  <c r="N221" i="9" s="1"/>
  <c r="O221" i="9" s="1"/>
  <c r="P221" i="9" s="1"/>
  <c r="E221" i="9"/>
  <c r="D221" i="9"/>
  <c r="B221" i="9"/>
  <c r="D220" i="9"/>
  <c r="E220" i="9" s="1"/>
  <c r="F220" i="9" s="1"/>
  <c r="G220" i="9" s="1"/>
  <c r="H220" i="9" s="1"/>
  <c r="I220" i="9" s="1"/>
  <c r="J220" i="9" s="1"/>
  <c r="K220" i="9" s="1"/>
  <c r="L220" i="9" s="1"/>
  <c r="M220" i="9" s="1"/>
  <c r="N220" i="9" s="1"/>
  <c r="O220" i="9" s="1"/>
  <c r="P220" i="9" s="1"/>
  <c r="B220" i="9"/>
  <c r="D219" i="9"/>
  <c r="E219" i="9" s="1"/>
  <c r="F219" i="9" s="1"/>
  <c r="G219" i="9" s="1"/>
  <c r="H219" i="9" s="1"/>
  <c r="I219" i="9" s="1"/>
  <c r="J219" i="9" s="1"/>
  <c r="K219" i="9" s="1"/>
  <c r="L219" i="9" s="1"/>
  <c r="M219" i="9" s="1"/>
  <c r="N219" i="9" s="1"/>
  <c r="O219" i="9" s="1"/>
  <c r="P219" i="9" s="1"/>
  <c r="B219" i="9"/>
  <c r="D218" i="9"/>
  <c r="B218" i="9"/>
  <c r="AG216" i="9"/>
  <c r="AF216" i="9"/>
  <c r="AE216" i="9"/>
  <c r="AD216" i="9"/>
  <c r="AC216" i="9"/>
  <c r="AB216" i="9"/>
  <c r="AA216" i="9"/>
  <c r="Z216" i="9"/>
  <c r="Y216" i="9"/>
  <c r="X216" i="9"/>
  <c r="W216" i="9"/>
  <c r="V216" i="9"/>
  <c r="U216" i="9"/>
  <c r="T216" i="9"/>
  <c r="S216" i="9"/>
  <c r="R216" i="9"/>
  <c r="Q216" i="9"/>
  <c r="P216" i="9"/>
  <c r="O216" i="9"/>
  <c r="N216" i="9"/>
  <c r="M216" i="9"/>
  <c r="L216" i="9"/>
  <c r="K216" i="9"/>
  <c r="J216" i="9"/>
  <c r="I216" i="9"/>
  <c r="H216" i="9"/>
  <c r="G216" i="9"/>
  <c r="F216" i="9"/>
  <c r="E216" i="9"/>
  <c r="D216" i="9"/>
  <c r="C216" i="9"/>
  <c r="B216" i="9"/>
  <c r="AI109" i="9"/>
  <c r="AH109" i="9"/>
  <c r="AI108" i="9"/>
  <c r="AH108" i="9"/>
  <c r="AI107" i="9"/>
  <c r="AH107" i="9"/>
  <c r="AI106" i="9"/>
  <c r="AH106" i="9"/>
  <c r="AI105" i="9"/>
  <c r="AH105" i="9"/>
  <c r="AI104" i="9"/>
  <c r="AH104" i="9"/>
  <c r="AI103" i="9"/>
  <c r="AI102" i="9"/>
  <c r="AH102" i="9"/>
  <c r="AI101" i="9"/>
  <c r="AH101" i="9"/>
  <c r="AF100" i="9"/>
  <c r="AE100" i="9"/>
  <c r="AD100" i="9"/>
  <c r="AC100" i="9"/>
  <c r="AB100" i="9"/>
  <c r="AA100" i="9"/>
  <c r="Z100" i="9"/>
  <c r="Y100" i="9"/>
  <c r="X100" i="9"/>
  <c r="W100" i="9"/>
  <c r="V100" i="9"/>
  <c r="U100" i="9"/>
  <c r="T100" i="9"/>
  <c r="S100" i="9"/>
  <c r="R100" i="9"/>
  <c r="Q100" i="9"/>
  <c r="D100" i="9"/>
  <c r="C100" i="9"/>
  <c r="B100" i="9"/>
  <c r="AI99" i="9"/>
  <c r="AH99" i="9"/>
  <c r="AI98" i="9"/>
  <c r="AH98" i="9"/>
  <c r="AI97" i="9"/>
  <c r="AH97" i="9"/>
  <c r="AI96" i="9"/>
  <c r="AH96" i="9"/>
  <c r="AI95" i="9"/>
  <c r="AH95" i="9"/>
  <c r="AI94" i="9"/>
  <c r="AH94" i="9"/>
  <c r="AI93" i="9"/>
  <c r="AH93" i="9"/>
  <c r="AI92" i="9"/>
  <c r="AH92" i="9"/>
  <c r="AI91" i="9"/>
  <c r="AH91" i="9"/>
  <c r="AI88" i="9"/>
  <c r="AH88" i="9"/>
  <c r="AF87" i="9"/>
  <c r="AE87" i="9"/>
  <c r="AD87" i="9"/>
  <c r="AC87" i="9"/>
  <c r="AB87" i="9"/>
  <c r="AA87" i="9"/>
  <c r="Z87" i="9"/>
  <c r="Y87" i="9"/>
  <c r="X87" i="9"/>
  <c r="W87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AF86" i="9"/>
  <c r="AE86" i="9"/>
  <c r="AD86" i="9"/>
  <c r="AC86" i="9"/>
  <c r="AB86" i="9"/>
  <c r="AA86" i="9"/>
  <c r="Z86" i="9"/>
  <c r="Y86" i="9"/>
  <c r="X86" i="9"/>
  <c r="W86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AF85" i="9"/>
  <c r="AE85" i="9"/>
  <c r="AD85" i="9"/>
  <c r="AC85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AF84" i="9"/>
  <c r="AE84" i="9"/>
  <c r="AD84" i="9"/>
  <c r="AC84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AF83" i="9"/>
  <c r="AE83" i="9"/>
  <c r="AD83" i="9"/>
  <c r="AC83" i="9"/>
  <c r="AB83" i="9"/>
  <c r="AA83" i="9"/>
  <c r="Z83" i="9"/>
  <c r="Y83" i="9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AI80" i="9"/>
  <c r="AH80" i="9"/>
  <c r="AI78" i="9"/>
  <c r="AH78" i="9"/>
  <c r="AG78" i="9"/>
  <c r="AI77" i="9"/>
  <c r="AH77" i="9"/>
  <c r="AI76" i="9"/>
  <c r="AH76" i="9"/>
  <c r="AI75" i="9"/>
  <c r="AH75" i="9"/>
  <c r="AG74" i="9"/>
  <c r="AF74" i="9"/>
  <c r="AE5" i="9" s="1"/>
  <c r="AE74" i="9"/>
  <c r="AD5" i="9" s="1"/>
  <c r="AD74" i="9"/>
  <c r="AC74" i="9"/>
  <c r="AB5" i="9" s="1"/>
  <c r="AB74" i="9"/>
  <c r="AA74" i="9"/>
  <c r="Z5" i="9" s="1"/>
  <c r="Z74" i="9"/>
  <c r="Y5" i="9" s="1"/>
  <c r="Y74" i="9"/>
  <c r="X5" i="9" s="1"/>
  <c r="X74" i="9"/>
  <c r="W74" i="9"/>
  <c r="V5" i="9" s="1"/>
  <c r="V74" i="9"/>
  <c r="U5" i="9" s="1"/>
  <c r="U74" i="9"/>
  <c r="T5" i="9" s="1"/>
  <c r="T74" i="9"/>
  <c r="S74" i="9"/>
  <c r="R5" i="9" s="1"/>
  <c r="R74" i="9"/>
  <c r="Q5" i="9" s="1"/>
  <c r="Q74" i="9"/>
  <c r="P5" i="9" s="1"/>
  <c r="P74" i="9"/>
  <c r="O5" i="9" s="1"/>
  <c r="O74" i="9"/>
  <c r="N5" i="9" s="1"/>
  <c r="N74" i="9"/>
  <c r="M5" i="9" s="1"/>
  <c r="M74" i="9"/>
  <c r="L5" i="9" s="1"/>
  <c r="L74" i="9"/>
  <c r="K5" i="9" s="1"/>
  <c r="K74" i="9"/>
  <c r="J5" i="9" s="1"/>
  <c r="J74" i="9"/>
  <c r="I5" i="9" s="1"/>
  <c r="I74" i="9"/>
  <c r="H74" i="9"/>
  <c r="G5" i="9" s="1"/>
  <c r="G74" i="9"/>
  <c r="F5" i="9" s="1"/>
  <c r="F74" i="9"/>
  <c r="E5" i="9" s="1"/>
  <c r="E74" i="9"/>
  <c r="D5" i="9" s="1"/>
  <c r="D74" i="9"/>
  <c r="C5" i="9" s="1"/>
  <c r="C74" i="9"/>
  <c r="B5" i="9" s="1"/>
  <c r="B74" i="9"/>
  <c r="AF5" i="9" s="1"/>
  <c r="AI73" i="9"/>
  <c r="AH73" i="9"/>
  <c r="AI72" i="9"/>
  <c r="AH72" i="9"/>
  <c r="AI71" i="9"/>
  <c r="AH71" i="9"/>
  <c r="AI70" i="9"/>
  <c r="AH70" i="9"/>
  <c r="AI69" i="9"/>
  <c r="AH69" i="9"/>
  <c r="AI68" i="9"/>
  <c r="AH68" i="9"/>
  <c r="AI67" i="9"/>
  <c r="AH67" i="9"/>
  <c r="AI66" i="9"/>
  <c r="AH66" i="9"/>
  <c r="AI65" i="9"/>
  <c r="AH65" i="9"/>
  <c r="AI64" i="9"/>
  <c r="AH64" i="9"/>
  <c r="AI63" i="9"/>
  <c r="AH63" i="9"/>
  <c r="AG62" i="9"/>
  <c r="AF62" i="9"/>
  <c r="AE62" i="9"/>
  <c r="AD62" i="9"/>
  <c r="AC62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AI61" i="9"/>
  <c r="AH61" i="9"/>
  <c r="AI60" i="9"/>
  <c r="AH60" i="9"/>
  <c r="AI59" i="9"/>
  <c r="AH59" i="9"/>
  <c r="AF58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AI57" i="9"/>
  <c r="AH57" i="9"/>
  <c r="AG57" i="9"/>
  <c r="AG58" i="9" s="1"/>
  <c r="AG3" i="9" s="1"/>
  <c r="AI56" i="9"/>
  <c r="AH56" i="9"/>
  <c r="AI55" i="9"/>
  <c r="AH55" i="9"/>
  <c r="AI54" i="9"/>
  <c r="AH54" i="9"/>
  <c r="AI53" i="9"/>
  <c r="AH53" i="9"/>
  <c r="AI52" i="9"/>
  <c r="AH52" i="9"/>
  <c r="AI51" i="9"/>
  <c r="AH51" i="9"/>
  <c r="AI50" i="9"/>
  <c r="AH50" i="9"/>
  <c r="AI49" i="9"/>
  <c r="AH49" i="9"/>
  <c r="AI48" i="9"/>
  <c r="AH48" i="9"/>
  <c r="AI47" i="9"/>
  <c r="AH47" i="9"/>
  <c r="AI46" i="9"/>
  <c r="AH46" i="9"/>
  <c r="AI45" i="9"/>
  <c r="AH45" i="9"/>
  <c r="AG44" i="9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AI43" i="9"/>
  <c r="AH43" i="9"/>
  <c r="AI42" i="9"/>
  <c r="AH42" i="9"/>
  <c r="AI41" i="9"/>
  <c r="AH41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AI38" i="9"/>
  <c r="AH38" i="9"/>
  <c r="AI37" i="9"/>
  <c r="AH37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AI21" i="9"/>
  <c r="AH21" i="9"/>
  <c r="AI20" i="9"/>
  <c r="AH20" i="9"/>
  <c r="AI19" i="9"/>
  <c r="AH19" i="9"/>
  <c r="AI18" i="9"/>
  <c r="AH18" i="9"/>
  <c r="AI17" i="9"/>
  <c r="AH17" i="9"/>
  <c r="AI16" i="9"/>
  <c r="AH16" i="9"/>
  <c r="AI15" i="9"/>
  <c r="AH15" i="9"/>
  <c r="AI14" i="9"/>
  <c r="AH14" i="9"/>
  <c r="AI13" i="9"/>
  <c r="AH13" i="9"/>
  <c r="AI12" i="9"/>
  <c r="AH12" i="9"/>
  <c r="AI11" i="9"/>
  <c r="AH11" i="9"/>
  <c r="AC5" i="9"/>
  <c r="AA5" i="9"/>
  <c r="S5" i="9"/>
  <c r="AG4" i="9"/>
  <c r="K4" i="9"/>
  <c r="B4" i="9"/>
  <c r="S235" i="9" s="1"/>
  <c r="AG2" i="9"/>
  <c r="AF62" i="8"/>
  <c r="AF39" i="8"/>
  <c r="AE39" i="8"/>
  <c r="AD39" i="8"/>
  <c r="AC39" i="8"/>
  <c r="AB39" i="8"/>
  <c r="AA39" i="8"/>
  <c r="Z39" i="8"/>
  <c r="W39" i="8"/>
  <c r="V39" i="8"/>
  <c r="U39" i="8"/>
  <c r="E4" i="9"/>
  <c r="AE89" i="9" l="1"/>
  <c r="D224" i="9"/>
  <c r="AG6" i="9"/>
  <c r="AG81" i="9"/>
  <c r="B224" i="9"/>
  <c r="AE79" i="9"/>
  <c r="AE81" i="9" s="1"/>
  <c r="AC79" i="9"/>
  <c r="AC81" i="9" s="1"/>
  <c r="AA89" i="9"/>
  <c r="AA90" i="9" s="1"/>
  <c r="AA79" i="9"/>
  <c r="AA81" i="9" s="1"/>
  <c r="Z89" i="9"/>
  <c r="Z79" i="9"/>
  <c r="Z81" i="9" s="1"/>
  <c r="Y79" i="9"/>
  <c r="Y81" i="9" s="1"/>
  <c r="AQ238" i="9" s="1"/>
  <c r="W89" i="9"/>
  <c r="W79" i="9"/>
  <c r="W81" i="9" s="1"/>
  <c r="W82" i="9" s="1"/>
  <c r="U79" i="9"/>
  <c r="U81" i="9" s="1"/>
  <c r="S89" i="9"/>
  <c r="S90" i="9" s="1"/>
  <c r="S79" i="9"/>
  <c r="S81" i="9" s="1"/>
  <c r="AK238" i="9" s="1"/>
  <c r="R89" i="9"/>
  <c r="Q79" i="9"/>
  <c r="Q81" i="9" s="1"/>
  <c r="O89" i="9"/>
  <c r="R79" i="9"/>
  <c r="R81" i="9" s="1"/>
  <c r="R7" i="9" s="1"/>
  <c r="O79" i="9"/>
  <c r="O81" i="9" s="1"/>
  <c r="AG238" i="9" s="1"/>
  <c r="K89" i="9"/>
  <c r="K90" i="9" s="1"/>
  <c r="K79" i="9"/>
  <c r="K81" i="9" s="1"/>
  <c r="K82" i="9" s="1"/>
  <c r="J89" i="9"/>
  <c r="J79" i="9"/>
  <c r="J81" i="9" s="1"/>
  <c r="J7" i="9" s="1"/>
  <c r="I79" i="9"/>
  <c r="I81" i="9" s="1"/>
  <c r="G89" i="9"/>
  <c r="G79" i="9"/>
  <c r="G81" i="9" s="1"/>
  <c r="G7" i="9" s="1"/>
  <c r="M79" i="9"/>
  <c r="M81" i="9" s="1"/>
  <c r="E79" i="9"/>
  <c r="E81" i="9" s="1"/>
  <c r="W238" i="9" s="1"/>
  <c r="AI83" i="9"/>
  <c r="C89" i="9"/>
  <c r="AI87" i="9"/>
  <c r="C79" i="9"/>
  <c r="C81" i="9" s="1"/>
  <c r="C82" i="9" s="1"/>
  <c r="B79" i="9"/>
  <c r="B81" i="9" s="1"/>
  <c r="E89" i="9"/>
  <c r="E90" i="9" s="1"/>
  <c r="M89" i="9"/>
  <c r="M90" i="9" s="1"/>
  <c r="U89" i="9"/>
  <c r="U90" i="9" s="1"/>
  <c r="AC89" i="9"/>
  <c r="AC90" i="9" s="1"/>
  <c r="J90" i="9"/>
  <c r="R90" i="9"/>
  <c r="Z90" i="9"/>
  <c r="C90" i="9"/>
  <c r="AH85" i="9"/>
  <c r="I89" i="9"/>
  <c r="I90" i="9" s="1"/>
  <c r="AI84" i="9"/>
  <c r="AH84" i="9"/>
  <c r="H5" i="9"/>
  <c r="D89" i="9"/>
  <c r="D90" i="9" s="1"/>
  <c r="L89" i="9"/>
  <c r="L90" i="9" s="1"/>
  <c r="T89" i="9"/>
  <c r="T90" i="9" s="1"/>
  <c r="AB89" i="9"/>
  <c r="AB90" i="9" s="1"/>
  <c r="F89" i="9"/>
  <c r="N89" i="9"/>
  <c r="V89" i="9"/>
  <c r="AD89" i="9"/>
  <c r="AI86" i="9"/>
  <c r="W5" i="9"/>
  <c r="H89" i="9"/>
  <c r="H90" i="9" s="1"/>
  <c r="P89" i="9"/>
  <c r="P90" i="9" s="1"/>
  <c r="X89" i="9"/>
  <c r="X90" i="9" s="1"/>
  <c r="AF89" i="9"/>
  <c r="AF90" i="9" s="1"/>
  <c r="Q89" i="9"/>
  <c r="Q90" i="9" s="1"/>
  <c r="Y89" i="9"/>
  <c r="Y90" i="9" s="1"/>
  <c r="AI62" i="9"/>
  <c r="F79" i="9"/>
  <c r="F81" i="9" s="1"/>
  <c r="N79" i="9"/>
  <c r="N81" i="9" s="1"/>
  <c r="AF238" i="9" s="1"/>
  <c r="V79" i="9"/>
  <c r="V81" i="9" s="1"/>
  <c r="V7" i="9" s="1"/>
  <c r="AD79" i="9"/>
  <c r="AD81" i="9" s="1"/>
  <c r="H79" i="9"/>
  <c r="H81" i="9" s="1"/>
  <c r="P79" i="9"/>
  <c r="P81" i="9" s="1"/>
  <c r="P7" i="9" s="1"/>
  <c r="X79" i="9"/>
  <c r="X81" i="9" s="1"/>
  <c r="X82" i="9" s="1"/>
  <c r="AF79" i="9"/>
  <c r="AF81" i="9" s="1"/>
  <c r="AX238" i="9" s="1"/>
  <c r="AI58" i="9"/>
  <c r="D79" i="9"/>
  <c r="D81" i="9" s="1"/>
  <c r="D7" i="9" s="1"/>
  <c r="L79" i="9"/>
  <c r="L81" i="9" s="1"/>
  <c r="T79" i="9"/>
  <c r="T81" i="9" s="1"/>
  <c r="AB79" i="9"/>
  <c r="AB81" i="9" s="1"/>
  <c r="AH44" i="9"/>
  <c r="AI44" i="9"/>
  <c r="H4" i="9"/>
  <c r="AU238" i="9"/>
  <c r="AC7" i="9"/>
  <c r="O7" i="9"/>
  <c r="AW238" i="9"/>
  <c r="AE7" i="9"/>
  <c r="AE82" i="9"/>
  <c r="Q82" i="9"/>
  <c r="AI238" i="9"/>
  <c r="Q7" i="9"/>
  <c r="AG79" i="9"/>
  <c r="J82" i="9"/>
  <c r="AB238" i="9"/>
  <c r="R82" i="9"/>
  <c r="AJ238" i="9"/>
  <c r="Z82" i="9"/>
  <c r="AR238" i="9"/>
  <c r="Z7" i="9"/>
  <c r="F90" i="9"/>
  <c r="N90" i="9"/>
  <c r="V90" i="9"/>
  <c r="AD90" i="9"/>
  <c r="U238" i="9"/>
  <c r="C7" i="9"/>
  <c r="AA82" i="9"/>
  <c r="AS238" i="9"/>
  <c r="AA7" i="9"/>
  <c r="G90" i="9"/>
  <c r="O90" i="9"/>
  <c r="W90" i="9"/>
  <c r="AE90" i="9"/>
  <c r="AI40" i="9"/>
  <c r="AI85" i="9"/>
  <c r="AH86" i="9"/>
  <c r="D235" i="9"/>
  <c r="AH87" i="9"/>
  <c r="F223" i="9"/>
  <c r="AH103" i="9"/>
  <c r="E218" i="9"/>
  <c r="AH58" i="9"/>
  <c r="AH62" i="9"/>
  <c r="AH74" i="9"/>
  <c r="AI74" i="9"/>
  <c r="AH83" i="9"/>
  <c r="B89" i="9"/>
  <c r="AH40" i="9"/>
  <c r="AC82" i="9" l="1"/>
  <c r="M82" i="9"/>
  <c r="AC238" i="9"/>
  <c r="O82" i="9"/>
  <c r="AF7" i="9"/>
  <c r="AD82" i="9"/>
  <c r="AO238" i="9"/>
  <c r="W7" i="9"/>
  <c r="AB82" i="9"/>
  <c r="Y7" i="9"/>
  <c r="S82" i="9"/>
  <c r="AN238" i="9"/>
  <c r="U82" i="9"/>
  <c r="U7" i="9"/>
  <c r="AM238" i="9"/>
  <c r="S7" i="9"/>
  <c r="N82" i="9"/>
  <c r="M7" i="9"/>
  <c r="AE238" i="9"/>
  <c r="K7" i="9"/>
  <c r="I82" i="9"/>
  <c r="I7" i="9"/>
  <c r="AA238" i="9"/>
  <c r="G82" i="9"/>
  <c r="Y238" i="9"/>
  <c r="F82" i="9"/>
  <c r="AD7" i="9"/>
  <c r="AV238" i="9"/>
  <c r="N7" i="9"/>
  <c r="E82" i="9"/>
  <c r="E7" i="9"/>
  <c r="H82" i="9"/>
  <c r="T82" i="9"/>
  <c r="F7" i="9"/>
  <c r="T7" i="9"/>
  <c r="L82" i="9"/>
  <c r="X238" i="9"/>
  <c r="Y82" i="9"/>
  <c r="AL238" i="9"/>
  <c r="D82" i="9"/>
  <c r="V238" i="9"/>
  <c r="AF82" i="9"/>
  <c r="H7" i="9"/>
  <c r="V82" i="9"/>
  <c r="Z238" i="9"/>
  <c r="AI79" i="9"/>
  <c r="AH238" i="9"/>
  <c r="P82" i="9"/>
  <c r="L7" i="9"/>
  <c r="AH79" i="9"/>
  <c r="X7" i="9"/>
  <c r="B233" i="9"/>
  <c r="AD238" i="9"/>
  <c r="AP238" i="9"/>
  <c r="C233" i="9"/>
  <c r="AB7" i="9"/>
  <c r="AT238" i="9"/>
  <c r="AI89" i="9"/>
  <c r="AH89" i="9"/>
  <c r="E259" i="9"/>
  <c r="G223" i="9"/>
  <c r="B82" i="9"/>
  <c r="AI81" i="9"/>
  <c r="AH81" i="9"/>
  <c r="T238" i="9"/>
  <c r="B7" i="9"/>
  <c r="F218" i="9"/>
  <c r="E100" i="9"/>
  <c r="E224" i="9"/>
  <c r="B90" i="9"/>
  <c r="AJ7" i="9" l="1"/>
  <c r="K6" i="9"/>
  <c r="A7" i="9"/>
  <c r="AI90" i="9"/>
  <c r="AH90" i="9"/>
  <c r="AI82" i="9"/>
  <c r="AH82" i="9"/>
  <c r="F259" i="9"/>
  <c r="H223" i="9"/>
  <c r="G218" i="9"/>
  <c r="F100" i="9"/>
  <c r="F224" i="9"/>
  <c r="G259" i="9" l="1"/>
  <c r="I223" i="9"/>
  <c r="H218" i="9"/>
  <c r="G100" i="9"/>
  <c r="G224" i="9"/>
  <c r="I218" i="9" l="1"/>
  <c r="H100" i="9"/>
  <c r="H224" i="9"/>
  <c r="H259" i="9"/>
  <c r="J223" i="9"/>
  <c r="K223" i="9" l="1"/>
  <c r="I259" i="9"/>
  <c r="I224" i="9"/>
  <c r="J218" i="9"/>
  <c r="I100" i="9"/>
  <c r="J224" i="9" l="1"/>
  <c r="K218" i="9"/>
  <c r="J100" i="9"/>
  <c r="J259" i="9"/>
  <c r="L223" i="9"/>
  <c r="T39" i="8"/>
  <c r="AH39" i="8" s="1"/>
  <c r="S39" i="8"/>
  <c r="AI39" i="8" s="1"/>
  <c r="P103" i="8"/>
  <c r="O103" i="8"/>
  <c r="N74" i="8"/>
  <c r="D103" i="8"/>
  <c r="C103" i="8"/>
  <c r="B103" i="8"/>
  <c r="B87" i="8"/>
  <c r="B86" i="8"/>
  <c r="B85" i="8"/>
  <c r="B84" i="8"/>
  <c r="B83" i="8"/>
  <c r="B74" i="8"/>
  <c r="B62" i="8"/>
  <c r="B58" i="8"/>
  <c r="B44" i="8"/>
  <c r="B40" i="8"/>
  <c r="AF263" i="8"/>
  <c r="AE263" i="8"/>
  <c r="AD263" i="8"/>
  <c r="AC263" i="8"/>
  <c r="AB263" i="8"/>
  <c r="AA263" i="8"/>
  <c r="Z263" i="8"/>
  <c r="Y263" i="8"/>
  <c r="X263" i="8"/>
  <c r="W263" i="8"/>
  <c r="V263" i="8"/>
  <c r="U263" i="8"/>
  <c r="T263" i="8"/>
  <c r="S263" i="8"/>
  <c r="R263" i="8"/>
  <c r="Q263" i="8"/>
  <c r="P263" i="8"/>
  <c r="O263" i="8"/>
  <c r="N263" i="8"/>
  <c r="M263" i="8"/>
  <c r="L263" i="8"/>
  <c r="K263" i="8"/>
  <c r="J263" i="8"/>
  <c r="I263" i="8"/>
  <c r="H263" i="8"/>
  <c r="G263" i="8"/>
  <c r="F263" i="8"/>
  <c r="E263" i="8"/>
  <c r="D263" i="8"/>
  <c r="C263" i="8"/>
  <c r="B263" i="8"/>
  <c r="A263" i="8"/>
  <c r="AF262" i="8"/>
  <c r="AE262" i="8"/>
  <c r="AD262" i="8"/>
  <c r="AC262" i="8"/>
  <c r="AB262" i="8"/>
  <c r="AA262" i="8"/>
  <c r="Z262" i="8"/>
  <c r="Y262" i="8"/>
  <c r="X262" i="8"/>
  <c r="W262" i="8"/>
  <c r="V262" i="8"/>
  <c r="U262" i="8"/>
  <c r="T262" i="8"/>
  <c r="S262" i="8"/>
  <c r="R262" i="8"/>
  <c r="Q262" i="8"/>
  <c r="P262" i="8"/>
  <c r="O262" i="8"/>
  <c r="N262" i="8"/>
  <c r="M262" i="8"/>
  <c r="L262" i="8"/>
  <c r="K262" i="8"/>
  <c r="J262" i="8"/>
  <c r="I262" i="8"/>
  <c r="H262" i="8"/>
  <c r="G262" i="8"/>
  <c r="F262" i="8"/>
  <c r="E262" i="8"/>
  <c r="D262" i="8"/>
  <c r="C262" i="8"/>
  <c r="B262" i="8"/>
  <c r="A262" i="8"/>
  <c r="AF261" i="8"/>
  <c r="AE261" i="8"/>
  <c r="AD261" i="8"/>
  <c r="AC261" i="8"/>
  <c r="AB261" i="8"/>
  <c r="AA261" i="8"/>
  <c r="Z261" i="8"/>
  <c r="Y261" i="8"/>
  <c r="X261" i="8"/>
  <c r="W261" i="8"/>
  <c r="V261" i="8"/>
  <c r="U261" i="8"/>
  <c r="T261" i="8"/>
  <c r="S261" i="8"/>
  <c r="R261" i="8"/>
  <c r="Q261" i="8"/>
  <c r="P261" i="8"/>
  <c r="O261" i="8"/>
  <c r="N261" i="8"/>
  <c r="M261" i="8"/>
  <c r="L261" i="8"/>
  <c r="K261" i="8"/>
  <c r="J261" i="8"/>
  <c r="I261" i="8"/>
  <c r="H261" i="8"/>
  <c r="G261" i="8"/>
  <c r="F261" i="8"/>
  <c r="E261" i="8"/>
  <c r="D261" i="8"/>
  <c r="C261" i="8"/>
  <c r="B261" i="8"/>
  <c r="A261" i="8"/>
  <c r="AF260" i="8"/>
  <c r="AE260" i="8"/>
  <c r="AD260" i="8"/>
  <c r="AC260" i="8"/>
  <c r="AB260" i="8"/>
  <c r="AA260" i="8"/>
  <c r="Z260" i="8"/>
  <c r="Y260" i="8"/>
  <c r="X260" i="8"/>
  <c r="W260" i="8"/>
  <c r="V260" i="8"/>
  <c r="U260" i="8"/>
  <c r="T260" i="8"/>
  <c r="S260" i="8"/>
  <c r="R260" i="8"/>
  <c r="Q260" i="8"/>
  <c r="P260" i="8"/>
  <c r="O260" i="8"/>
  <c r="N260" i="8"/>
  <c r="M260" i="8"/>
  <c r="L260" i="8"/>
  <c r="K260" i="8"/>
  <c r="J260" i="8"/>
  <c r="I260" i="8"/>
  <c r="H260" i="8"/>
  <c r="G260" i="8"/>
  <c r="F260" i="8"/>
  <c r="E260" i="8"/>
  <c r="D260" i="8"/>
  <c r="C260" i="8"/>
  <c r="B260" i="8"/>
  <c r="A260" i="8"/>
  <c r="AE259" i="8"/>
  <c r="AD259" i="8"/>
  <c r="AC259" i="8"/>
  <c r="AB259" i="8"/>
  <c r="AA259" i="8"/>
  <c r="Z259" i="8"/>
  <c r="Y259" i="8"/>
  <c r="X259" i="8"/>
  <c r="W259" i="8"/>
  <c r="V259" i="8"/>
  <c r="U259" i="8"/>
  <c r="T259" i="8"/>
  <c r="S259" i="8"/>
  <c r="R259" i="8"/>
  <c r="Q259" i="8"/>
  <c r="P259" i="8"/>
  <c r="B259" i="8"/>
  <c r="S234" i="8"/>
  <c r="AG224" i="8"/>
  <c r="AF224" i="8"/>
  <c r="AE224" i="8"/>
  <c r="AD224" i="8"/>
  <c r="AC224" i="8"/>
  <c r="AB224" i="8"/>
  <c r="AA224" i="8"/>
  <c r="Z224" i="8"/>
  <c r="Y224" i="8"/>
  <c r="X224" i="8"/>
  <c r="W224" i="8"/>
  <c r="V224" i="8"/>
  <c r="U224" i="8"/>
  <c r="T224" i="8"/>
  <c r="S224" i="8"/>
  <c r="R224" i="8"/>
  <c r="Q224" i="8"/>
  <c r="C224" i="8"/>
  <c r="D223" i="8"/>
  <c r="C259" i="8" s="1"/>
  <c r="B223" i="8"/>
  <c r="AF259" i="8" s="1"/>
  <c r="D222" i="8"/>
  <c r="E222" i="8" s="1"/>
  <c r="F222" i="8" s="1"/>
  <c r="G222" i="8" s="1"/>
  <c r="H222" i="8" s="1"/>
  <c r="I222" i="8" s="1"/>
  <c r="J222" i="8" s="1"/>
  <c r="K222" i="8" s="1"/>
  <c r="L222" i="8" s="1"/>
  <c r="M222" i="8" s="1"/>
  <c r="N222" i="8" s="1"/>
  <c r="O222" i="8" s="1"/>
  <c r="P222" i="8" s="1"/>
  <c r="B222" i="8"/>
  <c r="E221" i="8"/>
  <c r="F221" i="8" s="1"/>
  <c r="G221" i="8" s="1"/>
  <c r="H221" i="8" s="1"/>
  <c r="I221" i="8" s="1"/>
  <c r="J221" i="8" s="1"/>
  <c r="K221" i="8" s="1"/>
  <c r="L221" i="8" s="1"/>
  <c r="M221" i="8" s="1"/>
  <c r="N221" i="8" s="1"/>
  <c r="O221" i="8" s="1"/>
  <c r="P221" i="8" s="1"/>
  <c r="D221" i="8"/>
  <c r="B221" i="8"/>
  <c r="D220" i="8"/>
  <c r="E220" i="8" s="1"/>
  <c r="F220" i="8" s="1"/>
  <c r="G220" i="8" s="1"/>
  <c r="H220" i="8" s="1"/>
  <c r="I220" i="8" s="1"/>
  <c r="J220" i="8" s="1"/>
  <c r="K220" i="8" s="1"/>
  <c r="L220" i="8" s="1"/>
  <c r="M220" i="8" s="1"/>
  <c r="N220" i="8" s="1"/>
  <c r="O220" i="8" s="1"/>
  <c r="P220" i="8" s="1"/>
  <c r="B220" i="8"/>
  <c r="D219" i="8"/>
  <c r="E219" i="8" s="1"/>
  <c r="F219" i="8" s="1"/>
  <c r="G219" i="8" s="1"/>
  <c r="H219" i="8" s="1"/>
  <c r="I219" i="8" s="1"/>
  <c r="J219" i="8" s="1"/>
  <c r="K219" i="8" s="1"/>
  <c r="L219" i="8" s="1"/>
  <c r="M219" i="8" s="1"/>
  <c r="N219" i="8" s="1"/>
  <c r="O219" i="8" s="1"/>
  <c r="P219" i="8" s="1"/>
  <c r="B219" i="8"/>
  <c r="E218" i="8"/>
  <c r="F218" i="8" s="1"/>
  <c r="D218" i="8"/>
  <c r="B218" i="8"/>
  <c r="AG216" i="8"/>
  <c r="AF216" i="8"/>
  <c r="AE216" i="8"/>
  <c r="AD216" i="8"/>
  <c r="AC216" i="8"/>
  <c r="AB216" i="8"/>
  <c r="AA216" i="8"/>
  <c r="Z216" i="8"/>
  <c r="Y216" i="8"/>
  <c r="X216" i="8"/>
  <c r="W216" i="8"/>
  <c r="V216" i="8"/>
  <c r="U216" i="8"/>
  <c r="T216" i="8"/>
  <c r="S216" i="8"/>
  <c r="R216" i="8"/>
  <c r="Q216" i="8"/>
  <c r="P216" i="8"/>
  <c r="O216" i="8"/>
  <c r="N216" i="8"/>
  <c r="M216" i="8"/>
  <c r="L216" i="8"/>
  <c r="K216" i="8"/>
  <c r="J216" i="8"/>
  <c r="I216" i="8"/>
  <c r="H216" i="8"/>
  <c r="G216" i="8"/>
  <c r="F216" i="8"/>
  <c r="E216" i="8"/>
  <c r="D216" i="8"/>
  <c r="C216" i="8"/>
  <c r="B216" i="8"/>
  <c r="AI109" i="8"/>
  <c r="AH109" i="8"/>
  <c r="AI108" i="8"/>
  <c r="AH108" i="8"/>
  <c r="AI107" i="8"/>
  <c r="AH107" i="8"/>
  <c r="AI106" i="8"/>
  <c r="AH106" i="8"/>
  <c r="AI105" i="8"/>
  <c r="AH105" i="8"/>
  <c r="AI104" i="8"/>
  <c r="AH104" i="8"/>
  <c r="AI103" i="8"/>
  <c r="AH103" i="8"/>
  <c r="AI102" i="8"/>
  <c r="AH102" i="8"/>
  <c r="AI101" i="8"/>
  <c r="AH101" i="8"/>
  <c r="AF100" i="8"/>
  <c r="AE100" i="8"/>
  <c r="AD100" i="8"/>
  <c r="AC100" i="8"/>
  <c r="AB100" i="8"/>
  <c r="AA100" i="8"/>
  <c r="Z100" i="8"/>
  <c r="Y100" i="8"/>
  <c r="X100" i="8"/>
  <c r="W100" i="8"/>
  <c r="V100" i="8"/>
  <c r="U100" i="8"/>
  <c r="T100" i="8"/>
  <c r="S100" i="8"/>
  <c r="R100" i="8"/>
  <c r="Q100" i="8"/>
  <c r="C100" i="8"/>
  <c r="B100" i="8"/>
  <c r="AI99" i="8"/>
  <c r="AH99" i="8"/>
  <c r="AI98" i="8"/>
  <c r="AH98" i="8"/>
  <c r="AI97" i="8"/>
  <c r="AH97" i="8"/>
  <c r="AI96" i="8"/>
  <c r="AH96" i="8"/>
  <c r="AI95" i="8"/>
  <c r="AH95" i="8"/>
  <c r="AI94" i="8"/>
  <c r="AH94" i="8"/>
  <c r="AI93" i="8"/>
  <c r="AH93" i="8"/>
  <c r="AI92" i="8"/>
  <c r="AH92" i="8"/>
  <c r="AI91" i="8"/>
  <c r="AH91" i="8"/>
  <c r="AC89" i="8"/>
  <c r="AI88" i="8"/>
  <c r="AH88" i="8"/>
  <c r="AF87" i="8"/>
  <c r="AE87" i="8"/>
  <c r="AD87" i="8"/>
  <c r="AC87" i="8"/>
  <c r="AB87" i="8"/>
  <c r="AA87" i="8"/>
  <c r="Z87" i="8"/>
  <c r="Y87" i="8"/>
  <c r="X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AF86" i="8"/>
  <c r="AE86" i="8"/>
  <c r="AD86" i="8"/>
  <c r="AC86" i="8"/>
  <c r="AB86" i="8"/>
  <c r="AA86" i="8"/>
  <c r="Z86" i="8"/>
  <c r="Y86" i="8"/>
  <c r="X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AF85" i="8"/>
  <c r="AE85" i="8"/>
  <c r="AD85" i="8"/>
  <c r="AC85" i="8"/>
  <c r="AB85" i="8"/>
  <c r="AA85" i="8"/>
  <c r="Z85" i="8"/>
  <c r="Y85" i="8"/>
  <c r="X85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AF84" i="8"/>
  <c r="AE84" i="8"/>
  <c r="AD84" i="8"/>
  <c r="AC84" i="8"/>
  <c r="AB84" i="8"/>
  <c r="AA84" i="8"/>
  <c r="Z84" i="8"/>
  <c r="Y84" i="8"/>
  <c r="X84" i="8"/>
  <c r="W84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AF83" i="8"/>
  <c r="AE83" i="8"/>
  <c r="AD83" i="8"/>
  <c r="AC83" i="8"/>
  <c r="AB83" i="8"/>
  <c r="AA83" i="8"/>
  <c r="Z83" i="8"/>
  <c r="Y83" i="8"/>
  <c r="Y89" i="8" s="1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K89" i="8" s="1"/>
  <c r="J83" i="8"/>
  <c r="I83" i="8"/>
  <c r="H83" i="8"/>
  <c r="G83" i="8"/>
  <c r="F83" i="8"/>
  <c r="E83" i="8"/>
  <c r="E89" i="8" s="1"/>
  <c r="D83" i="8"/>
  <c r="C83" i="8"/>
  <c r="AI80" i="8"/>
  <c r="AH80" i="8"/>
  <c r="AI78" i="8"/>
  <c r="AH78" i="8"/>
  <c r="AG78" i="8"/>
  <c r="AI77" i="8"/>
  <c r="AH77" i="8"/>
  <c r="AI76" i="8"/>
  <c r="AH76" i="8"/>
  <c r="AI75" i="8"/>
  <c r="AH75" i="8"/>
  <c r="AG74" i="8"/>
  <c r="AF74" i="8"/>
  <c r="AE74" i="8"/>
  <c r="AD5" i="8" s="1"/>
  <c r="AD74" i="8"/>
  <c r="AC74" i="8"/>
  <c r="AB74" i="8"/>
  <c r="AA74" i="8"/>
  <c r="Z5" i="8" s="1"/>
  <c r="Z74" i="8"/>
  <c r="Y5" i="8" s="1"/>
  <c r="Y74" i="8"/>
  <c r="X5" i="8" s="1"/>
  <c r="X74" i="8"/>
  <c r="W5" i="8" s="1"/>
  <c r="W74" i="8"/>
  <c r="V74" i="8"/>
  <c r="U74" i="8"/>
  <c r="T5" i="8" s="1"/>
  <c r="T74" i="8"/>
  <c r="S5" i="8" s="1"/>
  <c r="S74" i="8"/>
  <c r="R5" i="8" s="1"/>
  <c r="R74" i="8"/>
  <c r="Q74" i="8"/>
  <c r="P5" i="8" s="1"/>
  <c r="P74" i="8"/>
  <c r="O74" i="8"/>
  <c r="M74" i="8"/>
  <c r="L5" i="8" s="1"/>
  <c r="L74" i="8"/>
  <c r="K5" i="8" s="1"/>
  <c r="K74" i="8"/>
  <c r="J5" i="8" s="1"/>
  <c r="J74" i="8"/>
  <c r="I5" i="8" s="1"/>
  <c r="I74" i="8"/>
  <c r="H5" i="8" s="1"/>
  <c r="H74" i="8"/>
  <c r="G74" i="8"/>
  <c r="F5" i="8" s="1"/>
  <c r="F74" i="8"/>
  <c r="E74" i="8"/>
  <c r="D74" i="8"/>
  <c r="C5" i="8" s="1"/>
  <c r="C74" i="8"/>
  <c r="B5" i="8" s="1"/>
  <c r="AI73" i="8"/>
  <c r="AH73" i="8"/>
  <c r="AI72" i="8"/>
  <c r="AH72" i="8"/>
  <c r="AI71" i="8"/>
  <c r="AH71" i="8"/>
  <c r="AI70" i="8"/>
  <c r="AH70" i="8"/>
  <c r="AI69" i="8"/>
  <c r="AH69" i="8"/>
  <c r="AI68" i="8"/>
  <c r="AH68" i="8"/>
  <c r="AI67" i="8"/>
  <c r="AH67" i="8"/>
  <c r="AI66" i="8"/>
  <c r="AH66" i="8"/>
  <c r="AI65" i="8"/>
  <c r="AH65" i="8"/>
  <c r="AI64" i="8"/>
  <c r="AH64" i="8"/>
  <c r="AI63" i="8"/>
  <c r="AH63" i="8"/>
  <c r="AG62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AI61" i="8"/>
  <c r="AH61" i="8"/>
  <c r="AI60" i="8"/>
  <c r="AH60" i="8"/>
  <c r="AI59" i="8"/>
  <c r="AH59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AI57" i="8"/>
  <c r="AH57" i="8"/>
  <c r="AG57" i="8"/>
  <c r="AG58" i="8" s="1"/>
  <c r="AG3" i="8" s="1"/>
  <c r="AI56" i="8"/>
  <c r="AH56" i="8"/>
  <c r="AI55" i="8"/>
  <c r="AH55" i="8"/>
  <c r="AI54" i="8"/>
  <c r="AH54" i="8"/>
  <c r="AI53" i="8"/>
  <c r="AH53" i="8"/>
  <c r="AI52" i="8"/>
  <c r="AH52" i="8"/>
  <c r="AI51" i="8"/>
  <c r="AH51" i="8"/>
  <c r="AI50" i="8"/>
  <c r="AH50" i="8"/>
  <c r="AI49" i="8"/>
  <c r="AH49" i="8"/>
  <c r="AI48" i="8"/>
  <c r="AH48" i="8"/>
  <c r="AI47" i="8"/>
  <c r="AH47" i="8"/>
  <c r="AI46" i="8"/>
  <c r="AH46" i="8"/>
  <c r="AI45" i="8"/>
  <c r="AH45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AI43" i="8"/>
  <c r="AH43" i="8"/>
  <c r="AI42" i="8"/>
  <c r="AH42" i="8"/>
  <c r="AI41" i="8"/>
  <c r="AH41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AI38" i="8"/>
  <c r="AH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AE5" i="8"/>
  <c r="AA5" i="8"/>
  <c r="Q5" i="8"/>
  <c r="M5" i="8"/>
  <c r="AG4" i="8"/>
  <c r="K4" i="8"/>
  <c r="B4" i="8"/>
  <c r="S235" i="8" s="1"/>
  <c r="AG2" i="8"/>
  <c r="AF103" i="6"/>
  <c r="AF39" i="6"/>
  <c r="AD103" i="6"/>
  <c r="AD39" i="6"/>
  <c r="AC103" i="6"/>
  <c r="AC39" i="6"/>
  <c r="AB103" i="6"/>
  <c r="AB39" i="6"/>
  <c r="W39" i="6"/>
  <c r="V39" i="6"/>
  <c r="U39" i="6"/>
  <c r="T100" i="6"/>
  <c r="E4" i="8"/>
  <c r="B224" i="8" l="1"/>
  <c r="AC79" i="8"/>
  <c r="AC81" i="8" s="1"/>
  <c r="M89" i="8"/>
  <c r="E223" i="8"/>
  <c r="D224" i="8"/>
  <c r="H89" i="8"/>
  <c r="H90" i="8" s="1"/>
  <c r="X89" i="8"/>
  <c r="X90" i="8" s="1"/>
  <c r="Y79" i="8"/>
  <c r="Y81" i="8" s="1"/>
  <c r="D100" i="8"/>
  <c r="R89" i="8"/>
  <c r="K259" i="9"/>
  <c r="M223" i="9"/>
  <c r="K224" i="9"/>
  <c r="L218" i="9"/>
  <c r="K100" i="9"/>
  <c r="AF89" i="8"/>
  <c r="AF90" i="8" s="1"/>
  <c r="AF79" i="8"/>
  <c r="AF81" i="8" s="1"/>
  <c r="AE89" i="8"/>
  <c r="AE90" i="8" s="1"/>
  <c r="AE79" i="8"/>
  <c r="AE81" i="8" s="1"/>
  <c r="AD89" i="8"/>
  <c r="AD90" i="8" s="1"/>
  <c r="AC5" i="8"/>
  <c r="AD79" i="8"/>
  <c r="AD81" i="8" s="1"/>
  <c r="AC90" i="8"/>
  <c r="AB5" i="8"/>
  <c r="AB89" i="8"/>
  <c r="AB90" i="8"/>
  <c r="AB79" i="8"/>
  <c r="AB81" i="8" s="1"/>
  <c r="AA89" i="8"/>
  <c r="AA90" i="8" s="1"/>
  <c r="AA79" i="8"/>
  <c r="AA81" i="8" s="1"/>
  <c r="AA82" i="8" s="1"/>
  <c r="Z89" i="8"/>
  <c r="Z79" i="8"/>
  <c r="Z81" i="8" s="1"/>
  <c r="X79" i="8"/>
  <c r="X81" i="8" s="1"/>
  <c r="X7" i="8" s="1"/>
  <c r="W89" i="8"/>
  <c r="W90" i="8" s="1"/>
  <c r="V5" i="8"/>
  <c r="W79" i="8"/>
  <c r="W81" i="8" s="1"/>
  <c r="W82" i="8" s="1"/>
  <c r="S79" i="8"/>
  <c r="S81" i="8" s="1"/>
  <c r="S82" i="8" s="1"/>
  <c r="V89" i="8"/>
  <c r="V90" i="8" s="1"/>
  <c r="U5" i="8"/>
  <c r="V79" i="8"/>
  <c r="V81" i="8" s="1"/>
  <c r="U89" i="8"/>
  <c r="U90" i="8"/>
  <c r="U79" i="8"/>
  <c r="U81" i="8" s="1"/>
  <c r="T89" i="8"/>
  <c r="T82" i="8" s="1"/>
  <c r="T90" i="8"/>
  <c r="T79" i="8"/>
  <c r="T81" i="8" s="1"/>
  <c r="T7" i="8" s="1"/>
  <c r="S89" i="8"/>
  <c r="AI87" i="8"/>
  <c r="R79" i="8"/>
  <c r="R81" i="8" s="1"/>
  <c r="Q89" i="8"/>
  <c r="Q79" i="8"/>
  <c r="Q81" i="8" s="1"/>
  <c r="AI238" i="8" s="1"/>
  <c r="P89" i="8"/>
  <c r="P90" i="8" s="1"/>
  <c r="O5" i="8"/>
  <c r="AI62" i="8"/>
  <c r="P79" i="8"/>
  <c r="P81" i="8" s="1"/>
  <c r="P7" i="8" s="1"/>
  <c r="O89" i="8"/>
  <c r="O90" i="8" s="1"/>
  <c r="N5" i="8"/>
  <c r="O79" i="8"/>
  <c r="O81" i="8" s="1"/>
  <c r="AI85" i="8"/>
  <c r="N89" i="8"/>
  <c r="N90" i="8" s="1"/>
  <c r="N79" i="8"/>
  <c r="N81" i="8" s="1"/>
  <c r="AF238" i="8" s="1"/>
  <c r="M90" i="8"/>
  <c r="M79" i="8"/>
  <c r="M81" i="8" s="1"/>
  <c r="M7" i="8" s="1"/>
  <c r="L89" i="8"/>
  <c r="L79" i="8"/>
  <c r="L81" i="8" s="1"/>
  <c r="AD238" i="8" s="1"/>
  <c r="J79" i="8"/>
  <c r="J81" i="8" s="1"/>
  <c r="AB238" i="8" s="1"/>
  <c r="I89" i="8"/>
  <c r="I79" i="8"/>
  <c r="I81" i="8" s="1"/>
  <c r="I7" i="8" s="1"/>
  <c r="G5" i="8"/>
  <c r="H79" i="8"/>
  <c r="H81" i="8" s="1"/>
  <c r="AI44" i="8"/>
  <c r="G89" i="8"/>
  <c r="G90" i="8" s="1"/>
  <c r="AI83" i="8"/>
  <c r="L90" i="8"/>
  <c r="J89" i="8"/>
  <c r="J90" i="8" s="1"/>
  <c r="AI86" i="8"/>
  <c r="F89" i="8"/>
  <c r="F82" i="8" s="1"/>
  <c r="AI84" i="8"/>
  <c r="E5" i="8"/>
  <c r="F79" i="8"/>
  <c r="F81" i="8" s="1"/>
  <c r="F7" i="8" s="1"/>
  <c r="AH84" i="8"/>
  <c r="E90" i="8"/>
  <c r="D5" i="8"/>
  <c r="K79" i="8"/>
  <c r="K81" i="8" s="1"/>
  <c r="K7" i="8" s="1"/>
  <c r="G79" i="8"/>
  <c r="G81" i="8" s="1"/>
  <c r="Y238" i="8" s="1"/>
  <c r="B79" i="8"/>
  <c r="B81" i="8" s="1"/>
  <c r="E79" i="8"/>
  <c r="E81" i="8" s="1"/>
  <c r="W238" i="8" s="1"/>
  <c r="D89" i="8"/>
  <c r="D90" i="8" s="1"/>
  <c r="AH86" i="8"/>
  <c r="D79" i="8"/>
  <c r="D81" i="8" s="1"/>
  <c r="V238" i="8" s="1"/>
  <c r="AI58" i="8"/>
  <c r="C89" i="8"/>
  <c r="C90" i="8" s="1"/>
  <c r="C79" i="8"/>
  <c r="C81" i="8" s="1"/>
  <c r="U238" i="8" s="1"/>
  <c r="AI40" i="8"/>
  <c r="AF5" i="8"/>
  <c r="H4" i="8"/>
  <c r="AF7" i="8"/>
  <c r="AX238" i="8"/>
  <c r="AF82" i="8"/>
  <c r="I82" i="8"/>
  <c r="Q7" i="8"/>
  <c r="Q82" i="8"/>
  <c r="Y7" i="8"/>
  <c r="AQ238" i="8"/>
  <c r="Y82" i="8"/>
  <c r="AG79" i="8"/>
  <c r="AH238" i="8"/>
  <c r="R7" i="8"/>
  <c r="AJ238" i="8"/>
  <c r="R82" i="8"/>
  <c r="Z7" i="8"/>
  <c r="AR238" i="8"/>
  <c r="Z82" i="8"/>
  <c r="H7" i="8"/>
  <c r="AA7" i="8"/>
  <c r="L7" i="8"/>
  <c r="AL238" i="8"/>
  <c r="AB7" i="8"/>
  <c r="AT238" i="8"/>
  <c r="AB82" i="8"/>
  <c r="AG81" i="8"/>
  <c r="G218" i="8"/>
  <c r="AG6" i="8"/>
  <c r="U7" i="8"/>
  <c r="AM238" i="8"/>
  <c r="U82" i="8"/>
  <c r="AC7" i="8"/>
  <c r="AU238" i="8"/>
  <c r="AC82" i="8"/>
  <c r="I90" i="8"/>
  <c r="Q90" i="8"/>
  <c r="Y90" i="8"/>
  <c r="N82" i="8"/>
  <c r="V7" i="8"/>
  <c r="AN238" i="8"/>
  <c r="V82" i="8"/>
  <c r="AD7" i="8"/>
  <c r="AV238" i="8"/>
  <c r="R90" i="8"/>
  <c r="Z90" i="8"/>
  <c r="X82" i="8"/>
  <c r="AG238" i="8"/>
  <c r="O82" i="8"/>
  <c r="O7" i="8"/>
  <c r="W7" i="8"/>
  <c r="AW238" i="8"/>
  <c r="AE82" i="8"/>
  <c r="AE7" i="8"/>
  <c r="K90" i="8"/>
  <c r="S90" i="8"/>
  <c r="E224" i="8"/>
  <c r="D235" i="8"/>
  <c r="AH58" i="8"/>
  <c r="AH62" i="8"/>
  <c r="AH74" i="8"/>
  <c r="AI74" i="8"/>
  <c r="AH83" i="8"/>
  <c r="B89" i="8"/>
  <c r="B82" i="8" s="1"/>
  <c r="F223" i="8"/>
  <c r="AH40" i="8"/>
  <c r="AH44" i="8"/>
  <c r="AH85" i="8"/>
  <c r="AH87" i="8"/>
  <c r="AS238" i="8" l="1"/>
  <c r="P82" i="8"/>
  <c r="H82" i="8"/>
  <c r="AD82" i="8"/>
  <c r="AK238" i="8"/>
  <c r="AO238" i="8"/>
  <c r="S7" i="8"/>
  <c r="D259" i="8"/>
  <c r="E100" i="8"/>
  <c r="C82" i="8"/>
  <c r="N7" i="8"/>
  <c r="C7" i="8"/>
  <c r="Z238" i="8"/>
  <c r="J82" i="8"/>
  <c r="AP238" i="8"/>
  <c r="L224" i="9"/>
  <c r="M218" i="9"/>
  <c r="L100" i="9"/>
  <c r="L259" i="9"/>
  <c r="N223" i="9"/>
  <c r="X238" i="8"/>
  <c r="M82" i="8"/>
  <c r="AE238" i="8"/>
  <c r="L82" i="8"/>
  <c r="J7" i="8"/>
  <c r="AA238" i="8"/>
  <c r="K82" i="8"/>
  <c r="G7" i="8"/>
  <c r="B233" i="8"/>
  <c r="F90" i="8"/>
  <c r="C233" i="8"/>
  <c r="AC238" i="8"/>
  <c r="G82" i="8"/>
  <c r="E7" i="8"/>
  <c r="E82" i="8"/>
  <c r="D7" i="8"/>
  <c r="D82" i="8"/>
  <c r="E259" i="8"/>
  <c r="G223" i="8"/>
  <c r="G224" i="8" s="1"/>
  <c r="H218" i="8"/>
  <c r="G100" i="8"/>
  <c r="AI89" i="8"/>
  <c r="AH89" i="8"/>
  <c r="B90" i="8"/>
  <c r="AI79" i="8"/>
  <c r="AH79" i="8"/>
  <c r="F224" i="8"/>
  <c r="F100" i="8"/>
  <c r="M259" i="9" l="1"/>
  <c r="O223" i="9"/>
  <c r="N218" i="9"/>
  <c r="M100" i="9"/>
  <c r="M224" i="9"/>
  <c r="K6" i="8"/>
  <c r="I218" i="8"/>
  <c r="AI90" i="8"/>
  <c r="AH90" i="8"/>
  <c r="F259" i="8"/>
  <c r="H223" i="8"/>
  <c r="B7" i="8"/>
  <c r="T238" i="8"/>
  <c r="AI81" i="8"/>
  <c r="AH81" i="8"/>
  <c r="A7" i="8" l="1"/>
  <c r="AJ8" i="8"/>
  <c r="O218" i="9"/>
  <c r="N100" i="9"/>
  <c r="N224" i="9"/>
  <c r="N259" i="9"/>
  <c r="P223" i="9"/>
  <c r="O259" i="9" s="1"/>
  <c r="G259" i="8"/>
  <c r="I223" i="8"/>
  <c r="AI82" i="8"/>
  <c r="AH82" i="8"/>
  <c r="H224" i="8"/>
  <c r="H100" i="8"/>
  <c r="I100" i="8"/>
  <c r="I224" i="8"/>
  <c r="J218" i="8"/>
  <c r="P218" i="9" l="1"/>
  <c r="O100" i="9"/>
  <c r="O224" i="9"/>
  <c r="H259" i="8"/>
  <c r="J223" i="8"/>
  <c r="J100" i="8"/>
  <c r="J224" i="8"/>
  <c r="K218" i="8"/>
  <c r="P224" i="9" l="1"/>
  <c r="P100" i="9"/>
  <c r="L218" i="8"/>
  <c r="K223" i="8"/>
  <c r="K224" i="8" s="1"/>
  <c r="I259" i="8"/>
  <c r="AH100" i="9" l="1"/>
  <c r="AI100" i="9"/>
  <c r="M218" i="8"/>
  <c r="L100" i="8"/>
  <c r="J259" i="8"/>
  <c r="L223" i="8"/>
  <c r="K100" i="8"/>
  <c r="K259" i="8" l="1"/>
  <c r="M223" i="8"/>
  <c r="N218" i="8"/>
  <c r="M100" i="8"/>
  <c r="M224" i="8"/>
  <c r="L224" i="8"/>
  <c r="O218" i="8" l="1"/>
  <c r="L259" i="8"/>
  <c r="N223" i="8"/>
  <c r="M259" i="8" l="1"/>
  <c r="O223" i="8"/>
  <c r="N224" i="8"/>
  <c r="N100" i="8"/>
  <c r="P218" i="8"/>
  <c r="O100" i="8"/>
  <c r="O224" i="8"/>
  <c r="N259" i="8" l="1"/>
  <c r="P223" i="8"/>
  <c r="O259" i="8" s="1"/>
  <c r="P224" i="8" l="1"/>
  <c r="P100" i="8"/>
  <c r="AI100" i="8" l="1"/>
  <c r="AH100" i="8"/>
  <c r="T39" i="6" l="1"/>
  <c r="S39" i="6"/>
  <c r="R39" i="6"/>
  <c r="Q103" i="6"/>
  <c r="Q39" i="6"/>
  <c r="P103" i="6"/>
  <c r="P39" i="6"/>
  <c r="O103" i="6"/>
  <c r="O39" i="6"/>
  <c r="N103" i="6" l="1"/>
  <c r="N39" i="6"/>
  <c r="M103" i="6"/>
  <c r="M39" i="6"/>
  <c r="L103" i="6"/>
  <c r="L39" i="6"/>
  <c r="K103" i="6"/>
  <c r="K39" i="6"/>
  <c r="J103" i="6"/>
  <c r="J39" i="6"/>
  <c r="I103" i="6"/>
  <c r="I39" i="6"/>
  <c r="H103" i="6"/>
  <c r="H39" i="6"/>
  <c r="G103" i="6"/>
  <c r="G39" i="6"/>
  <c r="F103" i="6"/>
  <c r="F39" i="6"/>
  <c r="E103" i="6"/>
  <c r="E39" i="6"/>
  <c r="D103" i="6"/>
  <c r="D39" i="6"/>
  <c r="C103" i="6"/>
  <c r="C100" i="6" s="1"/>
  <c r="C39" i="6"/>
  <c r="B103" i="6"/>
  <c r="AF263" i="6"/>
  <c r="AE263" i="6"/>
  <c r="AD263" i="6"/>
  <c r="AC263" i="6"/>
  <c r="AB263" i="6"/>
  <c r="AA263" i="6"/>
  <c r="Z263" i="6"/>
  <c r="Y263" i="6"/>
  <c r="X263" i="6"/>
  <c r="W263" i="6"/>
  <c r="V263" i="6"/>
  <c r="U263" i="6"/>
  <c r="T263" i="6"/>
  <c r="S263" i="6"/>
  <c r="R263" i="6"/>
  <c r="Q263" i="6"/>
  <c r="P263" i="6"/>
  <c r="O263" i="6"/>
  <c r="N263" i="6"/>
  <c r="M263" i="6"/>
  <c r="L263" i="6"/>
  <c r="K263" i="6"/>
  <c r="J263" i="6"/>
  <c r="I263" i="6"/>
  <c r="H263" i="6"/>
  <c r="G263" i="6"/>
  <c r="F263" i="6"/>
  <c r="E263" i="6"/>
  <c r="D263" i="6"/>
  <c r="C263" i="6"/>
  <c r="B263" i="6"/>
  <c r="A263" i="6"/>
  <c r="AF262" i="6"/>
  <c r="AE262" i="6"/>
  <c r="AD262" i="6"/>
  <c r="AC262" i="6"/>
  <c r="AB262" i="6"/>
  <c r="AA262" i="6"/>
  <c r="Z262" i="6"/>
  <c r="Y262" i="6"/>
  <c r="X262" i="6"/>
  <c r="W262" i="6"/>
  <c r="V262" i="6"/>
  <c r="U262" i="6"/>
  <c r="T262" i="6"/>
  <c r="S262" i="6"/>
  <c r="R262" i="6"/>
  <c r="Q262" i="6"/>
  <c r="P262" i="6"/>
  <c r="O262" i="6"/>
  <c r="N262" i="6"/>
  <c r="M262" i="6"/>
  <c r="L262" i="6"/>
  <c r="K262" i="6"/>
  <c r="J262" i="6"/>
  <c r="I262" i="6"/>
  <c r="H262" i="6"/>
  <c r="G262" i="6"/>
  <c r="F262" i="6"/>
  <c r="E262" i="6"/>
  <c r="D262" i="6"/>
  <c r="C262" i="6"/>
  <c r="B262" i="6"/>
  <c r="A262" i="6"/>
  <c r="AF261" i="6"/>
  <c r="AE261" i="6"/>
  <c r="AD261" i="6"/>
  <c r="AC261" i="6"/>
  <c r="AB261" i="6"/>
  <c r="AA261" i="6"/>
  <c r="Z261" i="6"/>
  <c r="Y261" i="6"/>
  <c r="X261" i="6"/>
  <c r="W261" i="6"/>
  <c r="V261" i="6"/>
  <c r="U261" i="6"/>
  <c r="T261" i="6"/>
  <c r="S261" i="6"/>
  <c r="R261" i="6"/>
  <c r="Q261" i="6"/>
  <c r="P261" i="6"/>
  <c r="O261" i="6"/>
  <c r="N261" i="6"/>
  <c r="M261" i="6"/>
  <c r="L261" i="6"/>
  <c r="K261" i="6"/>
  <c r="J261" i="6"/>
  <c r="I261" i="6"/>
  <c r="H261" i="6"/>
  <c r="G261" i="6"/>
  <c r="F261" i="6"/>
  <c r="E261" i="6"/>
  <c r="D261" i="6"/>
  <c r="C261" i="6"/>
  <c r="B261" i="6"/>
  <c r="A261" i="6"/>
  <c r="AF260" i="6"/>
  <c r="AE260" i="6"/>
  <c r="AD260" i="6"/>
  <c r="AC260" i="6"/>
  <c r="AB260" i="6"/>
  <c r="AA260" i="6"/>
  <c r="Z260" i="6"/>
  <c r="Y260" i="6"/>
  <c r="X260" i="6"/>
  <c r="W260" i="6"/>
  <c r="V260" i="6"/>
  <c r="U260" i="6"/>
  <c r="T260" i="6"/>
  <c r="S260" i="6"/>
  <c r="R260" i="6"/>
  <c r="Q260" i="6"/>
  <c r="P260" i="6"/>
  <c r="O260" i="6"/>
  <c r="N260" i="6"/>
  <c r="M260" i="6"/>
  <c r="L260" i="6"/>
  <c r="K260" i="6"/>
  <c r="J260" i="6"/>
  <c r="I260" i="6"/>
  <c r="H260" i="6"/>
  <c r="G260" i="6"/>
  <c r="F260" i="6"/>
  <c r="E260" i="6"/>
  <c r="D260" i="6"/>
  <c r="C260" i="6"/>
  <c r="B260" i="6"/>
  <c r="A260" i="6"/>
  <c r="AE259" i="6"/>
  <c r="AD259" i="6"/>
  <c r="AC259" i="6"/>
  <c r="AB259" i="6"/>
  <c r="AA259" i="6"/>
  <c r="Z259" i="6"/>
  <c r="Y259" i="6"/>
  <c r="X259" i="6"/>
  <c r="W259" i="6"/>
  <c r="V259" i="6"/>
  <c r="U259" i="6"/>
  <c r="T259" i="6"/>
  <c r="S259" i="6"/>
  <c r="R259" i="6"/>
  <c r="Q259" i="6"/>
  <c r="P259" i="6"/>
  <c r="B259" i="6"/>
  <c r="S234" i="6"/>
  <c r="AG224" i="6"/>
  <c r="AG57" i="6" s="1"/>
  <c r="AG58" i="6" s="1"/>
  <c r="AG3" i="6" s="1"/>
  <c r="AF224" i="6"/>
  <c r="AE224" i="6"/>
  <c r="AD224" i="6"/>
  <c r="AC224" i="6"/>
  <c r="AB224" i="6"/>
  <c r="AA224" i="6"/>
  <c r="Z224" i="6"/>
  <c r="Y224" i="6"/>
  <c r="X224" i="6"/>
  <c r="W224" i="6"/>
  <c r="V224" i="6"/>
  <c r="U224" i="6"/>
  <c r="T224" i="6"/>
  <c r="S224" i="6"/>
  <c r="R224" i="6"/>
  <c r="Q224" i="6"/>
  <c r="C224" i="6"/>
  <c r="E223" i="6"/>
  <c r="D259" i="6" s="1"/>
  <c r="D223" i="6"/>
  <c r="C259" i="6" s="1"/>
  <c r="B223" i="6"/>
  <c r="AF259" i="6" s="1"/>
  <c r="D222" i="6"/>
  <c r="E222" i="6" s="1"/>
  <c r="F222" i="6" s="1"/>
  <c r="G222" i="6" s="1"/>
  <c r="H222" i="6" s="1"/>
  <c r="I222" i="6" s="1"/>
  <c r="J222" i="6" s="1"/>
  <c r="K222" i="6" s="1"/>
  <c r="L222" i="6" s="1"/>
  <c r="M222" i="6" s="1"/>
  <c r="N222" i="6" s="1"/>
  <c r="O222" i="6" s="1"/>
  <c r="P222" i="6" s="1"/>
  <c r="B222" i="6"/>
  <c r="D221" i="6"/>
  <c r="E221" i="6" s="1"/>
  <c r="F221" i="6" s="1"/>
  <c r="G221" i="6" s="1"/>
  <c r="H221" i="6" s="1"/>
  <c r="I221" i="6" s="1"/>
  <c r="J221" i="6" s="1"/>
  <c r="K221" i="6" s="1"/>
  <c r="L221" i="6" s="1"/>
  <c r="M221" i="6" s="1"/>
  <c r="N221" i="6" s="1"/>
  <c r="O221" i="6" s="1"/>
  <c r="P221" i="6" s="1"/>
  <c r="B221" i="6"/>
  <c r="F220" i="6"/>
  <c r="G220" i="6" s="1"/>
  <c r="H220" i="6" s="1"/>
  <c r="I220" i="6" s="1"/>
  <c r="J220" i="6" s="1"/>
  <c r="K220" i="6" s="1"/>
  <c r="L220" i="6" s="1"/>
  <c r="M220" i="6" s="1"/>
  <c r="N220" i="6" s="1"/>
  <c r="O220" i="6" s="1"/>
  <c r="P220" i="6" s="1"/>
  <c r="E220" i="6"/>
  <c r="D220" i="6"/>
  <c r="B220" i="6"/>
  <c r="D219" i="6"/>
  <c r="E219" i="6" s="1"/>
  <c r="F219" i="6" s="1"/>
  <c r="G219" i="6" s="1"/>
  <c r="H219" i="6" s="1"/>
  <c r="I219" i="6" s="1"/>
  <c r="J219" i="6" s="1"/>
  <c r="K219" i="6" s="1"/>
  <c r="L219" i="6" s="1"/>
  <c r="M219" i="6" s="1"/>
  <c r="N219" i="6" s="1"/>
  <c r="O219" i="6" s="1"/>
  <c r="P219" i="6" s="1"/>
  <c r="B219" i="6"/>
  <c r="D218" i="6"/>
  <c r="B218" i="6"/>
  <c r="B100" i="6" s="1"/>
  <c r="AG216" i="6"/>
  <c r="AF216" i="6"/>
  <c r="AE216" i="6"/>
  <c r="AD216" i="6"/>
  <c r="AC216" i="6"/>
  <c r="AB216" i="6"/>
  <c r="AA216" i="6"/>
  <c r="Z216" i="6"/>
  <c r="Y216" i="6"/>
  <c r="X216" i="6"/>
  <c r="W216" i="6"/>
  <c r="V216" i="6"/>
  <c r="U216" i="6"/>
  <c r="T216" i="6"/>
  <c r="S216" i="6"/>
  <c r="R216" i="6"/>
  <c r="Q216" i="6"/>
  <c r="P216" i="6"/>
  <c r="O216" i="6"/>
  <c r="N216" i="6"/>
  <c r="M216" i="6"/>
  <c r="L216" i="6"/>
  <c r="K216" i="6"/>
  <c r="J216" i="6"/>
  <c r="I216" i="6"/>
  <c r="H216" i="6"/>
  <c r="G216" i="6"/>
  <c r="F216" i="6"/>
  <c r="E216" i="6"/>
  <c r="D216" i="6"/>
  <c r="C216" i="6"/>
  <c r="B216" i="6"/>
  <c r="AI109" i="6"/>
  <c r="AH109" i="6"/>
  <c r="AI108" i="6"/>
  <c r="AH108" i="6"/>
  <c r="AI107" i="6"/>
  <c r="AH107" i="6"/>
  <c r="AI106" i="6"/>
  <c r="AH106" i="6"/>
  <c r="AI105" i="6"/>
  <c r="AH105" i="6"/>
  <c r="AI104" i="6"/>
  <c r="AH104" i="6"/>
  <c r="AI102" i="6"/>
  <c r="AH102" i="6"/>
  <c r="AI101" i="6"/>
  <c r="AH101" i="6"/>
  <c r="AF100" i="6"/>
  <c r="AE100" i="6"/>
  <c r="AD100" i="6"/>
  <c r="AC100" i="6"/>
  <c r="AB100" i="6"/>
  <c r="AA100" i="6"/>
  <c r="Z100" i="6"/>
  <c r="Y100" i="6"/>
  <c r="X100" i="6"/>
  <c r="W100" i="6"/>
  <c r="V100" i="6"/>
  <c r="U100" i="6"/>
  <c r="S100" i="6"/>
  <c r="R100" i="6"/>
  <c r="Q100" i="6"/>
  <c r="D100" i="6"/>
  <c r="AI99" i="6"/>
  <c r="AH99" i="6"/>
  <c r="AI98" i="6"/>
  <c r="AH98" i="6"/>
  <c r="AI97" i="6"/>
  <c r="AH97" i="6"/>
  <c r="AI96" i="6"/>
  <c r="AH96" i="6"/>
  <c r="AI95" i="6"/>
  <c r="AH95" i="6"/>
  <c r="AI94" i="6"/>
  <c r="AH94" i="6"/>
  <c r="AI93" i="6"/>
  <c r="AH93" i="6"/>
  <c r="AI92" i="6"/>
  <c r="AH92" i="6"/>
  <c r="AI91" i="6"/>
  <c r="AH91" i="6"/>
  <c r="AI88" i="6"/>
  <c r="AH88" i="6"/>
  <c r="AF87" i="6"/>
  <c r="AE87" i="6"/>
  <c r="AD87" i="6"/>
  <c r="AC87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B87" i="6"/>
  <c r="AF86" i="6"/>
  <c r="AE86" i="6"/>
  <c r="AD86" i="6"/>
  <c r="AC86" i="6"/>
  <c r="AB86" i="6"/>
  <c r="AA86" i="6"/>
  <c r="Z86" i="6"/>
  <c r="Y86" i="6"/>
  <c r="X86" i="6"/>
  <c r="W86" i="6"/>
  <c r="V86" i="6"/>
  <c r="U86" i="6"/>
  <c r="T86" i="6"/>
  <c r="S86" i="6"/>
  <c r="R86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C86" i="6"/>
  <c r="B86" i="6"/>
  <c r="AF85" i="6"/>
  <c r="AE85" i="6"/>
  <c r="AD85" i="6"/>
  <c r="AC85" i="6"/>
  <c r="AB85" i="6"/>
  <c r="AA85" i="6"/>
  <c r="Z85" i="6"/>
  <c r="Y85" i="6"/>
  <c r="X85" i="6"/>
  <c r="W85" i="6"/>
  <c r="V85" i="6"/>
  <c r="U85" i="6"/>
  <c r="T85" i="6"/>
  <c r="S85" i="6"/>
  <c r="R85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C85" i="6"/>
  <c r="B85" i="6"/>
  <c r="AF84" i="6"/>
  <c r="AE84" i="6"/>
  <c r="AD84" i="6"/>
  <c r="AC84" i="6"/>
  <c r="AB84" i="6"/>
  <c r="AA84" i="6"/>
  <c r="Z84" i="6"/>
  <c r="Y84" i="6"/>
  <c r="X84" i="6"/>
  <c r="W84" i="6"/>
  <c r="V84" i="6"/>
  <c r="U84" i="6"/>
  <c r="T84" i="6"/>
  <c r="S84" i="6"/>
  <c r="R84" i="6"/>
  <c r="R89" i="6" s="1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C84" i="6"/>
  <c r="B84" i="6"/>
  <c r="AF83" i="6"/>
  <c r="AE83" i="6"/>
  <c r="AD83" i="6"/>
  <c r="AC83" i="6"/>
  <c r="AB83" i="6"/>
  <c r="AA83" i="6"/>
  <c r="Z83" i="6"/>
  <c r="Y83" i="6"/>
  <c r="Y89" i="6" s="1"/>
  <c r="X83" i="6"/>
  <c r="W83" i="6"/>
  <c r="V83" i="6"/>
  <c r="U83" i="6"/>
  <c r="T83" i="6"/>
  <c r="S83" i="6"/>
  <c r="R83" i="6"/>
  <c r="Q83" i="6"/>
  <c r="Q89" i="6" s="1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C83" i="6"/>
  <c r="C89" i="6" s="1"/>
  <c r="B83" i="6"/>
  <c r="AI80" i="6"/>
  <c r="AH80" i="6"/>
  <c r="AI78" i="6"/>
  <c r="AH78" i="6"/>
  <c r="AG78" i="6"/>
  <c r="AI77" i="6"/>
  <c r="AH77" i="6"/>
  <c r="AI76" i="6"/>
  <c r="AH76" i="6"/>
  <c r="AI75" i="6"/>
  <c r="AH75" i="6"/>
  <c r="AG74" i="6"/>
  <c r="AF74" i="6"/>
  <c r="AE5" i="6" s="1"/>
  <c r="AE74" i="6"/>
  <c r="AD5" i="6" s="1"/>
  <c r="AD74" i="6"/>
  <c r="AC5" i="6" s="1"/>
  <c r="AC74" i="6"/>
  <c r="AB74" i="6"/>
  <c r="AA5" i="6" s="1"/>
  <c r="AA74" i="6"/>
  <c r="Z5" i="6" s="1"/>
  <c r="Z74" i="6"/>
  <c r="Y74" i="6"/>
  <c r="X5" i="6" s="1"/>
  <c r="X74" i="6"/>
  <c r="W5" i="6" s="1"/>
  <c r="W74" i="6"/>
  <c r="V5" i="6" s="1"/>
  <c r="V74" i="6"/>
  <c r="U5" i="6" s="1"/>
  <c r="U74" i="6"/>
  <c r="T74" i="6"/>
  <c r="S5" i="6" s="1"/>
  <c r="S74" i="6"/>
  <c r="R74" i="6"/>
  <c r="Q74" i="6"/>
  <c r="P74" i="6"/>
  <c r="O5" i="6" s="1"/>
  <c r="O74" i="6"/>
  <c r="N5" i="6" s="1"/>
  <c r="N74" i="6"/>
  <c r="M5" i="6" s="1"/>
  <c r="M74" i="6"/>
  <c r="L74" i="6"/>
  <c r="K5" i="6" s="1"/>
  <c r="K74" i="6"/>
  <c r="J5" i="6" s="1"/>
  <c r="J74" i="6"/>
  <c r="I74" i="6"/>
  <c r="H74" i="6"/>
  <c r="G5" i="6" s="1"/>
  <c r="G74" i="6"/>
  <c r="F5" i="6" s="1"/>
  <c r="F74" i="6"/>
  <c r="E5" i="6" s="1"/>
  <c r="E74" i="6"/>
  <c r="D74" i="6"/>
  <c r="C5" i="6" s="1"/>
  <c r="C74" i="6"/>
  <c r="B5" i="6" s="1"/>
  <c r="B74" i="6"/>
  <c r="AF5" i="6" s="1"/>
  <c r="AI73" i="6"/>
  <c r="AH73" i="6"/>
  <c r="AI72" i="6"/>
  <c r="AH72" i="6"/>
  <c r="AI71" i="6"/>
  <c r="AH71" i="6"/>
  <c r="AI70" i="6"/>
  <c r="AH70" i="6"/>
  <c r="AI69" i="6"/>
  <c r="AH69" i="6"/>
  <c r="AI68" i="6"/>
  <c r="AH68" i="6"/>
  <c r="AI67" i="6"/>
  <c r="AH67" i="6"/>
  <c r="AI66" i="6"/>
  <c r="AH66" i="6"/>
  <c r="AI65" i="6"/>
  <c r="AH65" i="6"/>
  <c r="AI64" i="6"/>
  <c r="AH64" i="6"/>
  <c r="AI63" i="6"/>
  <c r="AH63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B62" i="6"/>
  <c r="AI61" i="6"/>
  <c r="AH61" i="6"/>
  <c r="AI60" i="6"/>
  <c r="AH60" i="6"/>
  <c r="AI59" i="6"/>
  <c r="AH59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B58" i="6"/>
  <c r="AI57" i="6"/>
  <c r="AH57" i="6"/>
  <c r="AI56" i="6"/>
  <c r="AH56" i="6"/>
  <c r="AI55" i="6"/>
  <c r="AH55" i="6"/>
  <c r="AI54" i="6"/>
  <c r="AH54" i="6"/>
  <c r="AI53" i="6"/>
  <c r="AH53" i="6"/>
  <c r="AI52" i="6"/>
  <c r="AH52" i="6"/>
  <c r="AI51" i="6"/>
  <c r="AH51" i="6"/>
  <c r="AI50" i="6"/>
  <c r="AH50" i="6"/>
  <c r="AI49" i="6"/>
  <c r="AH49" i="6"/>
  <c r="AI48" i="6"/>
  <c r="AH48" i="6"/>
  <c r="AI47" i="6"/>
  <c r="AH47" i="6"/>
  <c r="AI46" i="6"/>
  <c r="AH46" i="6"/>
  <c r="AI45" i="6"/>
  <c r="AH45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AI43" i="6"/>
  <c r="AH43" i="6"/>
  <c r="AI42" i="6"/>
  <c r="AH42" i="6"/>
  <c r="AI41" i="6"/>
  <c r="AH41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AI39" i="6"/>
  <c r="AI38" i="6"/>
  <c r="AH38" i="6"/>
  <c r="AI37" i="6"/>
  <c r="AH37" i="6"/>
  <c r="AI36" i="6"/>
  <c r="AH36" i="6"/>
  <c r="AI35" i="6"/>
  <c r="AH35" i="6"/>
  <c r="AI34" i="6"/>
  <c r="AH34" i="6"/>
  <c r="AI33" i="6"/>
  <c r="AH33" i="6"/>
  <c r="AI32" i="6"/>
  <c r="AH32" i="6"/>
  <c r="AI31" i="6"/>
  <c r="AH31" i="6"/>
  <c r="AI30" i="6"/>
  <c r="AH30" i="6"/>
  <c r="AI29" i="6"/>
  <c r="AH29" i="6"/>
  <c r="AI28" i="6"/>
  <c r="AH28" i="6"/>
  <c r="AI27" i="6"/>
  <c r="AH27" i="6"/>
  <c r="AI26" i="6"/>
  <c r="AH26" i="6"/>
  <c r="AI25" i="6"/>
  <c r="AH25" i="6"/>
  <c r="AI24" i="6"/>
  <c r="AH24" i="6"/>
  <c r="AI23" i="6"/>
  <c r="AH23" i="6"/>
  <c r="AI22" i="6"/>
  <c r="AH22" i="6"/>
  <c r="AI21" i="6"/>
  <c r="AH21" i="6"/>
  <c r="AI20" i="6"/>
  <c r="AH20" i="6"/>
  <c r="AI19" i="6"/>
  <c r="AH19" i="6"/>
  <c r="AI18" i="6"/>
  <c r="AH18" i="6"/>
  <c r="AI17" i="6"/>
  <c r="AH17" i="6"/>
  <c r="AI16" i="6"/>
  <c r="AH16" i="6"/>
  <c r="AI15" i="6"/>
  <c r="AH15" i="6"/>
  <c r="AI14" i="6"/>
  <c r="AH14" i="6"/>
  <c r="AI13" i="6"/>
  <c r="AH13" i="6"/>
  <c r="AI12" i="6"/>
  <c r="AH12" i="6"/>
  <c r="AI11" i="6"/>
  <c r="AH11" i="6"/>
  <c r="R5" i="6"/>
  <c r="AG4" i="6"/>
  <c r="K4" i="6"/>
  <c r="B4" i="6"/>
  <c r="S235" i="6" s="1"/>
  <c r="AG2" i="6"/>
  <c r="AF103" i="4"/>
  <c r="AF39" i="4"/>
  <c r="AE103" i="4"/>
  <c r="AE39" i="4"/>
  <c r="AD103" i="4"/>
  <c r="AD39" i="4"/>
  <c r="AC103" i="4"/>
  <c r="AC39" i="4"/>
  <c r="AB39" i="4"/>
  <c r="AB103" i="4"/>
  <c r="AA39" i="4"/>
  <c r="Z103" i="4"/>
  <c r="Z39" i="4"/>
  <c r="X103" i="4"/>
  <c r="X39" i="4"/>
  <c r="W103" i="4"/>
  <c r="W39" i="4"/>
  <c r="V103" i="4"/>
  <c r="T103" i="4"/>
  <c r="T39" i="4"/>
  <c r="S103" i="4"/>
  <c r="S39" i="4"/>
  <c r="R103" i="4"/>
  <c r="R39" i="4"/>
  <c r="Q103" i="4"/>
  <c r="Q39" i="4"/>
  <c r="P103" i="4"/>
  <c r="P39" i="4"/>
  <c r="E4" i="6"/>
  <c r="AH39" i="6" l="1"/>
  <c r="AG81" i="6"/>
  <c r="D224" i="6"/>
  <c r="V89" i="6"/>
  <c r="AD89" i="6"/>
  <c r="AH103" i="6"/>
  <c r="AG6" i="6"/>
  <c r="AE89" i="6"/>
  <c r="AI103" i="6"/>
  <c r="X89" i="6"/>
  <c r="AI62" i="6"/>
  <c r="X90" i="6"/>
  <c r="AF89" i="6"/>
  <c r="AF90" i="6" s="1"/>
  <c r="AF79" i="6"/>
  <c r="AF81" i="6" s="1"/>
  <c r="AE79" i="6"/>
  <c r="AE81" i="6" s="1"/>
  <c r="AE82" i="6" s="1"/>
  <c r="AD79" i="6"/>
  <c r="AD81" i="6" s="1"/>
  <c r="AC89" i="6"/>
  <c r="AC90" i="6" s="1"/>
  <c r="AC79" i="6"/>
  <c r="AC81" i="6" s="1"/>
  <c r="AB89" i="6"/>
  <c r="AB79" i="6"/>
  <c r="AB81" i="6" s="1"/>
  <c r="AA79" i="6"/>
  <c r="AA81" i="6" s="1"/>
  <c r="Z89" i="6"/>
  <c r="Z90" i="6" s="1"/>
  <c r="AA89" i="6"/>
  <c r="AA90" i="6" s="1"/>
  <c r="Z79" i="6"/>
  <c r="Z81" i="6" s="1"/>
  <c r="Y90" i="6"/>
  <c r="Y79" i="6"/>
  <c r="Y81" i="6" s="1"/>
  <c r="X79" i="6"/>
  <c r="X81" i="6" s="1"/>
  <c r="W89" i="6"/>
  <c r="W79" i="6"/>
  <c r="W81" i="6" s="1"/>
  <c r="V79" i="6"/>
  <c r="V81" i="6" s="1"/>
  <c r="U89" i="6"/>
  <c r="U90" i="6" s="1"/>
  <c r="U79" i="6"/>
  <c r="U81" i="6" s="1"/>
  <c r="T79" i="6"/>
  <c r="T81" i="6" s="1"/>
  <c r="T89" i="6"/>
  <c r="S89" i="6"/>
  <c r="S90" i="6" s="1"/>
  <c r="S79" i="6"/>
  <c r="S81" i="6" s="1"/>
  <c r="R90" i="6"/>
  <c r="R79" i="6"/>
  <c r="R81" i="6" s="1"/>
  <c r="Q90" i="6"/>
  <c r="P5" i="6"/>
  <c r="Q79" i="6"/>
  <c r="Q81" i="6" s="1"/>
  <c r="P89" i="6"/>
  <c r="P79" i="6"/>
  <c r="P81" i="6" s="1"/>
  <c r="P90" i="6"/>
  <c r="O89" i="6"/>
  <c r="O79" i="6"/>
  <c r="O81" i="6" s="1"/>
  <c r="O7" i="6" s="1"/>
  <c r="N79" i="6"/>
  <c r="N81" i="6" s="1"/>
  <c r="AF238" i="6" s="1"/>
  <c r="N89" i="6"/>
  <c r="M89" i="6"/>
  <c r="M90" i="6" s="1"/>
  <c r="M79" i="6"/>
  <c r="M81" i="6" s="1"/>
  <c r="M7" i="6" s="1"/>
  <c r="L89" i="6"/>
  <c r="L79" i="6"/>
  <c r="L81" i="6" s="1"/>
  <c r="L7" i="6" s="1"/>
  <c r="K89" i="6"/>
  <c r="K90" i="6" s="1"/>
  <c r="K79" i="6"/>
  <c r="K81" i="6" s="1"/>
  <c r="K82" i="6" s="1"/>
  <c r="J89" i="6"/>
  <c r="J90" i="6" s="1"/>
  <c r="J79" i="6"/>
  <c r="J81" i="6" s="1"/>
  <c r="AB238" i="6" s="1"/>
  <c r="I89" i="6"/>
  <c r="I90" i="6" s="1"/>
  <c r="H5" i="6"/>
  <c r="I79" i="6"/>
  <c r="I81" i="6" s="1"/>
  <c r="I7" i="6" s="1"/>
  <c r="H89" i="6"/>
  <c r="H90" i="6" s="1"/>
  <c r="H79" i="6"/>
  <c r="H81" i="6" s="1"/>
  <c r="H7" i="6" s="1"/>
  <c r="G89" i="6"/>
  <c r="G90" i="6" s="1"/>
  <c r="G79" i="6"/>
  <c r="G81" i="6" s="1"/>
  <c r="F89" i="6"/>
  <c r="F79" i="6"/>
  <c r="F81" i="6" s="1"/>
  <c r="F7" i="6" s="1"/>
  <c r="E89" i="6"/>
  <c r="E90" i="6" s="1"/>
  <c r="AI87" i="6"/>
  <c r="E79" i="6"/>
  <c r="E81" i="6" s="1"/>
  <c r="E7" i="6" s="1"/>
  <c r="AI85" i="6"/>
  <c r="D89" i="6"/>
  <c r="AH84" i="6"/>
  <c r="D79" i="6"/>
  <c r="D81" i="6" s="1"/>
  <c r="V238" i="6" s="1"/>
  <c r="C90" i="6"/>
  <c r="AI83" i="6"/>
  <c r="AI86" i="6"/>
  <c r="AH58" i="6"/>
  <c r="AH44" i="6"/>
  <c r="C79" i="6"/>
  <c r="C81" i="6" s="1"/>
  <c r="U238" i="6" s="1"/>
  <c r="AH40" i="6"/>
  <c r="AH85" i="6"/>
  <c r="H4" i="6"/>
  <c r="AC7" i="6"/>
  <c r="AU238" i="6"/>
  <c r="AC82" i="6"/>
  <c r="X7" i="6"/>
  <c r="AP238" i="6"/>
  <c r="X82" i="6"/>
  <c r="D7" i="6"/>
  <c r="AD238" i="6"/>
  <c r="AL238" i="6"/>
  <c r="T82" i="6"/>
  <c r="T7" i="6"/>
  <c r="AT238" i="6"/>
  <c r="AB7" i="6"/>
  <c r="AB82" i="6"/>
  <c r="U7" i="6"/>
  <c r="AM238" i="6"/>
  <c r="N82" i="6"/>
  <c r="AD7" i="6"/>
  <c r="AV238" i="6"/>
  <c r="AD82" i="6"/>
  <c r="V7" i="6"/>
  <c r="AN238" i="6"/>
  <c r="V82" i="6"/>
  <c r="Y238" i="6"/>
  <c r="AG238" i="6"/>
  <c r="O82" i="6"/>
  <c r="AO238" i="6"/>
  <c r="W82" i="6"/>
  <c r="W7" i="6"/>
  <c r="AE7" i="6"/>
  <c r="D90" i="6"/>
  <c r="L90" i="6"/>
  <c r="T90" i="6"/>
  <c r="AB90" i="6"/>
  <c r="M82" i="6"/>
  <c r="AH238" i="6"/>
  <c r="P82" i="6"/>
  <c r="P7" i="6"/>
  <c r="I82" i="6"/>
  <c r="Q82" i="6"/>
  <c r="AI238" i="6"/>
  <c r="Q7" i="6"/>
  <c r="Y7" i="6"/>
  <c r="AQ238" i="6"/>
  <c r="Y82" i="6"/>
  <c r="AG79" i="6"/>
  <c r="F90" i="6"/>
  <c r="N90" i="6"/>
  <c r="V90" i="6"/>
  <c r="AD90" i="6"/>
  <c r="R7" i="6"/>
  <c r="AJ238" i="6"/>
  <c r="R82" i="6"/>
  <c r="Z7" i="6"/>
  <c r="AR238" i="6"/>
  <c r="Z82" i="6"/>
  <c r="O90" i="6"/>
  <c r="W90" i="6"/>
  <c r="AE90" i="6"/>
  <c r="AF7" i="6"/>
  <c r="AX238" i="6"/>
  <c r="AF82" i="6"/>
  <c r="K7" i="6"/>
  <c r="AC238" i="6"/>
  <c r="S7" i="6"/>
  <c r="AK238" i="6"/>
  <c r="S82" i="6"/>
  <c r="AA7" i="6"/>
  <c r="AS238" i="6"/>
  <c r="AH62" i="6"/>
  <c r="AI84" i="6"/>
  <c r="I5" i="6"/>
  <c r="Q5" i="6"/>
  <c r="Y5" i="6"/>
  <c r="D235" i="6"/>
  <c r="AI58" i="6"/>
  <c r="AI74" i="6"/>
  <c r="AH83" i="6"/>
  <c r="B89" i="6"/>
  <c r="F223" i="6"/>
  <c r="D5" i="6"/>
  <c r="L5" i="6"/>
  <c r="T5" i="6"/>
  <c r="AB5" i="6"/>
  <c r="E218" i="6"/>
  <c r="AI40" i="6"/>
  <c r="AI44" i="6"/>
  <c r="AH86" i="6"/>
  <c r="B224" i="6"/>
  <c r="B79" i="6"/>
  <c r="AH87" i="6"/>
  <c r="AH74" i="6"/>
  <c r="G82" i="6" l="1"/>
  <c r="AW238" i="6"/>
  <c r="N7" i="6"/>
  <c r="U82" i="6"/>
  <c r="AA82" i="6"/>
  <c r="J7" i="6"/>
  <c r="AE238" i="6"/>
  <c r="L82" i="6"/>
  <c r="J82" i="6"/>
  <c r="AA238" i="6"/>
  <c r="H82" i="6"/>
  <c r="Z238" i="6"/>
  <c r="E82" i="6"/>
  <c r="W238" i="6"/>
  <c r="F82" i="6"/>
  <c r="X238" i="6"/>
  <c r="B233" i="6"/>
  <c r="C233" i="6"/>
  <c r="G7" i="6"/>
  <c r="D82" i="6"/>
  <c r="C7" i="6"/>
  <c r="C82" i="6"/>
  <c r="E259" i="6"/>
  <c r="G223" i="6"/>
  <c r="AH89" i="6"/>
  <c r="AI89" i="6"/>
  <c r="F218" i="6"/>
  <c r="E100" i="6"/>
  <c r="E224" i="6"/>
  <c r="B90" i="6"/>
  <c r="AH79" i="6"/>
  <c r="AI79" i="6"/>
  <c r="B81" i="6"/>
  <c r="K6" i="6" l="1"/>
  <c r="AI90" i="6"/>
  <c r="AH90" i="6"/>
  <c r="G218" i="6"/>
  <c r="F224" i="6"/>
  <c r="F100" i="6"/>
  <c r="AI81" i="6"/>
  <c r="B7" i="6"/>
  <c r="A7" i="6" s="1"/>
  <c r="T238" i="6"/>
  <c r="B82" i="6"/>
  <c r="AH81" i="6"/>
  <c r="H223" i="6"/>
  <c r="F259" i="6"/>
  <c r="H218" i="6" l="1"/>
  <c r="G100" i="6"/>
  <c r="G224" i="6"/>
  <c r="G259" i="6"/>
  <c r="I223" i="6"/>
  <c r="AH82" i="6"/>
  <c r="AI82" i="6"/>
  <c r="H259" i="6" l="1"/>
  <c r="J223" i="6"/>
  <c r="I218" i="6"/>
  <c r="H224" i="6"/>
  <c r="H100" i="6"/>
  <c r="K223" i="6" l="1"/>
  <c r="I259" i="6"/>
  <c r="I224" i="6"/>
  <c r="I100" i="6"/>
  <c r="J218" i="6"/>
  <c r="J259" i="6" l="1"/>
  <c r="L223" i="6"/>
  <c r="J100" i="6"/>
  <c r="J224" i="6"/>
  <c r="K218" i="6"/>
  <c r="K100" i="6" l="1"/>
  <c r="K224" i="6"/>
  <c r="L218" i="6"/>
  <c r="K259" i="6"/>
  <c r="M223" i="6"/>
  <c r="L224" i="6" l="1"/>
  <c r="M218" i="6"/>
  <c r="L100" i="6"/>
  <c r="L259" i="6"/>
  <c r="N223" i="6"/>
  <c r="M259" i="6" l="1"/>
  <c r="O223" i="6"/>
  <c r="N218" i="6"/>
  <c r="M100" i="6"/>
  <c r="M224" i="6"/>
  <c r="O218" i="6" l="1"/>
  <c r="N100" i="6"/>
  <c r="N224" i="6"/>
  <c r="P223" i="6"/>
  <c r="O259" i="6" s="1"/>
  <c r="N259" i="6"/>
  <c r="P218" i="6" l="1"/>
  <c r="O100" i="6"/>
  <c r="O224" i="6"/>
  <c r="P100" i="6" l="1"/>
  <c r="P224" i="6"/>
  <c r="AI100" i="6" l="1"/>
  <c r="AH100" i="6"/>
  <c r="O103" i="4" l="1"/>
  <c r="O39" i="4"/>
  <c r="N39" i="4"/>
  <c r="AF263" i="5"/>
  <c r="AE263" i="5"/>
  <c r="AD263" i="5"/>
  <c r="AC263" i="5"/>
  <c r="AB263" i="5"/>
  <c r="AA263" i="5"/>
  <c r="Z263" i="5"/>
  <c r="Y263" i="5"/>
  <c r="X263" i="5"/>
  <c r="W263" i="5"/>
  <c r="V263" i="5"/>
  <c r="U263" i="5"/>
  <c r="T263" i="5"/>
  <c r="S263" i="5"/>
  <c r="R263" i="5"/>
  <c r="Q263" i="5"/>
  <c r="P263" i="5"/>
  <c r="O263" i="5"/>
  <c r="N263" i="5"/>
  <c r="M263" i="5"/>
  <c r="L263" i="5"/>
  <c r="K263" i="5"/>
  <c r="J263" i="5"/>
  <c r="I263" i="5"/>
  <c r="H263" i="5"/>
  <c r="G263" i="5"/>
  <c r="F263" i="5"/>
  <c r="E263" i="5"/>
  <c r="D263" i="5"/>
  <c r="C263" i="5"/>
  <c r="B263" i="5"/>
  <c r="A263" i="5"/>
  <c r="AF262" i="5"/>
  <c r="AE262" i="5"/>
  <c r="AD262" i="5"/>
  <c r="AC262" i="5"/>
  <c r="AB262" i="5"/>
  <c r="AA262" i="5"/>
  <c r="Z262" i="5"/>
  <c r="Y262" i="5"/>
  <c r="X262" i="5"/>
  <c r="W262" i="5"/>
  <c r="V262" i="5"/>
  <c r="U262" i="5"/>
  <c r="T262" i="5"/>
  <c r="S262" i="5"/>
  <c r="R262" i="5"/>
  <c r="Q262" i="5"/>
  <c r="P262" i="5"/>
  <c r="O262" i="5"/>
  <c r="N262" i="5"/>
  <c r="M262" i="5"/>
  <c r="L262" i="5"/>
  <c r="K262" i="5"/>
  <c r="J262" i="5"/>
  <c r="I262" i="5"/>
  <c r="H262" i="5"/>
  <c r="G262" i="5"/>
  <c r="F262" i="5"/>
  <c r="E262" i="5"/>
  <c r="D262" i="5"/>
  <c r="C262" i="5"/>
  <c r="B262" i="5"/>
  <c r="A262" i="5"/>
  <c r="AF261" i="5"/>
  <c r="AE261" i="5"/>
  <c r="AD261" i="5"/>
  <c r="AC261" i="5"/>
  <c r="AB261" i="5"/>
  <c r="AA261" i="5"/>
  <c r="Z261" i="5"/>
  <c r="Y261" i="5"/>
  <c r="X261" i="5"/>
  <c r="W261" i="5"/>
  <c r="V261" i="5"/>
  <c r="U261" i="5"/>
  <c r="T261" i="5"/>
  <c r="S261" i="5"/>
  <c r="R261" i="5"/>
  <c r="Q261" i="5"/>
  <c r="P261" i="5"/>
  <c r="O261" i="5"/>
  <c r="N261" i="5"/>
  <c r="M261" i="5"/>
  <c r="L261" i="5"/>
  <c r="K261" i="5"/>
  <c r="J261" i="5"/>
  <c r="I261" i="5"/>
  <c r="H261" i="5"/>
  <c r="G261" i="5"/>
  <c r="F261" i="5"/>
  <c r="E261" i="5"/>
  <c r="D261" i="5"/>
  <c r="C261" i="5"/>
  <c r="B261" i="5"/>
  <c r="A261" i="5"/>
  <c r="AF260" i="5"/>
  <c r="AE260" i="5"/>
  <c r="AD260" i="5"/>
  <c r="AC260" i="5"/>
  <c r="AB260" i="5"/>
  <c r="AA260" i="5"/>
  <c r="Z260" i="5"/>
  <c r="Y260" i="5"/>
  <c r="X260" i="5"/>
  <c r="W260" i="5"/>
  <c r="V260" i="5"/>
  <c r="U260" i="5"/>
  <c r="T260" i="5"/>
  <c r="S260" i="5"/>
  <c r="R260" i="5"/>
  <c r="Q260" i="5"/>
  <c r="P260" i="5"/>
  <c r="O260" i="5"/>
  <c r="N260" i="5"/>
  <c r="M260" i="5"/>
  <c r="L260" i="5"/>
  <c r="K260" i="5"/>
  <c r="J260" i="5"/>
  <c r="I260" i="5"/>
  <c r="H260" i="5"/>
  <c r="G260" i="5"/>
  <c r="F260" i="5"/>
  <c r="E260" i="5"/>
  <c r="D260" i="5"/>
  <c r="C260" i="5"/>
  <c r="B260" i="5"/>
  <c r="A260" i="5"/>
  <c r="AE259" i="5"/>
  <c r="AD259" i="5"/>
  <c r="AC259" i="5"/>
  <c r="AB259" i="5"/>
  <c r="AA259" i="5"/>
  <c r="Z259" i="5"/>
  <c r="Y259" i="5"/>
  <c r="X259" i="5"/>
  <c r="W259" i="5"/>
  <c r="V259" i="5"/>
  <c r="U259" i="5"/>
  <c r="T259" i="5"/>
  <c r="S259" i="5"/>
  <c r="R259" i="5"/>
  <c r="Q259" i="5"/>
  <c r="P259" i="5"/>
  <c r="B259" i="5"/>
  <c r="S234" i="5"/>
  <c r="AG224" i="5"/>
  <c r="AF224" i="5"/>
  <c r="AE224" i="5"/>
  <c r="AD224" i="5"/>
  <c r="AC224" i="5"/>
  <c r="AB224" i="5"/>
  <c r="AA224" i="5"/>
  <c r="Z224" i="5"/>
  <c r="Y224" i="5"/>
  <c r="X224" i="5"/>
  <c r="W224" i="5"/>
  <c r="V224" i="5"/>
  <c r="U224" i="5"/>
  <c r="T224" i="5"/>
  <c r="S224" i="5"/>
  <c r="R224" i="5"/>
  <c r="Q224" i="5"/>
  <c r="C224" i="5"/>
  <c r="D223" i="5"/>
  <c r="C259" i="5" s="1"/>
  <c r="B223" i="5"/>
  <c r="AF259" i="5" s="1"/>
  <c r="D222" i="5"/>
  <c r="E222" i="5" s="1"/>
  <c r="F222" i="5" s="1"/>
  <c r="G222" i="5" s="1"/>
  <c r="H222" i="5" s="1"/>
  <c r="I222" i="5" s="1"/>
  <c r="J222" i="5" s="1"/>
  <c r="K222" i="5" s="1"/>
  <c r="L222" i="5" s="1"/>
  <c r="M222" i="5" s="1"/>
  <c r="N222" i="5" s="1"/>
  <c r="O222" i="5" s="1"/>
  <c r="P222" i="5" s="1"/>
  <c r="B222" i="5"/>
  <c r="D221" i="5"/>
  <c r="E221" i="5" s="1"/>
  <c r="F221" i="5" s="1"/>
  <c r="G221" i="5" s="1"/>
  <c r="H221" i="5" s="1"/>
  <c r="I221" i="5" s="1"/>
  <c r="J221" i="5" s="1"/>
  <c r="K221" i="5" s="1"/>
  <c r="L221" i="5" s="1"/>
  <c r="M221" i="5" s="1"/>
  <c r="N221" i="5" s="1"/>
  <c r="O221" i="5" s="1"/>
  <c r="P221" i="5" s="1"/>
  <c r="B221" i="5"/>
  <c r="E220" i="5"/>
  <c r="F220" i="5" s="1"/>
  <c r="G220" i="5" s="1"/>
  <c r="H220" i="5" s="1"/>
  <c r="I220" i="5" s="1"/>
  <c r="J220" i="5" s="1"/>
  <c r="K220" i="5" s="1"/>
  <c r="L220" i="5" s="1"/>
  <c r="M220" i="5" s="1"/>
  <c r="N220" i="5" s="1"/>
  <c r="O220" i="5" s="1"/>
  <c r="P220" i="5" s="1"/>
  <c r="D220" i="5"/>
  <c r="B220" i="5"/>
  <c r="D219" i="5"/>
  <c r="D224" i="5" s="1"/>
  <c r="B219" i="5"/>
  <c r="D218" i="5"/>
  <c r="E218" i="5" s="1"/>
  <c r="B218" i="5"/>
  <c r="B224" i="5" s="1"/>
  <c r="AG216" i="5"/>
  <c r="AF216" i="5"/>
  <c r="AE216" i="5"/>
  <c r="AD216" i="5"/>
  <c r="AC216" i="5"/>
  <c r="AB216" i="5"/>
  <c r="AA216" i="5"/>
  <c r="Z216" i="5"/>
  <c r="Y216" i="5"/>
  <c r="X216" i="5"/>
  <c r="W216" i="5"/>
  <c r="V216" i="5"/>
  <c r="U216" i="5"/>
  <c r="T216" i="5"/>
  <c r="S216" i="5"/>
  <c r="R216" i="5"/>
  <c r="Q216" i="5"/>
  <c r="P216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C216" i="5"/>
  <c r="B216" i="5"/>
  <c r="AI109" i="5"/>
  <c r="AH109" i="5"/>
  <c r="AI108" i="5"/>
  <c r="AH108" i="5"/>
  <c r="AI107" i="5"/>
  <c r="AH107" i="5"/>
  <c r="AI106" i="5"/>
  <c r="AH106" i="5"/>
  <c r="AI105" i="5"/>
  <c r="AH105" i="5"/>
  <c r="AI104" i="5"/>
  <c r="AH104" i="5"/>
  <c r="AI103" i="5"/>
  <c r="AH103" i="5"/>
  <c r="AI102" i="5"/>
  <c r="AH102" i="5"/>
  <c r="AI101" i="5"/>
  <c r="AH101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D100" i="5"/>
  <c r="C100" i="5"/>
  <c r="AI99" i="5"/>
  <c r="AH99" i="5"/>
  <c r="AI98" i="5"/>
  <c r="AH98" i="5"/>
  <c r="AI97" i="5"/>
  <c r="AH97" i="5"/>
  <c r="AI96" i="5"/>
  <c r="AH96" i="5"/>
  <c r="AI95" i="5"/>
  <c r="AH95" i="5"/>
  <c r="AI94" i="5"/>
  <c r="AH94" i="5"/>
  <c r="AI93" i="5"/>
  <c r="AH93" i="5"/>
  <c r="AI92" i="5"/>
  <c r="AH92" i="5"/>
  <c r="AI91" i="5"/>
  <c r="AH91" i="5"/>
  <c r="AI88" i="5"/>
  <c r="AH88" i="5"/>
  <c r="AF87" i="5"/>
  <c r="AE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AF86" i="5"/>
  <c r="AE86" i="5"/>
  <c r="AD86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AI86" i="5" s="1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B85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H89" i="5" s="1"/>
  <c r="G84" i="5"/>
  <c r="F84" i="5"/>
  <c r="E84" i="5"/>
  <c r="D84" i="5"/>
  <c r="C84" i="5"/>
  <c r="B84" i="5"/>
  <c r="AF83" i="5"/>
  <c r="AF89" i="5" s="1"/>
  <c r="AE83" i="5"/>
  <c r="AE89" i="5" s="1"/>
  <c r="AE90" i="5" s="1"/>
  <c r="AD83" i="5"/>
  <c r="AD89" i="5" s="1"/>
  <c r="AC83" i="5"/>
  <c r="AC89" i="5" s="1"/>
  <c r="AB83" i="5"/>
  <c r="AB89" i="5" s="1"/>
  <c r="AA83" i="5"/>
  <c r="Z83" i="5"/>
  <c r="Y83" i="5"/>
  <c r="X83" i="5"/>
  <c r="X89" i="5" s="1"/>
  <c r="W83" i="5"/>
  <c r="W89" i="5" s="1"/>
  <c r="W90" i="5" s="1"/>
  <c r="V83" i="5"/>
  <c r="V89" i="5" s="1"/>
  <c r="U83" i="5"/>
  <c r="U89" i="5" s="1"/>
  <c r="T83" i="5"/>
  <c r="T89" i="5" s="1"/>
  <c r="S83" i="5"/>
  <c r="R83" i="5"/>
  <c r="Q83" i="5"/>
  <c r="P83" i="5"/>
  <c r="P89" i="5" s="1"/>
  <c r="O83" i="5"/>
  <c r="O89" i="5" s="1"/>
  <c r="O90" i="5" s="1"/>
  <c r="N83" i="5"/>
  <c r="N89" i="5" s="1"/>
  <c r="M83" i="5"/>
  <c r="M89" i="5" s="1"/>
  <c r="L83" i="5"/>
  <c r="L89" i="5" s="1"/>
  <c r="K83" i="5"/>
  <c r="J83" i="5"/>
  <c r="I83" i="5"/>
  <c r="H83" i="5"/>
  <c r="G83" i="5"/>
  <c r="G89" i="5" s="1"/>
  <c r="G90" i="5" s="1"/>
  <c r="F83" i="5"/>
  <c r="F89" i="5" s="1"/>
  <c r="E83" i="5"/>
  <c r="E89" i="5" s="1"/>
  <c r="D83" i="5"/>
  <c r="D89" i="5" s="1"/>
  <c r="C83" i="5"/>
  <c r="B83" i="5"/>
  <c r="AI80" i="5"/>
  <c r="AH80" i="5"/>
  <c r="AI78" i="5"/>
  <c r="AH78" i="5"/>
  <c r="AG78" i="5"/>
  <c r="AI77" i="5"/>
  <c r="AH77" i="5"/>
  <c r="AI76" i="5"/>
  <c r="AH76" i="5"/>
  <c r="AI75" i="5"/>
  <c r="AH75" i="5"/>
  <c r="AG74" i="5"/>
  <c r="AF74" i="5"/>
  <c r="AE74" i="5"/>
  <c r="AD74" i="5"/>
  <c r="AC74" i="5"/>
  <c r="AB74" i="5"/>
  <c r="AA74" i="5"/>
  <c r="Z74" i="5"/>
  <c r="Y5" i="5" s="1"/>
  <c r="Y74" i="5"/>
  <c r="X5" i="5" s="1"/>
  <c r="X74" i="5"/>
  <c r="W74" i="5"/>
  <c r="V74" i="5"/>
  <c r="U74" i="5"/>
  <c r="T74" i="5"/>
  <c r="S74" i="5"/>
  <c r="R74" i="5"/>
  <c r="Q74" i="5"/>
  <c r="P5" i="5" s="1"/>
  <c r="P74" i="5"/>
  <c r="O74" i="5"/>
  <c r="N74" i="5"/>
  <c r="M74" i="5"/>
  <c r="L74" i="5"/>
  <c r="K74" i="5"/>
  <c r="J74" i="5"/>
  <c r="I74" i="5"/>
  <c r="H5" i="5" s="1"/>
  <c r="H74" i="5"/>
  <c r="G74" i="5"/>
  <c r="F74" i="5"/>
  <c r="E74" i="5"/>
  <c r="D74" i="5"/>
  <c r="C74" i="5"/>
  <c r="B74" i="5"/>
  <c r="AI73" i="5"/>
  <c r="AH73" i="5"/>
  <c r="AI72" i="5"/>
  <c r="AH72" i="5"/>
  <c r="AI71" i="5"/>
  <c r="AH71" i="5"/>
  <c r="AI70" i="5"/>
  <c r="AH70" i="5"/>
  <c r="AI69" i="5"/>
  <c r="AH69" i="5"/>
  <c r="AI68" i="5"/>
  <c r="AH68" i="5"/>
  <c r="AI67" i="5"/>
  <c r="AH67" i="5"/>
  <c r="AI66" i="5"/>
  <c r="AH66" i="5"/>
  <c r="AI65" i="5"/>
  <c r="AH65" i="5"/>
  <c r="AI64" i="5"/>
  <c r="AH64" i="5"/>
  <c r="AI63" i="5"/>
  <c r="AH63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AI61" i="5"/>
  <c r="AH61" i="5"/>
  <c r="AI60" i="5"/>
  <c r="AH60" i="5"/>
  <c r="AI59" i="5"/>
  <c r="AH59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AI57" i="5"/>
  <c r="AH57" i="5"/>
  <c r="AG57" i="5"/>
  <c r="AG58" i="5" s="1"/>
  <c r="AG3" i="5" s="1"/>
  <c r="AI56" i="5"/>
  <c r="AH56" i="5"/>
  <c r="AI55" i="5"/>
  <c r="AH55" i="5"/>
  <c r="AI54" i="5"/>
  <c r="AH54" i="5"/>
  <c r="AI53" i="5"/>
  <c r="AH53" i="5"/>
  <c r="AI52" i="5"/>
  <c r="AH52" i="5"/>
  <c r="AI51" i="5"/>
  <c r="AH51" i="5"/>
  <c r="AI50" i="5"/>
  <c r="AH50" i="5"/>
  <c r="AI49" i="5"/>
  <c r="AH49" i="5"/>
  <c r="AI48" i="5"/>
  <c r="AH48" i="5"/>
  <c r="AI47" i="5"/>
  <c r="AH47" i="5"/>
  <c r="AI46" i="5"/>
  <c r="AH46" i="5"/>
  <c r="AI45" i="5"/>
  <c r="AH45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I43" i="5"/>
  <c r="AH43" i="5"/>
  <c r="AI42" i="5"/>
  <c r="AH42" i="5"/>
  <c r="AI41" i="5"/>
  <c r="AH41" i="5"/>
  <c r="AG40" i="5"/>
  <c r="AF40" i="5"/>
  <c r="AE40" i="5"/>
  <c r="AE79" i="5" s="1"/>
  <c r="AE81" i="5" s="1"/>
  <c r="AD40" i="5"/>
  <c r="AC40" i="5"/>
  <c r="AC79" i="5" s="1"/>
  <c r="AC81" i="5" s="1"/>
  <c r="AB40" i="5"/>
  <c r="AB79" i="5" s="1"/>
  <c r="AB81" i="5" s="1"/>
  <c r="AA40" i="5"/>
  <c r="AA79" i="5" s="1"/>
  <c r="AA81" i="5" s="1"/>
  <c r="Z40" i="5"/>
  <c r="Y40" i="5"/>
  <c r="X40" i="5"/>
  <c r="W40" i="5"/>
  <c r="W79" i="5" s="1"/>
  <c r="W81" i="5" s="1"/>
  <c r="V40" i="5"/>
  <c r="U40" i="5"/>
  <c r="U79" i="5" s="1"/>
  <c r="U81" i="5" s="1"/>
  <c r="T40" i="5"/>
  <c r="T79" i="5" s="1"/>
  <c r="T81" i="5" s="1"/>
  <c r="S40" i="5"/>
  <c r="S79" i="5" s="1"/>
  <c r="S81" i="5" s="1"/>
  <c r="R40" i="5"/>
  <c r="Q40" i="5"/>
  <c r="P40" i="5"/>
  <c r="O40" i="5"/>
  <c r="O79" i="5" s="1"/>
  <c r="O81" i="5" s="1"/>
  <c r="N40" i="5"/>
  <c r="M40" i="5"/>
  <c r="M79" i="5" s="1"/>
  <c r="M81" i="5" s="1"/>
  <c r="L40" i="5"/>
  <c r="L79" i="5" s="1"/>
  <c r="L81" i="5" s="1"/>
  <c r="K40" i="5"/>
  <c r="K79" i="5" s="1"/>
  <c r="K81" i="5" s="1"/>
  <c r="J40" i="5"/>
  <c r="I40" i="5"/>
  <c r="H40" i="5"/>
  <c r="G40" i="5"/>
  <c r="G79" i="5" s="1"/>
  <c r="G81" i="5" s="1"/>
  <c r="F40" i="5"/>
  <c r="E40" i="5"/>
  <c r="E79" i="5" s="1"/>
  <c r="E81" i="5" s="1"/>
  <c r="D40" i="5"/>
  <c r="D79" i="5" s="1"/>
  <c r="D81" i="5" s="1"/>
  <c r="C40" i="5"/>
  <c r="C79" i="5" s="1"/>
  <c r="C81" i="5" s="1"/>
  <c r="B40" i="5"/>
  <c r="AI39" i="5"/>
  <c r="AH39" i="5"/>
  <c r="AI38" i="5"/>
  <c r="AH38" i="5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AF5" i="5"/>
  <c r="AE5" i="5"/>
  <c r="AD5" i="5"/>
  <c r="AC5" i="5"/>
  <c r="AB5" i="5"/>
  <c r="AA5" i="5"/>
  <c r="Z5" i="5"/>
  <c r="W5" i="5"/>
  <c r="V5" i="5"/>
  <c r="U5" i="5"/>
  <c r="T5" i="5"/>
  <c r="S5" i="5"/>
  <c r="R5" i="5"/>
  <c r="O5" i="5"/>
  <c r="N5" i="5"/>
  <c r="M5" i="5"/>
  <c r="L5" i="5"/>
  <c r="K5" i="5"/>
  <c r="J5" i="5"/>
  <c r="G5" i="5"/>
  <c r="F5" i="5"/>
  <c r="E5" i="5"/>
  <c r="D5" i="5"/>
  <c r="C5" i="5"/>
  <c r="B5" i="5"/>
  <c r="AG4" i="5"/>
  <c r="K4" i="5"/>
  <c r="B4" i="5"/>
  <c r="S235" i="5" s="1"/>
  <c r="AG2" i="5"/>
  <c r="AF263" i="4"/>
  <c r="AE263" i="4"/>
  <c r="AD263" i="4"/>
  <c r="AC263" i="4"/>
  <c r="AB263" i="4"/>
  <c r="AA263" i="4"/>
  <c r="Z263" i="4"/>
  <c r="Y263" i="4"/>
  <c r="X263" i="4"/>
  <c r="W263" i="4"/>
  <c r="V263" i="4"/>
  <c r="U263" i="4"/>
  <c r="T263" i="4"/>
  <c r="S263" i="4"/>
  <c r="R263" i="4"/>
  <c r="Q263" i="4"/>
  <c r="P263" i="4"/>
  <c r="O263" i="4"/>
  <c r="N263" i="4"/>
  <c r="M263" i="4"/>
  <c r="L263" i="4"/>
  <c r="K263" i="4"/>
  <c r="J263" i="4"/>
  <c r="I263" i="4"/>
  <c r="H263" i="4"/>
  <c r="G263" i="4"/>
  <c r="F263" i="4"/>
  <c r="E263" i="4"/>
  <c r="D263" i="4"/>
  <c r="C263" i="4"/>
  <c r="B263" i="4"/>
  <c r="A263" i="4"/>
  <c r="AF262" i="4"/>
  <c r="AE262" i="4"/>
  <c r="AD262" i="4"/>
  <c r="AC262" i="4"/>
  <c r="AB262" i="4"/>
  <c r="AA262" i="4"/>
  <c r="Z262" i="4"/>
  <c r="Y262" i="4"/>
  <c r="X262" i="4"/>
  <c r="W262" i="4"/>
  <c r="V262" i="4"/>
  <c r="U262" i="4"/>
  <c r="T262" i="4"/>
  <c r="S262" i="4"/>
  <c r="R262" i="4"/>
  <c r="Q262" i="4"/>
  <c r="P262" i="4"/>
  <c r="O262" i="4"/>
  <c r="N262" i="4"/>
  <c r="M262" i="4"/>
  <c r="L262" i="4"/>
  <c r="K262" i="4"/>
  <c r="J262" i="4"/>
  <c r="I262" i="4"/>
  <c r="H262" i="4"/>
  <c r="G262" i="4"/>
  <c r="F262" i="4"/>
  <c r="E262" i="4"/>
  <c r="D262" i="4"/>
  <c r="C262" i="4"/>
  <c r="B262" i="4"/>
  <c r="A262" i="4"/>
  <c r="AF261" i="4"/>
  <c r="AE261" i="4"/>
  <c r="AD261" i="4"/>
  <c r="AC261" i="4"/>
  <c r="AB261" i="4"/>
  <c r="AA261" i="4"/>
  <c r="Z261" i="4"/>
  <c r="Y261" i="4"/>
  <c r="X261" i="4"/>
  <c r="W261" i="4"/>
  <c r="V261" i="4"/>
  <c r="U261" i="4"/>
  <c r="T261" i="4"/>
  <c r="S261" i="4"/>
  <c r="R261" i="4"/>
  <c r="Q261" i="4"/>
  <c r="P261" i="4"/>
  <c r="O261" i="4"/>
  <c r="N261" i="4"/>
  <c r="M261" i="4"/>
  <c r="L261" i="4"/>
  <c r="K261" i="4"/>
  <c r="J261" i="4"/>
  <c r="I261" i="4"/>
  <c r="H261" i="4"/>
  <c r="G261" i="4"/>
  <c r="F261" i="4"/>
  <c r="E261" i="4"/>
  <c r="D261" i="4"/>
  <c r="C261" i="4"/>
  <c r="B261" i="4"/>
  <c r="A261" i="4"/>
  <c r="AF260" i="4"/>
  <c r="AE260" i="4"/>
  <c r="AD260" i="4"/>
  <c r="AC260" i="4"/>
  <c r="AB260" i="4"/>
  <c r="AA260" i="4"/>
  <c r="Z260" i="4"/>
  <c r="Y260" i="4"/>
  <c r="X260" i="4"/>
  <c r="W260" i="4"/>
  <c r="V260" i="4"/>
  <c r="U260" i="4"/>
  <c r="T260" i="4"/>
  <c r="S260" i="4"/>
  <c r="R260" i="4"/>
  <c r="Q260" i="4"/>
  <c r="P260" i="4"/>
  <c r="O260" i="4"/>
  <c r="N260" i="4"/>
  <c r="M260" i="4"/>
  <c r="L260" i="4"/>
  <c r="K260" i="4"/>
  <c r="J260" i="4"/>
  <c r="I260" i="4"/>
  <c r="H260" i="4"/>
  <c r="G260" i="4"/>
  <c r="F260" i="4"/>
  <c r="E260" i="4"/>
  <c r="D260" i="4"/>
  <c r="C260" i="4"/>
  <c r="B260" i="4"/>
  <c r="A260" i="4"/>
  <c r="AE259" i="4"/>
  <c r="AD259" i="4"/>
  <c r="AC259" i="4"/>
  <c r="AB259" i="4"/>
  <c r="AA259" i="4"/>
  <c r="Z259" i="4"/>
  <c r="Y259" i="4"/>
  <c r="X259" i="4"/>
  <c r="W259" i="4"/>
  <c r="V259" i="4"/>
  <c r="U259" i="4"/>
  <c r="T259" i="4"/>
  <c r="S259" i="4"/>
  <c r="R259" i="4"/>
  <c r="Q259" i="4"/>
  <c r="P259" i="4"/>
  <c r="B259" i="4"/>
  <c r="S234" i="4"/>
  <c r="AG224" i="4"/>
  <c r="AF224" i="4"/>
  <c r="AE224" i="4"/>
  <c r="AD224" i="4"/>
  <c r="AC224" i="4"/>
  <c r="AB224" i="4"/>
  <c r="AA224" i="4"/>
  <c r="Z224" i="4"/>
  <c r="Y224" i="4"/>
  <c r="X224" i="4"/>
  <c r="W224" i="4"/>
  <c r="V224" i="4"/>
  <c r="U224" i="4"/>
  <c r="T224" i="4"/>
  <c r="S224" i="4"/>
  <c r="R224" i="4"/>
  <c r="Q224" i="4"/>
  <c r="C224" i="4"/>
  <c r="D223" i="4"/>
  <c r="C259" i="4" s="1"/>
  <c r="B223" i="4"/>
  <c r="AF259" i="4" s="1"/>
  <c r="D222" i="4"/>
  <c r="E222" i="4" s="1"/>
  <c r="F222" i="4" s="1"/>
  <c r="G222" i="4" s="1"/>
  <c r="H222" i="4" s="1"/>
  <c r="I222" i="4" s="1"/>
  <c r="J222" i="4" s="1"/>
  <c r="K222" i="4" s="1"/>
  <c r="L222" i="4" s="1"/>
  <c r="M222" i="4" s="1"/>
  <c r="N222" i="4" s="1"/>
  <c r="O222" i="4" s="1"/>
  <c r="P222" i="4" s="1"/>
  <c r="B222" i="4"/>
  <c r="D221" i="4"/>
  <c r="E221" i="4" s="1"/>
  <c r="F221" i="4" s="1"/>
  <c r="G221" i="4" s="1"/>
  <c r="H221" i="4" s="1"/>
  <c r="I221" i="4" s="1"/>
  <c r="J221" i="4" s="1"/>
  <c r="K221" i="4" s="1"/>
  <c r="L221" i="4" s="1"/>
  <c r="M221" i="4" s="1"/>
  <c r="N221" i="4" s="1"/>
  <c r="O221" i="4" s="1"/>
  <c r="P221" i="4" s="1"/>
  <c r="B221" i="4"/>
  <c r="D220" i="4"/>
  <c r="B220" i="4"/>
  <c r="D219" i="4"/>
  <c r="E219" i="4" s="1"/>
  <c r="F219" i="4" s="1"/>
  <c r="G219" i="4" s="1"/>
  <c r="H219" i="4" s="1"/>
  <c r="I219" i="4" s="1"/>
  <c r="J219" i="4" s="1"/>
  <c r="K219" i="4" s="1"/>
  <c r="L219" i="4" s="1"/>
  <c r="M219" i="4" s="1"/>
  <c r="N219" i="4" s="1"/>
  <c r="O219" i="4" s="1"/>
  <c r="P219" i="4" s="1"/>
  <c r="B219" i="4"/>
  <c r="D218" i="4"/>
  <c r="E218" i="4" s="1"/>
  <c r="B218" i="4"/>
  <c r="B224" i="4" s="1"/>
  <c r="AG216" i="4"/>
  <c r="AF216" i="4"/>
  <c r="AE216" i="4"/>
  <c r="AD216" i="4"/>
  <c r="AC216" i="4"/>
  <c r="AB216" i="4"/>
  <c r="AA216" i="4"/>
  <c r="Z216" i="4"/>
  <c r="Y216" i="4"/>
  <c r="X216" i="4"/>
  <c r="W216" i="4"/>
  <c r="V216" i="4"/>
  <c r="U216" i="4"/>
  <c r="T216" i="4"/>
  <c r="S216" i="4"/>
  <c r="R216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C216" i="4"/>
  <c r="B216" i="4"/>
  <c r="AI109" i="4"/>
  <c r="AH109" i="4"/>
  <c r="AI108" i="4"/>
  <c r="AH108" i="4"/>
  <c r="AI107" i="4"/>
  <c r="AH107" i="4"/>
  <c r="AI106" i="4"/>
  <c r="AH106" i="4"/>
  <c r="AI105" i="4"/>
  <c r="AH105" i="4"/>
  <c r="AI104" i="4"/>
  <c r="AH104" i="4"/>
  <c r="AI103" i="4"/>
  <c r="AH103" i="4"/>
  <c r="AI102" i="4"/>
  <c r="AH102" i="4"/>
  <c r="AI101" i="4"/>
  <c r="AH101" i="4"/>
  <c r="AF100" i="4"/>
  <c r="AE100" i="4"/>
  <c r="AD100" i="4"/>
  <c r="AC100" i="4"/>
  <c r="AB100" i="4"/>
  <c r="AA100" i="4"/>
  <c r="Z100" i="4"/>
  <c r="X100" i="4"/>
  <c r="W100" i="4"/>
  <c r="V100" i="4"/>
  <c r="U100" i="4"/>
  <c r="T100" i="4"/>
  <c r="S100" i="4"/>
  <c r="R100" i="4"/>
  <c r="Q100" i="4"/>
  <c r="D100" i="4"/>
  <c r="C100" i="4"/>
  <c r="AI99" i="4"/>
  <c r="AH99" i="4"/>
  <c r="AI98" i="4"/>
  <c r="AH98" i="4"/>
  <c r="AI97" i="4"/>
  <c r="AH97" i="4"/>
  <c r="AI96" i="4"/>
  <c r="AH96" i="4"/>
  <c r="AI95" i="4"/>
  <c r="AH95" i="4"/>
  <c r="AI94" i="4"/>
  <c r="AH94" i="4"/>
  <c r="AI93" i="4"/>
  <c r="AH93" i="4"/>
  <c r="AI92" i="4"/>
  <c r="AH92" i="4"/>
  <c r="AI91" i="4"/>
  <c r="AH91" i="4"/>
  <c r="AI88" i="4"/>
  <c r="AH88" i="4"/>
  <c r="AF87" i="4"/>
  <c r="AE87" i="4"/>
  <c r="AD87" i="4"/>
  <c r="AC87" i="4"/>
  <c r="AB87" i="4"/>
  <c r="AA87" i="4"/>
  <c r="Z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AF86" i="4"/>
  <c r="AE86" i="4"/>
  <c r="AD86" i="4"/>
  <c r="AC86" i="4"/>
  <c r="AB86" i="4"/>
  <c r="AA86" i="4"/>
  <c r="Z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AF85" i="4"/>
  <c r="AE85" i="4"/>
  <c r="AD85" i="4"/>
  <c r="AC85" i="4"/>
  <c r="AB85" i="4"/>
  <c r="AA85" i="4"/>
  <c r="Z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AF84" i="4"/>
  <c r="AF89" i="4" s="1"/>
  <c r="AE84" i="4"/>
  <c r="AD84" i="4"/>
  <c r="AC84" i="4"/>
  <c r="AB84" i="4"/>
  <c r="AA84" i="4"/>
  <c r="Z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AF83" i="4"/>
  <c r="AE83" i="4"/>
  <c r="AD83" i="4"/>
  <c r="AD89" i="4" s="1"/>
  <c r="AC83" i="4"/>
  <c r="AB83" i="4"/>
  <c r="AA83" i="4"/>
  <c r="Z83" i="4"/>
  <c r="X83" i="4"/>
  <c r="W83" i="4"/>
  <c r="V83" i="4"/>
  <c r="U83" i="4"/>
  <c r="T83" i="4"/>
  <c r="S83" i="4"/>
  <c r="S89" i="4" s="1"/>
  <c r="R83" i="4"/>
  <c r="Q83" i="4"/>
  <c r="P83" i="4"/>
  <c r="O83" i="4"/>
  <c r="N83" i="4"/>
  <c r="M83" i="4"/>
  <c r="L83" i="4"/>
  <c r="K83" i="4"/>
  <c r="K89" i="4" s="1"/>
  <c r="J83" i="4"/>
  <c r="I83" i="4"/>
  <c r="I89" i="4" s="1"/>
  <c r="H83" i="4"/>
  <c r="G83" i="4"/>
  <c r="F83" i="4"/>
  <c r="E83" i="4"/>
  <c r="E89" i="4" s="1"/>
  <c r="D83" i="4"/>
  <c r="C83" i="4"/>
  <c r="C89" i="4" s="1"/>
  <c r="B83" i="4"/>
  <c r="AI80" i="4"/>
  <c r="AH80" i="4"/>
  <c r="AI78" i="4"/>
  <c r="AH78" i="4"/>
  <c r="AG78" i="4"/>
  <c r="AI77" i="4"/>
  <c r="AH77" i="4"/>
  <c r="AI76" i="4"/>
  <c r="AH76" i="4"/>
  <c r="AI75" i="4"/>
  <c r="AH75" i="4"/>
  <c r="AG74" i="4"/>
  <c r="AF74" i="4"/>
  <c r="AE5" i="4" s="1"/>
  <c r="AE74" i="4"/>
  <c r="AD5" i="4" s="1"/>
  <c r="AD74" i="4"/>
  <c r="AC74" i="4"/>
  <c r="AB74" i="4"/>
  <c r="AA74" i="4"/>
  <c r="Z5" i="4" s="1"/>
  <c r="Z74" i="4"/>
  <c r="Y5" i="4" s="1"/>
  <c r="X74" i="4"/>
  <c r="W5" i="4" s="1"/>
  <c r="W74" i="4"/>
  <c r="V74" i="4"/>
  <c r="U74" i="4"/>
  <c r="T74" i="4"/>
  <c r="S5" i="4" s="1"/>
  <c r="S74" i="4"/>
  <c r="R5" i="4" s="1"/>
  <c r="R74" i="4"/>
  <c r="Q5" i="4" s="1"/>
  <c r="Q74" i="4"/>
  <c r="P74" i="4"/>
  <c r="O5" i="4" s="1"/>
  <c r="O74" i="4"/>
  <c r="N5" i="4" s="1"/>
  <c r="N74" i="4"/>
  <c r="M74" i="4"/>
  <c r="L74" i="4"/>
  <c r="K74" i="4"/>
  <c r="K90" i="4" s="1"/>
  <c r="J74" i="4"/>
  <c r="I5" i="4" s="1"/>
  <c r="I74" i="4"/>
  <c r="H74" i="4"/>
  <c r="G74" i="4"/>
  <c r="F74" i="4"/>
  <c r="E74" i="4"/>
  <c r="E90" i="4" s="1"/>
  <c r="D74" i="4"/>
  <c r="C74" i="4"/>
  <c r="C90" i="4" s="1"/>
  <c r="B74" i="4"/>
  <c r="AI73" i="4"/>
  <c r="AH73" i="4"/>
  <c r="AI72" i="4"/>
  <c r="AH72" i="4"/>
  <c r="AI71" i="4"/>
  <c r="AH71" i="4"/>
  <c r="AI70" i="4"/>
  <c r="AH70" i="4"/>
  <c r="AI69" i="4"/>
  <c r="AH69" i="4"/>
  <c r="AI68" i="4"/>
  <c r="AH68" i="4"/>
  <c r="AI67" i="4"/>
  <c r="AH67" i="4"/>
  <c r="AI66" i="4"/>
  <c r="AH66" i="4"/>
  <c r="AI65" i="4"/>
  <c r="AH65" i="4"/>
  <c r="AI64" i="4"/>
  <c r="AH64" i="4"/>
  <c r="AI63" i="4"/>
  <c r="AH63" i="4"/>
  <c r="AG62" i="4"/>
  <c r="AF62" i="4"/>
  <c r="AE62" i="4"/>
  <c r="AD62" i="4"/>
  <c r="AC62" i="4"/>
  <c r="AB62" i="4"/>
  <c r="AA62" i="4"/>
  <c r="Z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AI61" i="4"/>
  <c r="AH61" i="4"/>
  <c r="AI60" i="4"/>
  <c r="AH60" i="4"/>
  <c r="AI59" i="4"/>
  <c r="AH59" i="4"/>
  <c r="AF58" i="4"/>
  <c r="AE58" i="4"/>
  <c r="AD58" i="4"/>
  <c r="AC58" i="4"/>
  <c r="AB58" i="4"/>
  <c r="AA58" i="4"/>
  <c r="Z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AI57" i="4"/>
  <c r="AH57" i="4"/>
  <c r="AG57" i="4"/>
  <c r="AG58" i="4" s="1"/>
  <c r="AG3" i="4" s="1"/>
  <c r="AI56" i="4"/>
  <c r="AH56" i="4"/>
  <c r="AI55" i="4"/>
  <c r="AH55" i="4"/>
  <c r="AI54" i="4"/>
  <c r="AH54" i="4"/>
  <c r="AI53" i="4"/>
  <c r="AH53" i="4"/>
  <c r="AI52" i="4"/>
  <c r="AH52" i="4"/>
  <c r="AI51" i="4"/>
  <c r="AH51" i="4"/>
  <c r="AI50" i="4"/>
  <c r="AH50" i="4"/>
  <c r="AI49" i="4"/>
  <c r="AH49" i="4"/>
  <c r="AI48" i="4"/>
  <c r="AH48" i="4"/>
  <c r="AI47" i="4"/>
  <c r="AH47" i="4"/>
  <c r="AI46" i="4"/>
  <c r="AH46" i="4"/>
  <c r="AI45" i="4"/>
  <c r="AH45" i="4"/>
  <c r="AG44" i="4"/>
  <c r="AF44" i="4"/>
  <c r="AE44" i="4"/>
  <c r="AD44" i="4"/>
  <c r="AC44" i="4"/>
  <c r="AB44" i="4"/>
  <c r="AA44" i="4"/>
  <c r="Z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AI43" i="4"/>
  <c r="AH43" i="4"/>
  <c r="AI42" i="4"/>
  <c r="AH42" i="4"/>
  <c r="AI41" i="4"/>
  <c r="AH41" i="4"/>
  <c r="AG40" i="4"/>
  <c r="AF40" i="4"/>
  <c r="AE40" i="4"/>
  <c r="AD40" i="4"/>
  <c r="AC40" i="4"/>
  <c r="AB40" i="4"/>
  <c r="AA40" i="4"/>
  <c r="Z40" i="4"/>
  <c r="X40" i="4"/>
  <c r="W40" i="4"/>
  <c r="V40" i="4"/>
  <c r="U40" i="4"/>
  <c r="T40" i="4"/>
  <c r="S40" i="4"/>
  <c r="R40" i="4"/>
  <c r="R79" i="4" s="1"/>
  <c r="R81" i="4" s="1"/>
  <c r="Q40" i="4"/>
  <c r="P40" i="4"/>
  <c r="O40" i="4"/>
  <c r="N40" i="4"/>
  <c r="M40" i="4"/>
  <c r="L40" i="4"/>
  <c r="L79" i="4" s="1"/>
  <c r="L81" i="4" s="1"/>
  <c r="K40" i="4"/>
  <c r="J40" i="4"/>
  <c r="J79" i="4" s="1"/>
  <c r="J81" i="4" s="1"/>
  <c r="I40" i="4"/>
  <c r="I79" i="4" s="1"/>
  <c r="I81" i="4" s="1"/>
  <c r="H40" i="4"/>
  <c r="H79" i="4" s="1"/>
  <c r="H81" i="4" s="1"/>
  <c r="G40" i="4"/>
  <c r="F40" i="4"/>
  <c r="F79" i="4" s="1"/>
  <c r="F81" i="4" s="1"/>
  <c r="E40" i="4"/>
  <c r="D40" i="4"/>
  <c r="D79" i="4" s="1"/>
  <c r="D81" i="4" s="1"/>
  <c r="C40" i="4"/>
  <c r="B40" i="4"/>
  <c r="L39" i="4"/>
  <c r="K39" i="4"/>
  <c r="J39" i="4"/>
  <c r="I39" i="4"/>
  <c r="H39" i="4"/>
  <c r="G39" i="4"/>
  <c r="E39" i="4"/>
  <c r="AI38" i="4"/>
  <c r="AH38" i="4"/>
  <c r="AI37" i="4"/>
  <c r="AH37" i="4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AF5" i="4"/>
  <c r="AC5" i="4"/>
  <c r="X5" i="4"/>
  <c r="V5" i="4"/>
  <c r="P5" i="4"/>
  <c r="K5" i="4"/>
  <c r="J5" i="4"/>
  <c r="H5" i="4"/>
  <c r="G5" i="4"/>
  <c r="F5" i="4"/>
  <c r="E5" i="4"/>
  <c r="D5" i="4"/>
  <c r="C5" i="4"/>
  <c r="B5" i="4"/>
  <c r="AG4" i="4"/>
  <c r="K4" i="4"/>
  <c r="B4" i="4"/>
  <c r="S235" i="4" s="1"/>
  <c r="AG2" i="4"/>
  <c r="E4" i="5"/>
  <c r="E4" i="4"/>
  <c r="G89" i="4" l="1"/>
  <c r="F79" i="5"/>
  <c r="F81" i="5" s="1"/>
  <c r="N79" i="5"/>
  <c r="N81" i="5" s="1"/>
  <c r="V79" i="5"/>
  <c r="V81" i="5" s="1"/>
  <c r="AD79" i="5"/>
  <c r="AD81" i="5" s="1"/>
  <c r="AG81" i="5"/>
  <c r="AI87" i="5"/>
  <c r="AI39" i="4"/>
  <c r="C79" i="4"/>
  <c r="C81" i="4" s="1"/>
  <c r="K79" i="4"/>
  <c r="K81" i="4" s="1"/>
  <c r="AB79" i="4"/>
  <c r="AB81" i="4" s="1"/>
  <c r="AG6" i="5"/>
  <c r="H79" i="5"/>
  <c r="H81" i="5" s="1"/>
  <c r="P79" i="5"/>
  <c r="P81" i="5" s="1"/>
  <c r="P82" i="5" s="1"/>
  <c r="X79" i="5"/>
  <c r="X81" i="5" s="1"/>
  <c r="AF79" i="5"/>
  <c r="AF81" i="5" s="1"/>
  <c r="AI44" i="5"/>
  <c r="K90" i="5"/>
  <c r="AI85" i="5"/>
  <c r="AH86" i="5"/>
  <c r="L90" i="4"/>
  <c r="J89" i="4"/>
  <c r="AA89" i="4"/>
  <c r="Q5" i="5"/>
  <c r="I79" i="5"/>
  <c r="I81" i="5" s="1"/>
  <c r="I7" i="5" s="1"/>
  <c r="Q79" i="5"/>
  <c r="Q81" i="5" s="1"/>
  <c r="Y79" i="5"/>
  <c r="Y81" i="5" s="1"/>
  <c r="AG79" i="5"/>
  <c r="AI62" i="5"/>
  <c r="I89" i="5"/>
  <c r="Q89" i="5"/>
  <c r="Y89" i="5"/>
  <c r="AI84" i="5"/>
  <c r="E79" i="4"/>
  <c r="E81" i="4" s="1"/>
  <c r="I5" i="5"/>
  <c r="J79" i="5"/>
  <c r="J81" i="5" s="1"/>
  <c r="R79" i="5"/>
  <c r="R81" i="5" s="1"/>
  <c r="Z79" i="5"/>
  <c r="Z81" i="5" s="1"/>
  <c r="AI83" i="5"/>
  <c r="J89" i="5"/>
  <c r="J90" i="5" s="1"/>
  <c r="R89" i="5"/>
  <c r="R90" i="5" s="1"/>
  <c r="Z89" i="5"/>
  <c r="AH85" i="5"/>
  <c r="J90" i="4"/>
  <c r="D89" i="4"/>
  <c r="D90" i="4" s="1"/>
  <c r="L89" i="4"/>
  <c r="B100" i="4"/>
  <c r="AI58" i="5"/>
  <c r="C89" i="5"/>
  <c r="C90" i="5" s="1"/>
  <c r="K89" i="5"/>
  <c r="S89" i="5"/>
  <c r="S90" i="5" s="1"/>
  <c r="AA89" i="5"/>
  <c r="AA90" i="5" s="1"/>
  <c r="Z90" i="5"/>
  <c r="G79" i="4"/>
  <c r="G81" i="4" s="1"/>
  <c r="D224" i="4"/>
  <c r="AG6" i="4"/>
  <c r="F89" i="4"/>
  <c r="F90" i="4" s="1"/>
  <c r="H89" i="4"/>
  <c r="E220" i="4"/>
  <c r="F220" i="4" s="1"/>
  <c r="G220" i="4" s="1"/>
  <c r="H220" i="4" s="1"/>
  <c r="I220" i="4" s="1"/>
  <c r="J220" i="4" s="1"/>
  <c r="K220" i="4" s="1"/>
  <c r="L220" i="4" s="1"/>
  <c r="M220" i="4" s="1"/>
  <c r="N220" i="4" s="1"/>
  <c r="O220" i="4" s="1"/>
  <c r="P220" i="4" s="1"/>
  <c r="H90" i="5"/>
  <c r="P90" i="5"/>
  <c r="X90" i="5"/>
  <c r="AF90" i="5"/>
  <c r="AI40" i="5"/>
  <c r="AF79" i="4"/>
  <c r="AF81" i="4" s="1"/>
  <c r="AE89" i="4"/>
  <c r="AE79" i="4"/>
  <c r="AE81" i="4" s="1"/>
  <c r="AD90" i="4"/>
  <c r="AD79" i="4"/>
  <c r="AD81" i="4" s="1"/>
  <c r="AB5" i="4"/>
  <c r="AC89" i="4"/>
  <c r="AC90" i="4" s="1"/>
  <c r="AC79" i="4"/>
  <c r="AC81" i="4" s="1"/>
  <c r="AC7" i="4" s="1"/>
  <c r="AA5" i="4"/>
  <c r="AB89" i="4"/>
  <c r="AB90" i="4" s="1"/>
  <c r="Z79" i="4"/>
  <c r="Z81" i="4" s="1"/>
  <c r="W79" i="4"/>
  <c r="W81" i="4" s="1"/>
  <c r="V89" i="4"/>
  <c r="V90" i="4" s="1"/>
  <c r="AA79" i="4"/>
  <c r="AA81" i="4" s="1"/>
  <c r="U89" i="4"/>
  <c r="V79" i="4"/>
  <c r="V81" i="4" s="1"/>
  <c r="AN238" i="4" s="1"/>
  <c r="W89" i="4"/>
  <c r="X89" i="4"/>
  <c r="X90" i="4" s="1"/>
  <c r="U5" i="4"/>
  <c r="AI85" i="4"/>
  <c r="AA90" i="4"/>
  <c r="Z89" i="4"/>
  <c r="Z90" i="4" s="1"/>
  <c r="U90" i="4"/>
  <c r="T5" i="4"/>
  <c r="X79" i="4"/>
  <c r="X81" i="4" s="1"/>
  <c r="AP238" i="4" s="1"/>
  <c r="U79" i="4"/>
  <c r="U81" i="4" s="1"/>
  <c r="T89" i="4"/>
  <c r="T90" i="4" s="1"/>
  <c r="T79" i="4"/>
  <c r="T81" i="4" s="1"/>
  <c r="S90" i="4"/>
  <c r="S79" i="4"/>
  <c r="S81" i="4" s="1"/>
  <c r="R89" i="4"/>
  <c r="R90" i="4" s="1"/>
  <c r="Q89" i="4"/>
  <c r="Q90" i="4" s="1"/>
  <c r="Q79" i="4"/>
  <c r="Q81" i="4" s="1"/>
  <c r="Q7" i="4" s="1"/>
  <c r="P89" i="4"/>
  <c r="P79" i="4"/>
  <c r="P81" i="4" s="1"/>
  <c r="O89" i="4"/>
  <c r="AI87" i="4"/>
  <c r="O79" i="4"/>
  <c r="O81" i="4" s="1"/>
  <c r="O82" i="4" s="1"/>
  <c r="N89" i="4"/>
  <c r="N90" i="4" s="1"/>
  <c r="M5" i="4"/>
  <c r="AH62" i="4"/>
  <c r="AI62" i="4"/>
  <c r="AH58" i="4"/>
  <c r="AI58" i="4"/>
  <c r="N79" i="4"/>
  <c r="N81" i="4" s="1"/>
  <c r="N7" i="4" s="1"/>
  <c r="AI44" i="4"/>
  <c r="AI40" i="4"/>
  <c r="AI83" i="4"/>
  <c r="AH85" i="4"/>
  <c r="M89" i="4"/>
  <c r="AI86" i="4"/>
  <c r="AI84" i="4"/>
  <c r="M90" i="4"/>
  <c r="M79" i="4"/>
  <c r="M81" i="4" s="1"/>
  <c r="M7" i="4" s="1"/>
  <c r="L5" i="4"/>
  <c r="D235" i="5"/>
  <c r="H4" i="5"/>
  <c r="E7" i="5"/>
  <c r="W238" i="5"/>
  <c r="E82" i="5"/>
  <c r="M7" i="5"/>
  <c r="AE238" i="5"/>
  <c r="M82" i="5"/>
  <c r="U7" i="5"/>
  <c r="AM238" i="5"/>
  <c r="U82" i="5"/>
  <c r="AC7" i="5"/>
  <c r="AU238" i="5"/>
  <c r="AC82" i="5"/>
  <c r="F7" i="5"/>
  <c r="X238" i="5"/>
  <c r="F82" i="5"/>
  <c r="N7" i="5"/>
  <c r="AF238" i="5"/>
  <c r="N82" i="5"/>
  <c r="V7" i="5"/>
  <c r="AN238" i="5"/>
  <c r="V82" i="5"/>
  <c r="AD7" i="5"/>
  <c r="AV238" i="5"/>
  <c r="AD82" i="5"/>
  <c r="T7" i="5"/>
  <c r="AL238" i="5"/>
  <c r="T82" i="5"/>
  <c r="Y238" i="5"/>
  <c r="G82" i="5"/>
  <c r="B233" i="5"/>
  <c r="G7" i="5"/>
  <c r="AG238" i="5"/>
  <c r="O82" i="5"/>
  <c r="O7" i="5"/>
  <c r="AO238" i="5"/>
  <c r="W82" i="5"/>
  <c r="W7" i="5"/>
  <c r="AW238" i="5"/>
  <c r="AE82" i="5"/>
  <c r="AE7" i="5"/>
  <c r="H82" i="5"/>
  <c r="Z238" i="5"/>
  <c r="H7" i="5"/>
  <c r="AH238" i="5"/>
  <c r="X82" i="5"/>
  <c r="X7" i="5"/>
  <c r="AP238" i="5"/>
  <c r="AF82" i="5"/>
  <c r="AX238" i="5"/>
  <c r="AF7" i="5"/>
  <c r="D7" i="5"/>
  <c r="V238" i="5"/>
  <c r="D82" i="5"/>
  <c r="Q7" i="5"/>
  <c r="AI238" i="5"/>
  <c r="Q82" i="5"/>
  <c r="Y7" i="5"/>
  <c r="AQ238" i="5"/>
  <c r="Y82" i="5"/>
  <c r="D90" i="5"/>
  <c r="L90" i="5"/>
  <c r="T90" i="5"/>
  <c r="AB90" i="5"/>
  <c r="L7" i="5"/>
  <c r="AD238" i="5"/>
  <c r="L82" i="5"/>
  <c r="J7" i="5"/>
  <c r="AB238" i="5"/>
  <c r="J82" i="5"/>
  <c r="R7" i="5"/>
  <c r="AJ238" i="5"/>
  <c r="Z7" i="5"/>
  <c r="AR238" i="5"/>
  <c r="Z82" i="5"/>
  <c r="E90" i="5"/>
  <c r="M90" i="5"/>
  <c r="U90" i="5"/>
  <c r="AC90" i="5"/>
  <c r="F218" i="5"/>
  <c r="AB7" i="5"/>
  <c r="AT238" i="5"/>
  <c r="AB82" i="5"/>
  <c r="C7" i="5"/>
  <c r="U238" i="5"/>
  <c r="C82" i="5"/>
  <c r="K7" i="5"/>
  <c r="AC238" i="5"/>
  <c r="K82" i="5"/>
  <c r="S7" i="5"/>
  <c r="AK238" i="5"/>
  <c r="S82" i="5"/>
  <c r="AA7" i="5"/>
  <c r="AS238" i="5"/>
  <c r="AA82" i="5"/>
  <c r="F90" i="5"/>
  <c r="N90" i="5"/>
  <c r="V90" i="5"/>
  <c r="AD90" i="5"/>
  <c r="AH58" i="5"/>
  <c r="AH62" i="5"/>
  <c r="AH74" i="5"/>
  <c r="E219" i="5"/>
  <c r="F219" i="5" s="1"/>
  <c r="G219" i="5" s="1"/>
  <c r="H219" i="5" s="1"/>
  <c r="I219" i="5" s="1"/>
  <c r="J219" i="5" s="1"/>
  <c r="K219" i="5" s="1"/>
  <c r="L219" i="5" s="1"/>
  <c r="M219" i="5" s="1"/>
  <c r="N219" i="5" s="1"/>
  <c r="O219" i="5" s="1"/>
  <c r="P219" i="5" s="1"/>
  <c r="E223" i="5"/>
  <c r="AI74" i="5"/>
  <c r="AH83" i="5"/>
  <c r="B89" i="5"/>
  <c r="I90" i="5"/>
  <c r="Q90" i="5"/>
  <c r="Y90" i="5"/>
  <c r="AH84" i="5"/>
  <c r="AH40" i="5"/>
  <c r="AH44" i="5"/>
  <c r="B79" i="5"/>
  <c r="AH87" i="5"/>
  <c r="B100" i="5"/>
  <c r="H4" i="4"/>
  <c r="V7" i="4"/>
  <c r="AV238" i="4"/>
  <c r="AD82" i="4"/>
  <c r="AD7" i="4"/>
  <c r="F218" i="4"/>
  <c r="AO238" i="4"/>
  <c r="W82" i="4"/>
  <c r="W7" i="4"/>
  <c r="AW238" i="4"/>
  <c r="AE82" i="4"/>
  <c r="AE7" i="4"/>
  <c r="AF7" i="4"/>
  <c r="AX238" i="4"/>
  <c r="AF82" i="4"/>
  <c r="X238" i="4"/>
  <c r="F82" i="4"/>
  <c r="F7" i="4"/>
  <c r="H7" i="4"/>
  <c r="Z238" i="4"/>
  <c r="H82" i="4"/>
  <c r="I7" i="4"/>
  <c r="AA238" i="4"/>
  <c r="I82" i="4"/>
  <c r="AI238" i="4"/>
  <c r="Q82" i="4"/>
  <c r="Y7" i="4"/>
  <c r="AQ238" i="4"/>
  <c r="AG79" i="4"/>
  <c r="Y238" i="4"/>
  <c r="G82" i="4"/>
  <c r="G7" i="4"/>
  <c r="J7" i="4"/>
  <c r="AB238" i="4"/>
  <c r="J82" i="4"/>
  <c r="R7" i="4"/>
  <c r="AJ238" i="4"/>
  <c r="R82" i="4"/>
  <c r="Z7" i="4"/>
  <c r="AR238" i="4"/>
  <c r="Z82" i="4"/>
  <c r="AG238" i="4"/>
  <c r="C7" i="4"/>
  <c r="U238" i="4"/>
  <c r="C82" i="4"/>
  <c r="K7" i="4"/>
  <c r="AC238" i="4"/>
  <c r="K82" i="4"/>
  <c r="S7" i="4"/>
  <c r="AK238" i="4"/>
  <c r="S82" i="4"/>
  <c r="AA7" i="4"/>
  <c r="AS238" i="4"/>
  <c r="AA82" i="4"/>
  <c r="G90" i="4"/>
  <c r="O90" i="4"/>
  <c r="W90" i="4"/>
  <c r="AE90" i="4"/>
  <c r="D7" i="4"/>
  <c r="V238" i="4"/>
  <c r="D82" i="4"/>
  <c r="AD238" i="4"/>
  <c r="L82" i="4"/>
  <c r="L7" i="4"/>
  <c r="T7" i="4"/>
  <c r="AL238" i="4"/>
  <c r="T82" i="4"/>
  <c r="AB7" i="4"/>
  <c r="AT238" i="4"/>
  <c r="AB82" i="4"/>
  <c r="H90" i="4"/>
  <c r="P90" i="4"/>
  <c r="AF90" i="4"/>
  <c r="P7" i="4"/>
  <c r="AH238" i="4"/>
  <c r="P82" i="4"/>
  <c r="E7" i="4"/>
  <c r="W238" i="4"/>
  <c r="E82" i="4"/>
  <c r="U7" i="4"/>
  <c r="AM238" i="4"/>
  <c r="U82" i="4"/>
  <c r="I90" i="4"/>
  <c r="AG81" i="4"/>
  <c r="D235" i="4"/>
  <c r="AH74" i="4"/>
  <c r="E223" i="4"/>
  <c r="E224" i="4" s="1"/>
  <c r="AH39" i="4"/>
  <c r="AI74" i="4"/>
  <c r="AH83" i="4"/>
  <c r="B89" i="4"/>
  <c r="B90" i="4" s="1"/>
  <c r="AH84" i="4"/>
  <c r="AH40" i="4"/>
  <c r="AH44" i="4"/>
  <c r="B79" i="4"/>
  <c r="AH86" i="4"/>
  <c r="AH87" i="4"/>
  <c r="V82" i="4" l="1"/>
  <c r="E224" i="5"/>
  <c r="R82" i="5"/>
  <c r="P7" i="5"/>
  <c r="C233" i="5"/>
  <c r="K6" i="5" s="1"/>
  <c r="I82" i="5"/>
  <c r="AU238" i="4"/>
  <c r="AA238" i="5"/>
  <c r="AC82" i="4"/>
  <c r="X7" i="4"/>
  <c r="X82" i="4"/>
  <c r="O7" i="4"/>
  <c r="N82" i="4"/>
  <c r="AF238" i="4"/>
  <c r="B233" i="4"/>
  <c r="C233" i="4"/>
  <c r="M82" i="4"/>
  <c r="AE238" i="4"/>
  <c r="AI89" i="5"/>
  <c r="AH89" i="5"/>
  <c r="B81" i="5"/>
  <c r="AI79" i="5"/>
  <c r="AH79" i="5"/>
  <c r="B90" i="5"/>
  <c r="D259" i="5"/>
  <c r="F223" i="5"/>
  <c r="E100" i="5"/>
  <c r="G218" i="5"/>
  <c r="F100" i="5"/>
  <c r="F224" i="5"/>
  <c r="AI90" i="4"/>
  <c r="AH90" i="4"/>
  <c r="AI89" i="4"/>
  <c r="AH89" i="4"/>
  <c r="AI79" i="4"/>
  <c r="AH79" i="4"/>
  <c r="B81" i="4"/>
  <c r="D259" i="4"/>
  <c r="F223" i="4"/>
  <c r="F100" i="4" s="1"/>
  <c r="E100" i="4"/>
  <c r="G218" i="4"/>
  <c r="F224" i="4" l="1"/>
  <c r="K6" i="4"/>
  <c r="B7" i="5"/>
  <c r="A7" i="5" s="1"/>
  <c r="T238" i="5"/>
  <c r="B82" i="5"/>
  <c r="AI81" i="5"/>
  <c r="AH81" i="5"/>
  <c r="H218" i="5"/>
  <c r="E259" i="5"/>
  <c r="G223" i="5"/>
  <c r="G100" i="5" s="1"/>
  <c r="AI90" i="5"/>
  <c r="AH90" i="5"/>
  <c r="B7" i="4"/>
  <c r="A7" i="4" s="1"/>
  <c r="T238" i="4"/>
  <c r="B82" i="4"/>
  <c r="AI81" i="4"/>
  <c r="AH81" i="4"/>
  <c r="H218" i="4"/>
  <c r="G100" i="4"/>
  <c r="E259" i="4"/>
  <c r="G223" i="4"/>
  <c r="G224" i="4" s="1"/>
  <c r="I218" i="5" l="1"/>
  <c r="AI82" i="5"/>
  <c r="AH82" i="5"/>
  <c r="F259" i="5"/>
  <c r="H223" i="5"/>
  <c r="H224" i="5" s="1"/>
  <c r="G224" i="5"/>
  <c r="F259" i="4"/>
  <c r="H223" i="4"/>
  <c r="AI82" i="4"/>
  <c r="AH82" i="4"/>
  <c r="I218" i="4"/>
  <c r="H100" i="4"/>
  <c r="H224" i="4"/>
  <c r="H100" i="5" l="1"/>
  <c r="J218" i="5"/>
  <c r="I100" i="5"/>
  <c r="G259" i="5"/>
  <c r="I223" i="5"/>
  <c r="J218" i="4"/>
  <c r="G259" i="4"/>
  <c r="I223" i="4"/>
  <c r="K218" i="5" l="1"/>
  <c r="H259" i="5"/>
  <c r="J223" i="5"/>
  <c r="I224" i="5"/>
  <c r="H259" i="4"/>
  <c r="J223" i="4"/>
  <c r="J100" i="4"/>
  <c r="J224" i="4"/>
  <c r="K218" i="4"/>
  <c r="I224" i="4"/>
  <c r="I100" i="4"/>
  <c r="K223" i="5" l="1"/>
  <c r="I259" i="5"/>
  <c r="K100" i="5"/>
  <c r="K224" i="5"/>
  <c r="L218" i="5"/>
  <c r="J224" i="5"/>
  <c r="J100" i="5"/>
  <c r="L218" i="4"/>
  <c r="K223" i="4"/>
  <c r="I259" i="4"/>
  <c r="M218" i="5" l="1"/>
  <c r="L223" i="5"/>
  <c r="L100" i="5" s="1"/>
  <c r="J259" i="5"/>
  <c r="J259" i="4"/>
  <c r="L223" i="4"/>
  <c r="L100" i="4" s="1"/>
  <c r="L224" i="4"/>
  <c r="M218" i="4"/>
  <c r="K224" i="4"/>
  <c r="K100" i="4"/>
  <c r="K259" i="5" l="1"/>
  <c r="M223" i="5"/>
  <c r="N218" i="5"/>
  <c r="M224" i="5"/>
  <c r="M100" i="5"/>
  <c r="L224" i="5"/>
  <c r="N218" i="4"/>
  <c r="K259" i="4"/>
  <c r="M223" i="4"/>
  <c r="O218" i="5" l="1"/>
  <c r="L259" i="5"/>
  <c r="N223" i="5"/>
  <c r="N224" i="5" s="1"/>
  <c r="L259" i="4"/>
  <c r="N223" i="4"/>
  <c r="N100" i="4" s="1"/>
  <c r="M224" i="4"/>
  <c r="M100" i="4"/>
  <c r="O218" i="4"/>
  <c r="N224" i="4" l="1"/>
  <c r="M259" i="5"/>
  <c r="O223" i="5"/>
  <c r="N100" i="5"/>
  <c r="P218" i="5"/>
  <c r="O100" i="5"/>
  <c r="O224" i="5"/>
  <c r="P218" i="4"/>
  <c r="M259" i="4"/>
  <c r="O223" i="4"/>
  <c r="N259" i="5" l="1"/>
  <c r="P223" i="5"/>
  <c r="O259" i="5" s="1"/>
  <c r="N259" i="4"/>
  <c r="P223" i="4"/>
  <c r="O259" i="4" s="1"/>
  <c r="O224" i="4"/>
  <c r="O100" i="4"/>
  <c r="P100" i="4"/>
  <c r="P224" i="4"/>
  <c r="P224" i="5" l="1"/>
  <c r="P100" i="5"/>
  <c r="AH100" i="4"/>
  <c r="AI100" i="4"/>
  <c r="AI100" i="5" l="1"/>
  <c r="AH100" i="5"/>
  <c r="AI39" i="9" l="1"/>
  <c r="AH3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D5EF130D-7CB1-4491-98D3-E8727CD2D894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E2E4FDE-5A4C-4184-B320-68770117700A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554F59EF-8A97-43D1-88E8-E444ACC10D7A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B83A6AB-30C8-42B4-A096-D8798F6E429A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<sst xmlns="http://schemas.openxmlformats.org/spreadsheetml/2006/main" count="9035" uniqueCount="274">
  <si>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</si>
  <si>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</si>
  <si>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</si>
  <si>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</si>
  <si>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</si>
  <si>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</si>
  <si>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</si>
  <si>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</si>
  <si>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</si>
  <si>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</si>
  <si>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</si>
  <si>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</si>
  <si>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</si>
  <si>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</si>
  <si>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</si>
  <si>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</si>
  <si>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</si>
  <si>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</si>
  <si>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</si>
  <si>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Likhu-IV(52.4)</t>
  </si>
  <si>
    <t>Upper Marsyangdi "A"(50)</t>
  </si>
  <si>
    <t>Upper Bhotekoshi Khola(45)</t>
  </si>
  <si>
    <t>Mistri Khola(42)</t>
  </si>
  <si>
    <t>Nyadi(30)</t>
  </si>
  <si>
    <t>Likhu Khola A(29.04)</t>
  </si>
  <si>
    <t>Dordi(27)</t>
  </si>
  <si>
    <t>Upper Madi(25)</t>
  </si>
  <si>
    <t>Kabeli B-1(25)</t>
  </si>
  <si>
    <t>Singati Khola(25)</t>
  </si>
  <si>
    <t>Solu Khola(23.5)</t>
  </si>
  <si>
    <t>Upper Chaku A(22.2)</t>
  </si>
  <si>
    <t>Tallo Hewa Khola(22.1)</t>
  </si>
  <si>
    <t xml:space="preserve"> Sanima Mai Khola(22)</t>
  </si>
  <si>
    <t>Bagmati Khola Small(22)</t>
  </si>
  <si>
    <t>Lower Modi (20)</t>
  </si>
  <si>
    <t>Hewa Khola A(14.9)</t>
  </si>
  <si>
    <t>Thapa Khola(13.6)</t>
  </si>
  <si>
    <t>Madkyu Khola(13)</t>
  </si>
  <si>
    <t>Dordi12)</t>
  </si>
  <si>
    <t>Jhimruk Khola(12)</t>
  </si>
  <si>
    <t>Upper Khimti(12)</t>
  </si>
  <si>
    <t>Upper Mai Khola (12)</t>
  </si>
  <si>
    <t>Namarjun Madi(11.88)</t>
  </si>
  <si>
    <t>Lower Khare(11)</t>
  </si>
  <si>
    <t>Lower Modi 1(10)</t>
  </si>
  <si>
    <t>Mithila Solar PV Electric Project(10)</t>
  </si>
  <si>
    <t>Other IPP Total</t>
  </si>
  <si>
    <t>Kabeli Corridor</t>
  </si>
  <si>
    <t>Total IPP</t>
  </si>
  <si>
    <t>Upper Tamakoshi(456)</t>
  </si>
  <si>
    <t>Khimti Khola(60)</t>
  </si>
  <si>
    <t>Chilime(22.1)</t>
  </si>
  <si>
    <t>Total NEA SUBSIDIARIES</t>
  </si>
  <si>
    <t>KGA(144)</t>
  </si>
  <si>
    <t>Middle MRS(70)</t>
  </si>
  <si>
    <t>MRS(69)</t>
  </si>
  <si>
    <t>U Trisuli 3A(60)</t>
  </si>
  <si>
    <t>CHM(30)</t>
  </si>
  <si>
    <t>NEA  SOLAR(25)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</si>
  <si>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</si>
  <si>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</si>
  <si>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</si>
  <si>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</si>
  <si>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</si>
  <si>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</si>
  <si>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</si>
  <si>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</si>
  <si>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</si>
  <si>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</si>
  <si>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</si>
  <si>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</si>
  <si>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</si>
  <si>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</si>
  <si>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</si>
  <si>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</si>
  <si>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</si>
  <si>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</si>
  <si>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</si>
  <si>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>JALESHWOR(33kV)</t>
  </si>
  <si>
    <t>RAJBIRAJ(33kV)</t>
  </si>
  <si>
    <t>RAXAUL(33kV)</t>
  </si>
  <si>
    <t>OTHERS IMPORT</t>
  </si>
  <si>
    <t>Total IMPORT</t>
  </si>
  <si>
    <t>MULTI F(39)</t>
  </si>
  <si>
    <t>HTD DIE(14.41)</t>
  </si>
  <si>
    <t>MRS DI()</t>
  </si>
  <si>
    <t>Total THERMAL</t>
  </si>
  <si>
    <t>TOTAL SYSTEM LOAD (ACTUAL)</t>
  </si>
  <si>
    <t>Interruption/Tripping</t>
  </si>
  <si>
    <t>TOTAL SYSTEM LOAD (EXPECTED)</t>
  </si>
  <si>
    <t>TOTAL NATIONAL LOAD (ACTUAL)</t>
  </si>
  <si>
    <t>RAXAUL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</si>
  <si>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</si>
  <si>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</si>
  <si>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</si>
  <si>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</si>
  <si>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</si>
  <si>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</si>
  <si>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</si>
  <si>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</si>
  <si>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</si>
  <si>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</si>
  <si>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</si>
  <si>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</si>
  <si>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>Kathmandu Load</t>
  </si>
  <si>
    <t>MRS-SYU</t>
  </si>
  <si>
    <t>NMRS-MATA</t>
  </si>
  <si>
    <t>KL2-MATA</t>
  </si>
  <si>
    <t>KL1-SYU</t>
  </si>
  <si>
    <t>KHIMTI-LAMOSAGU</t>
  </si>
  <si>
    <t>DHALKE-CHAPUR I</t>
  </si>
  <si>
    <t>NBHARATPUR-BARDGHAT</t>
  </si>
  <si>
    <t>DAMAK-DUHABI</t>
  </si>
  <si>
    <t>HETAUDA-KAMANE</t>
  </si>
  <si>
    <t>Others IPP Detail</t>
  </si>
  <si>
    <t>Upper Mai Khola(9.98)</t>
  </si>
  <si>
    <t>Kabeli B-1 Cascade(9.94)</t>
  </si>
  <si>
    <t>Iwa Khola(9.9)</t>
  </si>
  <si>
    <t>Sipring Khola(9.658)</t>
  </si>
  <si>
    <t>Super Mai 'A' (9.6)</t>
  </si>
  <si>
    <t>Mai Beni(9.51)</t>
  </si>
  <si>
    <t>Andhi Khola(9.4)</t>
  </si>
  <si>
    <t>Rudi Khola A(8.8)</t>
  </si>
  <si>
    <t>Naugadh gad Khola(8.5)</t>
  </si>
  <si>
    <t>Butwal Solar Project(8.5)</t>
  </si>
  <si>
    <t>Upper Hewa Khola Small(8.5)</t>
  </si>
  <si>
    <t>Ankhu Khola - 1(8.4)</t>
  </si>
  <si>
    <t>Mai sana Cascade(8)</t>
  </si>
  <si>
    <t>Upper Naugad Gad(8)</t>
  </si>
  <si>
    <t>Taksar Pikhuwa(8)</t>
  </si>
  <si>
    <t>Super Mai(7.8)</t>
  </si>
  <si>
    <t>Jogmai(7.6)</t>
  </si>
  <si>
    <t>Indrawati - III (7.5)</t>
  </si>
  <si>
    <t>Upper Khorunga(7.5)</t>
  </si>
  <si>
    <t>Mai Cascade(7)</t>
  </si>
  <si>
    <t>Molung Khola(7)</t>
  </si>
  <si>
    <t>Upper Mardi(7)</t>
  </si>
  <si>
    <t>Upper Khimti II(7)</t>
  </si>
  <si>
    <t>Rudi Khola B(6.6)</t>
  </si>
  <si>
    <t>Sapsup Khola(6.6)</t>
  </si>
  <si>
    <t>Suri Khola(6.4)</t>
  </si>
  <si>
    <t>Lower Jogmai(6.2)</t>
  </si>
  <si>
    <t>Daraudi Khola A(6)</t>
  </si>
  <si>
    <t>Upper Mai C(5.1)</t>
  </si>
  <si>
    <t>Tadi Khola (Thaprek)(5)</t>
  </si>
  <si>
    <t>Mailung Khola(5)</t>
  </si>
  <si>
    <t>Upper Hugdi Khola(5)</t>
  </si>
  <si>
    <t>Pikhuwa Khola(5)</t>
  </si>
  <si>
    <t>Ghalemdi Khola(5)</t>
  </si>
  <si>
    <t>Ghatte Khola(5)</t>
  </si>
  <si>
    <t>Belchautara Solar Project(5)</t>
  </si>
  <si>
    <t>Lower Tadi(4.993)</t>
  </si>
  <si>
    <t>Richet Khola(4.98)</t>
  </si>
  <si>
    <t>Siuri Khola(4.95)</t>
  </si>
  <si>
    <t>Phawa Khola(4.95)</t>
  </si>
  <si>
    <t>Mardi Khola(4.8)</t>
  </si>
  <si>
    <t>Padam Khola(4.8)</t>
  </si>
  <si>
    <t>Mai Khola(4.5)</t>
  </si>
  <si>
    <t>Bijayapur 2 Khola Small(4.5)</t>
  </si>
  <si>
    <t>Hewa Khola(4.455)</t>
  </si>
  <si>
    <t>Bijayapur-1(4.41)</t>
  </si>
  <si>
    <t>Radhi Khola(4.4)</t>
  </si>
  <si>
    <t>Tungun-Thosne(4.36)</t>
  </si>
  <si>
    <t>Baramchi Khola(4.2)</t>
  </si>
  <si>
    <t>Khudi Khola(4)</t>
  </si>
  <si>
    <t>Sabha Khola(4)</t>
  </si>
  <si>
    <t>Puwa Khola -1 (4)</t>
  </si>
  <si>
    <t>Sardi Khola(4)</t>
  </si>
  <si>
    <t>Chandranigahpur Solar Project(4)</t>
  </si>
  <si>
    <t>Upper Chhyangdi Khola(4)</t>
  </si>
  <si>
    <t>Super Mai Cascade(3.8)</t>
  </si>
  <si>
    <t>Dwari Khola(3.75)</t>
  </si>
  <si>
    <t>Charanawati  Khola(3.52)</t>
  </si>
  <si>
    <t>Kapadi Gad(3.33)</t>
  </si>
  <si>
    <t>Piluwa Khola Small(3)</t>
  </si>
  <si>
    <t>Chaku Khola(3)</t>
  </si>
  <si>
    <t>Bhairab Kunda(3)</t>
  </si>
  <si>
    <t>Upper Puwa -1(3)</t>
  </si>
  <si>
    <t>Midim Karapu(3)</t>
  </si>
  <si>
    <t>Upper Rawa(3)</t>
  </si>
  <si>
    <t>Everest Sugar and Chemical Industries Ltd.(3)</t>
  </si>
  <si>
    <t>Indushankar Chini Udhyog Ltd.(3)</t>
  </si>
  <si>
    <t>Dhalkebar Solar Project(3)</t>
  </si>
  <si>
    <t>Chake Khola(2.83)</t>
  </si>
  <si>
    <t>Sunkoshi Small(2.5)</t>
  </si>
  <si>
    <t>Daram Khola A(2.5)</t>
  </si>
  <si>
    <t>Ridi Khola(2.4)</t>
  </si>
  <si>
    <t>Upper Syange Khola(2.4)</t>
  </si>
  <si>
    <t>Jiri Khola Small(2.2)</t>
  </si>
  <si>
    <t>Chhandi(2)</t>
  </si>
  <si>
    <t>Jhyadi Khola(2)</t>
  </si>
  <si>
    <t>Khani Khola(2)</t>
  </si>
  <si>
    <t>Middle Chaku(1.8)</t>
  </si>
  <si>
    <t>Lower Chaku Khola(1.8)</t>
  </si>
  <si>
    <t>Thoppal Khola(1.65)</t>
  </si>
  <si>
    <t>Theule Khola(1.5)</t>
  </si>
  <si>
    <t>Dhalkebar Saurya Aayojana(1)</t>
  </si>
  <si>
    <t>Suspa Bukhari(0.998)</t>
  </si>
  <si>
    <t>Lower Chhote Khola(0.997)</t>
  </si>
  <si>
    <t>Hadi Khola Sunkoshi A(0.997)</t>
  </si>
  <si>
    <t>Pati Khola Small(0.996)</t>
  </si>
  <si>
    <t>Miya Khola(0.996)</t>
  </si>
  <si>
    <t>Jeuligad(0.996)</t>
  </si>
  <si>
    <t>Pheme Khola(0.995)</t>
  </si>
  <si>
    <t>Chhote Khola(0.993)</t>
  </si>
  <si>
    <t>Upper Hadi Khola(0.991)</t>
  </si>
  <si>
    <t>Lower Piluwa Small(0.99)</t>
  </si>
  <si>
    <t>Seti-II(0.979)</t>
  </si>
  <si>
    <t>Bishnu Priya Solar Farm Project(0.96)</t>
  </si>
  <si>
    <t>Sisne Khola Small(0.75)</t>
  </si>
  <si>
    <t>Solar(0.68)</t>
  </si>
  <si>
    <t>Dhunge-Jiri(0.6)</t>
  </si>
  <si>
    <t>Belkhu(0.518)</t>
  </si>
  <si>
    <t>Rairang Khola(0.5)</t>
  </si>
  <si>
    <t>Sali Nadi(0.25)</t>
  </si>
  <si>
    <t>Syange Khola(0.183)</t>
  </si>
  <si>
    <t>Midim Khola(0.1)</t>
  </si>
  <si>
    <t>Sobuwa Khola-2 MHP(0.09)</t>
  </si>
  <si>
    <t>Leguwa Khola(0.04)</t>
  </si>
  <si>
    <t>Syauri Bhumey(0.023)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</si>
  <si>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</si>
  <si>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</si>
  <si>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</si>
  <si>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</si>
  <si>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</si>
  <si>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</si>
  <si>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</si>
  <si>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</si>
  <si>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</si>
  <si>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</si>
  <si>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</si>
  <si>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</si>
  <si>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</si>
  <si>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</si>
  <si>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</si>
  <si>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</si>
  <si>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</si>
  <si>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</si>
  <si>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</si>
  <si>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</si>
  <si>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</si>
  <si>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</si>
  <si>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</si>
  <si>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/>
  </si>
  <si>
    <t>127..6</t>
  </si>
  <si>
    <t>total</t>
  </si>
  <si>
    <t>load</t>
  </si>
  <si>
    <t>UTK capacity decreased to 350MW</t>
  </si>
  <si>
    <t xml:space="preserve"> </t>
  </si>
  <si>
    <t>132..9</t>
  </si>
  <si>
    <t>-</t>
  </si>
  <si>
    <t>Enter present Availability</t>
  </si>
  <si>
    <t>Solu Khola Dudhkoshi(86)</t>
  </si>
  <si>
    <t>Super Dordi (54)</t>
  </si>
  <si>
    <t>Super Madi ( 44 )</t>
  </si>
  <si>
    <t>Upper Kalanga Gad(38.46)</t>
  </si>
  <si>
    <t>Upper Balefi (36)</t>
  </si>
  <si>
    <t>Lower Likhu(28)</t>
  </si>
  <si>
    <t>Upper Dordi (25)</t>
  </si>
  <si>
    <t>Middle Modi (18)</t>
  </si>
  <si>
    <t>Kalanga Gad(15.33)</t>
  </si>
  <si>
    <t>Upper Khimti(122)</t>
  </si>
  <si>
    <t>Makari Gad(10.0)</t>
  </si>
  <si>
    <t>Total(MWh)</t>
  </si>
  <si>
    <t>MW(8hrs)</t>
  </si>
  <si>
    <t>Total with KGA+MRS</t>
  </si>
  <si>
    <t xml:space="preserve">UTK Discharge Test </t>
  </si>
  <si>
    <t>Line1</t>
  </si>
  <si>
    <t>Line 2</t>
  </si>
  <si>
    <t>Hetauda-Kamane</t>
  </si>
  <si>
    <t>DHALKE-MIRCHAIYA</t>
  </si>
  <si>
    <t>TOTAL SPILL</t>
  </si>
  <si>
    <t>Avg Mw</t>
  </si>
  <si>
    <t>NRS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</si>
</sst>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[hh]:mm"/>
    <numFmt numFmtId="168" formatCode="00.00"/>
    <numFmt numFmtId="169" formatCode="0.000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  <charset val="1"/>
    </font>
    <font>
      <b/>
      <sz val="11"/>
      <name val="Times New Roman"/>
      <family val="1"/>
    </font>
    <font>
      <b/>
      <sz val="16"/>
      <color rgb="FFFF0000"/>
      <name val="Times New Roman"/>
      <family val="1"/>
    </font>
    <font>
      <b/>
      <sz val="10"/>
      <color theme="0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b/>
      <u/>
      <sz val="12"/>
      <name val="Times New Roman"/>
      <family val="1"/>
    </font>
    <font>
      <b/>
      <u/>
      <sz val="14"/>
      <color theme="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 style="double">
        <color indexed="64"/>
      </bottom>
      <diagonal style="double">
        <color indexed="64"/>
      </diagonal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1" fillId="0" borderId="0"/>
    <xf numFmtId="164" fontId="33" fillId="0" borderId="0"/>
    <xf numFmtId="164" fontId="34" fillId="0" borderId="0"/>
    <xf numFmtId="0" fontId="35" fillId="0" borderId="0"/>
    <xf numFmtId="0" fontId="36" fillId="0" borderId="0"/>
    <xf numFmtId="43" fontId="1" fillId="0" borderId="0" applyFont="0" applyFill="0" applyBorder="0" applyAlignment="0" applyProtection="0"/>
  </cellStyleXfs>
  <cellXfs count="239">
    <xf numFmtId="0" fontId="0" fillId="0" borderId="0" xfId="0"/>
    <xf numFmtId="164" fontId="1" fillId="0" borderId="0" xfId="2"/>
    <xf numFmtId="164" fontId="1" fillId="0" borderId="0" xfId="2" applyProtection="1">
      <protection locked="0"/>
    </xf>
    <xf numFmtId="164" fontId="6" fillId="0" borderId="0" xfId="2" applyFont="1" applyAlignment="1">
      <alignment vertical="center"/>
    </xf>
    <xf numFmtId="164" fontId="7" fillId="0" borderId="2" xfId="2" applyFont="1" applyBorder="1" applyAlignment="1">
      <alignment vertical="center"/>
    </xf>
    <xf numFmtId="164" fontId="7" fillId="0" borderId="4" xfId="2" applyFont="1" applyBorder="1" applyAlignment="1">
      <alignment vertical="center"/>
    </xf>
    <xf numFmtId="164" fontId="4" fillId="0" borderId="6" xfId="2" applyFont="1" applyBorder="1" applyAlignment="1">
      <alignment horizontal="center" vertical="center"/>
    </xf>
    <xf numFmtId="164" fontId="4" fillId="0" borderId="6" xfId="2" applyFont="1" applyBorder="1" applyAlignment="1">
      <alignment vertical="center"/>
    </xf>
    <xf numFmtId="164" fontId="4" fillId="0" borderId="0" xfId="2" applyFont="1" applyAlignment="1">
      <alignment vertical="center"/>
    </xf>
    <xf numFmtId="14" fontId="8" fillId="0" borderId="0" xfId="2" applyNumberFormat="1" applyFont="1" applyAlignment="1">
      <alignment vertical="center"/>
    </xf>
    <xf numFmtId="43" fontId="9" fillId="3" borderId="0" xfId="1" applyFont="1" applyFill="1" applyAlignment="1">
      <alignment horizontal="center"/>
    </xf>
    <xf numFmtId="164" fontId="9" fillId="3" borderId="0" xfId="2" applyFont="1" applyFill="1"/>
    <xf numFmtId="164" fontId="1" fillId="3" borderId="0" xfId="2" applyFill="1"/>
    <xf numFmtId="164" fontId="10" fillId="0" borderId="0" xfId="2" applyFont="1" applyAlignment="1">
      <alignment horizontal="center" vertical="center"/>
    </xf>
    <xf numFmtId="164" fontId="11" fillId="0" borderId="0" xfId="2" applyFont="1"/>
    <xf numFmtId="164" fontId="12" fillId="0" borderId="0" xfId="2" applyFont="1" applyAlignment="1">
      <alignment vertical="center"/>
    </xf>
    <xf numFmtId="164" fontId="7" fillId="0" borderId="8" xfId="2" applyFont="1" applyBorder="1" applyAlignment="1">
      <alignment vertical="center"/>
    </xf>
    <xf numFmtId="164" fontId="7" fillId="0" borderId="10" xfId="2" applyFont="1" applyBorder="1" applyAlignment="1">
      <alignment vertical="center"/>
    </xf>
    <xf numFmtId="164" fontId="1" fillId="0" borderId="6" xfId="2" applyBorder="1" applyAlignment="1">
      <alignment horizontal="center" vertical="center"/>
    </xf>
    <xf numFmtId="164" fontId="3" fillId="0" borderId="0" xfId="2" applyFont="1" applyAlignment="1">
      <alignment horizontal="center" vertical="center"/>
    </xf>
    <xf numFmtId="164" fontId="3" fillId="0" borderId="0" xfId="2" applyFont="1" applyAlignment="1">
      <alignment vertical="center"/>
    </xf>
    <xf numFmtId="164" fontId="12" fillId="0" borderId="0" xfId="2" applyFont="1" applyAlignment="1">
      <alignment horizontal="center" vertical="center"/>
    </xf>
    <xf numFmtId="43" fontId="13" fillId="3" borderId="0" xfId="1" applyFont="1" applyFill="1" applyAlignment="1">
      <alignment horizontal="center" vertical="center"/>
    </xf>
    <xf numFmtId="20" fontId="1" fillId="0" borderId="0" xfId="2" applyNumberFormat="1" applyAlignment="1">
      <alignment horizontal="center" vertical="center"/>
    </xf>
    <xf numFmtId="165" fontId="14" fillId="0" borderId="0" xfId="2" applyNumberFormat="1" applyFont="1"/>
    <xf numFmtId="164" fontId="15" fillId="4" borderId="0" xfId="2" applyFont="1" applyFill="1" applyAlignment="1">
      <alignment horizontal="right" vertical="center"/>
    </xf>
    <xf numFmtId="164" fontId="16" fillId="0" borderId="0" xfId="2" applyFont="1" applyAlignment="1">
      <alignment vertical="center"/>
    </xf>
    <xf numFmtId="164" fontId="17" fillId="0" borderId="0" xfId="2" applyFont="1" applyAlignment="1">
      <alignment vertical="center"/>
    </xf>
    <xf numFmtId="164" fontId="1" fillId="0" borderId="0" xfId="2" applyAlignment="1">
      <alignment horizontal="center" vertical="center"/>
    </xf>
    <xf numFmtId="164" fontId="15" fillId="4" borderId="0" xfId="2" applyFont="1" applyFill="1" applyAlignment="1">
      <alignment vertical="center"/>
    </xf>
    <xf numFmtId="166" fontId="1" fillId="5" borderId="0" xfId="2" applyNumberFormat="1" applyFill="1"/>
    <xf numFmtId="164" fontId="1" fillId="5" borderId="0" xfId="2" applyFill="1"/>
    <xf numFmtId="164" fontId="15" fillId="4" borderId="0" xfId="2" applyFont="1" applyFill="1" applyAlignment="1">
      <alignment horizontal="left" vertical="center"/>
    </xf>
    <xf numFmtId="164" fontId="18" fillId="3" borderId="0" xfId="2" applyFont="1" applyFill="1"/>
    <xf numFmtId="164" fontId="19" fillId="0" borderId="0" xfId="2" applyFont="1" applyAlignment="1">
      <alignment horizontal="left" vertical="center"/>
    </xf>
    <xf numFmtId="1" fontId="20" fillId="0" borderId="0" xfId="2" applyNumberFormat="1" applyFont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164" fontId="2" fillId="0" borderId="0" xfId="2" applyFont="1"/>
    <xf numFmtId="164" fontId="12" fillId="0" borderId="12" xfId="2" applyFont="1" applyBorder="1" applyAlignment="1">
      <alignment vertical="center"/>
    </xf>
    <xf numFmtId="2" fontId="12" fillId="6" borderId="16" xfId="2" applyNumberFormat="1" applyFont="1" applyFill="1" applyBorder="1" applyAlignment="1">
      <alignment horizontal="center" vertical="center"/>
    </xf>
    <xf numFmtId="164" fontId="18" fillId="0" borderId="0" xfId="2" applyFont="1" applyAlignment="1">
      <alignment horizontal="center"/>
    </xf>
    <xf numFmtId="164" fontId="18" fillId="0" borderId="0" xfId="2" applyFont="1"/>
    <xf numFmtId="164" fontId="18" fillId="0" borderId="0" xfId="2" applyFont="1" applyAlignment="1">
      <alignment horizontal="left"/>
    </xf>
    <xf numFmtId="164" fontId="1" fillId="0" borderId="0" xfId="2" applyAlignment="1">
      <alignment horizontal="center"/>
    </xf>
    <xf numFmtId="164" fontId="12" fillId="0" borderId="24" xfId="2" applyFont="1" applyBorder="1" applyAlignment="1">
      <alignment horizontal="right" vertical="center"/>
    </xf>
    <xf numFmtId="166" fontId="12" fillId="0" borderId="25" xfId="2" applyNumberFormat="1" applyFont="1" applyBorder="1" applyAlignment="1" applyProtection="1">
      <alignment horizontal="center" vertical="center"/>
      <protection locked="0"/>
    </xf>
    <xf numFmtId="166" fontId="12" fillId="0" borderId="26" xfId="2" applyNumberFormat="1" applyFont="1" applyBorder="1" applyAlignment="1" applyProtection="1">
      <alignment horizontal="center" vertical="center"/>
      <protection locked="0"/>
    </xf>
    <xf numFmtId="169" fontId="12" fillId="0" borderId="25" xfId="2" applyNumberFormat="1" applyFont="1" applyBorder="1" applyAlignment="1" applyProtection="1">
      <alignment horizontal="center" vertical="center"/>
      <protection locked="0"/>
    </xf>
    <xf numFmtId="166" fontId="1" fillId="0" borderId="0" xfId="2" applyNumberFormat="1" applyAlignment="1" applyProtection="1">
      <alignment horizontal="center"/>
      <protection locked="0"/>
    </xf>
    <xf numFmtId="166" fontId="1" fillId="0" borderId="0" xfId="2" applyNumberFormat="1" applyProtection="1">
      <protection locked="0"/>
    </xf>
    <xf numFmtId="20" fontId="1" fillId="0" borderId="0" xfId="2" applyNumberFormat="1"/>
    <xf numFmtId="169" fontId="12" fillId="0" borderId="26" xfId="2" applyNumberFormat="1" applyFont="1" applyBorder="1" applyAlignment="1" applyProtection="1">
      <alignment horizontal="center" vertical="center"/>
      <protection locked="0"/>
    </xf>
    <xf numFmtId="169" fontId="25" fillId="0" borderId="27" xfId="2" applyNumberFormat="1" applyFont="1" applyBorder="1" applyAlignment="1">
      <alignment horizontal="center" vertical="center"/>
    </xf>
    <xf numFmtId="2" fontId="25" fillId="0" borderId="27" xfId="2" applyNumberFormat="1" applyFont="1" applyBorder="1" applyAlignment="1">
      <alignment horizontal="center" vertical="center"/>
    </xf>
    <xf numFmtId="164" fontId="12" fillId="0" borderId="28" xfId="2" applyFont="1" applyBorder="1" applyAlignment="1">
      <alignment horizontal="right" vertical="center"/>
    </xf>
    <xf numFmtId="169" fontId="25" fillId="0" borderId="29" xfId="2" applyNumberFormat="1" applyFont="1" applyBorder="1" applyAlignment="1">
      <alignment horizontal="center" vertical="center"/>
    </xf>
    <xf numFmtId="164" fontId="26" fillId="0" borderId="28" xfId="2" applyFont="1" applyBorder="1" applyAlignment="1">
      <alignment horizontal="right" vertical="center"/>
    </xf>
    <xf numFmtId="166" fontId="12" fillId="9" borderId="6" xfId="2" applyNumberFormat="1" applyFont="1" applyFill="1" applyBorder="1" applyAlignment="1" applyProtection="1">
      <alignment horizontal="center" vertical="center"/>
      <protection locked="0"/>
    </xf>
    <xf numFmtId="164" fontId="16" fillId="0" borderId="24" xfId="2" applyFont="1" applyBorder="1" applyAlignment="1">
      <alignment horizontal="right" vertical="center"/>
    </xf>
    <xf numFmtId="166" fontId="12" fillId="10" borderId="25" xfId="2" applyNumberFormat="1" applyFont="1" applyFill="1" applyBorder="1" applyAlignment="1" applyProtection="1">
      <alignment horizontal="center" vertical="center"/>
      <protection locked="0"/>
    </xf>
    <xf numFmtId="164" fontId="16" fillId="0" borderId="30" xfId="2" applyFont="1" applyBorder="1" applyAlignment="1">
      <alignment horizontal="left" vertical="center"/>
    </xf>
    <xf numFmtId="166" fontId="16" fillId="0" borderId="31" xfId="2" applyNumberFormat="1" applyFont="1" applyBorder="1" applyAlignment="1">
      <alignment horizontal="center" vertical="center"/>
    </xf>
    <xf numFmtId="169" fontId="16" fillId="0" borderId="31" xfId="2" applyNumberFormat="1" applyFont="1" applyBorder="1" applyAlignment="1">
      <alignment horizontal="center" vertical="center"/>
    </xf>
    <xf numFmtId="164" fontId="12" fillId="0" borderId="32" xfId="2" applyFont="1" applyBorder="1" applyAlignment="1">
      <alignment horizontal="right" vertical="center"/>
    </xf>
    <xf numFmtId="164" fontId="12" fillId="0" borderId="33" xfId="2" applyFont="1" applyBorder="1" applyAlignment="1">
      <alignment horizontal="right" vertical="center"/>
    </xf>
    <xf numFmtId="166" fontId="12" fillId="0" borderId="6" xfId="2" applyNumberFormat="1" applyFont="1" applyBorder="1" applyAlignment="1" applyProtection="1">
      <alignment horizontal="center" vertical="center"/>
      <protection locked="0"/>
    </xf>
    <xf numFmtId="164" fontId="12" fillId="0" borderId="34" xfId="2" applyFont="1" applyBorder="1" applyAlignment="1">
      <alignment horizontal="right" vertical="center"/>
    </xf>
    <xf numFmtId="166" fontId="12" fillId="0" borderId="18" xfId="2" applyNumberFormat="1" applyFont="1" applyBorder="1" applyAlignment="1" applyProtection="1">
      <alignment horizontal="center" vertical="center"/>
      <protection locked="0"/>
    </xf>
    <xf numFmtId="169" fontId="25" fillId="0" borderId="23" xfId="2" applyNumberFormat="1" applyFont="1" applyBorder="1" applyAlignment="1">
      <alignment horizontal="center" vertical="center"/>
    </xf>
    <xf numFmtId="164" fontId="16" fillId="0" borderId="35" xfId="2" applyFont="1" applyBorder="1" applyAlignment="1">
      <alignment horizontal="left" vertical="center"/>
    </xf>
    <xf numFmtId="164" fontId="27" fillId="0" borderId="0" xfId="2" applyFont="1"/>
    <xf numFmtId="164" fontId="12" fillId="0" borderId="36" xfId="2" applyFont="1" applyBorder="1" applyAlignment="1">
      <alignment horizontal="right" vertical="center"/>
    </xf>
    <xf numFmtId="2" fontId="26" fillId="0" borderId="37" xfId="2" applyNumberFormat="1" applyFont="1" applyBorder="1" applyAlignment="1">
      <alignment horizontal="center" vertical="center"/>
    </xf>
    <xf numFmtId="169" fontId="26" fillId="0" borderId="37" xfId="2" applyNumberFormat="1" applyFont="1" applyBorder="1" applyAlignment="1">
      <alignment horizontal="center" vertical="center"/>
    </xf>
    <xf numFmtId="164" fontId="16" fillId="0" borderId="38" xfId="2" applyFont="1" applyBorder="1" applyAlignment="1">
      <alignment horizontal="left" vertical="center"/>
    </xf>
    <xf numFmtId="169" fontId="12" fillId="0" borderId="29" xfId="2" applyNumberFormat="1" applyFont="1" applyBorder="1" applyAlignment="1">
      <alignment horizontal="center" vertical="center"/>
    </xf>
    <xf numFmtId="166" fontId="12" fillId="0" borderId="25" xfId="2" applyNumberFormat="1" applyFont="1" applyBorder="1" applyAlignment="1">
      <alignment horizontal="center" vertical="center"/>
    </xf>
    <xf numFmtId="166" fontId="12" fillId="0" borderId="6" xfId="2" applyNumberFormat="1" applyFont="1" applyBorder="1" applyAlignment="1">
      <alignment horizontal="center" vertical="center"/>
    </xf>
    <xf numFmtId="164" fontId="12" fillId="0" borderId="39" xfId="2" applyFont="1" applyBorder="1" applyAlignment="1">
      <alignment horizontal="right" vertical="center"/>
    </xf>
    <xf numFmtId="166" fontId="12" fillId="0" borderId="37" xfId="2" applyNumberFormat="1" applyFont="1" applyBorder="1" applyAlignment="1">
      <alignment horizontal="center" vertical="center"/>
    </xf>
    <xf numFmtId="169" fontId="12" fillId="0" borderId="40" xfId="2" applyNumberFormat="1" applyFont="1" applyBorder="1" applyAlignment="1">
      <alignment horizontal="center" vertical="center"/>
    </xf>
    <xf numFmtId="169" fontId="16" fillId="0" borderId="41" xfId="2" applyNumberFormat="1" applyFont="1" applyBorder="1" applyAlignment="1">
      <alignment horizontal="center" vertical="center"/>
    </xf>
    <xf numFmtId="169" fontId="12" fillId="0" borderId="27" xfId="2" applyNumberFormat="1" applyFont="1" applyBorder="1" applyAlignment="1">
      <alignment horizontal="center" vertical="center"/>
    </xf>
    <xf numFmtId="1" fontId="16" fillId="0" borderId="31" xfId="2" applyNumberFormat="1" applyFont="1" applyBorder="1" applyAlignment="1">
      <alignment horizontal="center" vertical="center"/>
    </xf>
    <xf numFmtId="164" fontId="16" fillId="11" borderId="38" xfId="2" applyFont="1" applyFill="1" applyBorder="1" applyAlignment="1">
      <alignment vertical="center" wrapText="1"/>
    </xf>
    <xf numFmtId="166" fontId="12" fillId="0" borderId="31" xfId="2" applyNumberFormat="1" applyFont="1" applyBorder="1" applyAlignment="1" applyProtection="1">
      <alignment horizontal="center" vertical="center"/>
      <protection locked="0"/>
    </xf>
    <xf numFmtId="169" fontId="25" fillId="0" borderId="40" xfId="2" applyNumberFormat="1" applyFont="1" applyBorder="1" applyAlignment="1">
      <alignment horizontal="center" vertical="center"/>
    </xf>
    <xf numFmtId="164" fontId="16" fillId="0" borderId="38" xfId="2" applyFont="1" applyBorder="1" applyAlignment="1">
      <alignment horizontal="center" vertical="center"/>
    </xf>
    <xf numFmtId="164" fontId="12" fillId="0" borderId="42" xfId="2" applyFont="1" applyBorder="1" applyAlignment="1">
      <alignment horizontal="right" vertical="center"/>
    </xf>
    <xf numFmtId="2" fontId="12" fillId="0" borderId="2" xfId="2" applyNumberFormat="1" applyFont="1" applyBorder="1" applyAlignment="1" applyProtection="1">
      <alignment horizontal="center" vertical="center"/>
      <protection locked="0"/>
    </xf>
    <xf numFmtId="169" fontId="12" fillId="0" borderId="43" xfId="2" applyNumberFormat="1" applyFont="1" applyBorder="1" applyAlignment="1">
      <alignment horizontal="center" vertical="center"/>
    </xf>
    <xf numFmtId="164" fontId="12" fillId="0" borderId="44" xfId="2" applyFont="1" applyBorder="1" applyAlignment="1">
      <alignment horizontal="right" vertical="center"/>
    </xf>
    <xf numFmtId="169" fontId="12" fillId="0" borderId="45" xfId="2" applyNumberFormat="1" applyFont="1" applyBorder="1" applyAlignment="1">
      <alignment horizontal="center" vertical="center"/>
    </xf>
    <xf numFmtId="164" fontId="12" fillId="0" borderId="46" xfId="2" applyFont="1" applyBorder="1" applyAlignment="1">
      <alignment horizontal="right" vertical="center"/>
    </xf>
    <xf numFmtId="166" fontId="12" fillId="0" borderId="6" xfId="2" applyNumberFormat="1" applyFont="1" applyBorder="1" applyAlignment="1" applyProtection="1">
      <alignment horizontal="center"/>
      <protection locked="0"/>
    </xf>
    <xf numFmtId="169" fontId="12" fillId="0" borderId="45" xfId="2" applyNumberFormat="1" applyFont="1" applyBorder="1" applyAlignment="1">
      <alignment horizontal="center"/>
    </xf>
    <xf numFmtId="166" fontId="12" fillId="0" borderId="8" xfId="2" applyNumberFormat="1" applyFont="1" applyBorder="1" applyAlignment="1" applyProtection="1">
      <alignment horizontal="center" vertical="center"/>
      <protection locked="0"/>
    </xf>
    <xf numFmtId="169" fontId="12" fillId="0" borderId="47" xfId="2" applyNumberFormat="1" applyFont="1" applyBorder="1" applyAlignment="1">
      <alignment horizontal="center" vertical="center"/>
    </xf>
    <xf numFmtId="164" fontId="16" fillId="0" borderId="0" xfId="2" applyFont="1" applyAlignment="1">
      <alignment horizontal="right" vertical="center"/>
    </xf>
    <xf numFmtId="164" fontId="12" fillId="0" borderId="1" xfId="2" applyFont="1" applyBorder="1" applyAlignment="1">
      <alignment vertical="center"/>
    </xf>
    <xf numFmtId="166" fontId="16" fillId="0" borderId="3" xfId="2" applyNumberFormat="1" applyFont="1" applyBorder="1" applyAlignment="1">
      <alignment horizontal="center" vertical="center"/>
    </xf>
    <xf numFmtId="169" fontId="1" fillId="0" borderId="0" xfId="2" applyNumberFormat="1"/>
    <xf numFmtId="166" fontId="12" fillId="0" borderId="48" xfId="2" applyNumberFormat="1" applyFont="1" applyBorder="1" applyAlignment="1" applyProtection="1">
      <alignment horizontal="center" vertical="center"/>
      <protection locked="0"/>
    </xf>
    <xf numFmtId="169" fontId="1" fillId="0" borderId="6" xfId="2" applyNumberFormat="1" applyBorder="1" applyAlignment="1">
      <alignment horizontal="center"/>
    </xf>
    <xf numFmtId="166" fontId="12" fillId="0" borderId="49" xfId="2" applyNumberFormat="1" applyFont="1" applyBorder="1" applyAlignment="1" applyProtection="1">
      <alignment horizontal="center" vertical="center"/>
      <protection locked="0"/>
    </xf>
    <xf numFmtId="164" fontId="12" fillId="0" borderId="50" xfId="2" applyFont="1" applyBorder="1" applyAlignment="1">
      <alignment horizontal="right" vertical="center"/>
    </xf>
    <xf numFmtId="166" fontId="12" fillId="0" borderId="51" xfId="2" applyNumberFormat="1" applyFont="1" applyBorder="1" applyAlignment="1" applyProtection="1">
      <alignment horizontal="center"/>
      <protection locked="0"/>
    </xf>
    <xf numFmtId="169" fontId="1" fillId="0" borderId="37" xfId="2" applyNumberFormat="1" applyBorder="1" applyAlignment="1">
      <alignment horizontal="center"/>
    </xf>
    <xf numFmtId="169" fontId="1" fillId="0" borderId="0" xfId="2" applyNumberFormat="1" applyAlignment="1">
      <alignment horizontal="center"/>
    </xf>
    <xf numFmtId="164" fontId="12" fillId="0" borderId="6" xfId="2" applyFont="1" applyBorder="1" applyAlignment="1">
      <alignment horizontal="right" vertical="center"/>
    </xf>
    <xf numFmtId="164" fontId="16" fillId="0" borderId="52" xfId="2" applyFont="1" applyBorder="1" applyAlignment="1">
      <alignment vertical="center"/>
    </xf>
    <xf numFmtId="164" fontId="1" fillId="0" borderId="53" xfId="2" applyBorder="1" applyAlignment="1">
      <alignment horizontal="center"/>
    </xf>
    <xf numFmtId="169" fontId="1" fillId="0" borderId="54" xfId="2" applyNumberFormat="1" applyBorder="1" applyAlignment="1">
      <alignment horizontal="center"/>
    </xf>
    <xf numFmtId="164" fontId="12" fillId="0" borderId="55" xfId="2" applyFont="1" applyBorder="1" applyAlignment="1">
      <alignment horizontal="right" vertical="center"/>
    </xf>
    <xf numFmtId="2" fontId="12" fillId="0" borderId="25" xfId="2" applyNumberFormat="1" applyFont="1" applyBorder="1" applyAlignment="1">
      <alignment horizontal="center" vertical="center"/>
    </xf>
    <xf numFmtId="2" fontId="12" fillId="0" borderId="25" xfId="2" applyNumberFormat="1" applyFont="1" applyBorder="1" applyAlignment="1" applyProtection="1">
      <alignment horizontal="center" vertical="center"/>
      <protection locked="0"/>
    </xf>
    <xf numFmtId="169" fontId="25" fillId="0" borderId="56" xfId="2" applyNumberFormat="1" applyFont="1" applyBorder="1" applyAlignment="1">
      <alignment horizontal="center" vertical="center"/>
    </xf>
    <xf numFmtId="2" fontId="12" fillId="0" borderId="6" xfId="2" applyNumberFormat="1" applyFont="1" applyBorder="1" applyAlignment="1">
      <alignment horizontal="center" vertical="center"/>
    </xf>
    <xf numFmtId="2" fontId="12" fillId="0" borderId="6" xfId="2" applyNumberFormat="1" applyFont="1" applyBorder="1" applyAlignment="1" applyProtection="1">
      <alignment horizontal="center" vertical="center"/>
      <protection locked="0"/>
    </xf>
    <xf numFmtId="169" fontId="25" fillId="0" borderId="57" xfId="2" applyNumberFormat="1" applyFont="1" applyBorder="1" applyAlignment="1">
      <alignment horizontal="center" vertical="center"/>
    </xf>
    <xf numFmtId="169" fontId="25" fillId="0" borderId="58" xfId="2" applyNumberFormat="1" applyFont="1" applyBorder="1" applyAlignment="1">
      <alignment horizontal="center" vertical="center"/>
    </xf>
    <xf numFmtId="2" fontId="12" fillId="0" borderId="37" xfId="2" applyNumberFormat="1" applyFont="1" applyBorder="1" applyAlignment="1">
      <alignment horizontal="center" vertical="center"/>
    </xf>
    <xf numFmtId="2" fontId="12" fillId="0" borderId="18" xfId="2" applyNumberFormat="1" applyFont="1" applyBorder="1" applyAlignment="1" applyProtection="1">
      <alignment horizontal="center" vertical="center"/>
      <protection locked="0"/>
    </xf>
    <xf numFmtId="164" fontId="12" fillId="0" borderId="35" xfId="2" applyFont="1" applyBorder="1" applyAlignment="1">
      <alignment vertical="center"/>
    </xf>
    <xf numFmtId="2" fontId="12" fillId="0" borderId="59" xfId="2" applyNumberFormat="1" applyFont="1" applyBorder="1" applyAlignment="1">
      <alignment horizontal="center" vertical="center"/>
    </xf>
    <xf numFmtId="2" fontId="12" fillId="0" borderId="31" xfId="2" applyNumberFormat="1" applyFont="1" applyBorder="1" applyAlignment="1">
      <alignment horizontal="center" vertical="center"/>
    </xf>
    <xf numFmtId="2" fontId="12" fillId="0" borderId="60" xfId="2" applyNumberFormat="1" applyFont="1" applyBorder="1" applyAlignment="1">
      <alignment horizontal="center" vertical="center"/>
    </xf>
    <xf numFmtId="169" fontId="25" fillId="0" borderId="35" xfId="2" applyNumberFormat="1" applyFont="1" applyBorder="1" applyAlignment="1">
      <alignment horizontal="center" vertical="center"/>
    </xf>
    <xf numFmtId="2" fontId="1" fillId="0" borderId="0" xfId="2" applyNumberFormat="1" applyAlignment="1">
      <alignment horizontal="center"/>
    </xf>
    <xf numFmtId="2" fontId="12" fillId="0" borderId="2" xfId="2" applyNumberFormat="1" applyFont="1" applyBorder="1" applyAlignment="1">
      <alignment horizontal="center" vertical="center"/>
    </xf>
    <xf numFmtId="169" fontId="28" fillId="0" borderId="4" xfId="2" applyNumberFormat="1" applyFont="1" applyBorder="1" applyAlignment="1">
      <alignment horizontal="center" vertical="center"/>
    </xf>
    <xf numFmtId="169" fontId="28" fillId="0" borderId="57" xfId="2" applyNumberFormat="1" applyFont="1" applyBorder="1" applyAlignment="1">
      <alignment horizontal="center" vertical="center"/>
    </xf>
    <xf numFmtId="169" fontId="28" fillId="0" borderId="58" xfId="2" applyNumberFormat="1" applyFont="1" applyBorder="1" applyAlignment="1">
      <alignment horizontal="center" vertical="center"/>
    </xf>
    <xf numFmtId="164" fontId="12" fillId="0" borderId="59" xfId="2" applyFont="1" applyBorder="1" applyAlignment="1">
      <alignment horizontal="right" vertical="center"/>
    </xf>
    <xf numFmtId="169" fontId="1" fillId="0" borderId="61" xfId="2" applyNumberFormat="1" applyBorder="1" applyAlignment="1">
      <alignment horizontal="center"/>
    </xf>
    <xf numFmtId="164" fontId="16" fillId="0" borderId="42" xfId="2" applyFont="1" applyBorder="1" applyAlignment="1">
      <alignment vertical="center"/>
    </xf>
    <xf numFmtId="2" fontId="29" fillId="0" borderId="2" xfId="2" applyNumberFormat="1" applyFont="1" applyBorder="1" applyAlignment="1">
      <alignment horizontal="center" vertical="center"/>
    </xf>
    <xf numFmtId="2" fontId="29" fillId="0" borderId="4" xfId="2" applyNumberFormat="1" applyFont="1" applyBorder="1" applyAlignment="1">
      <alignment horizontal="center" vertical="center"/>
    </xf>
    <xf numFmtId="164" fontId="16" fillId="0" borderId="55" xfId="2" applyFont="1" applyBorder="1" applyAlignment="1">
      <alignment vertical="center"/>
    </xf>
    <xf numFmtId="2" fontId="29" fillId="0" borderId="25" xfId="2" applyNumberFormat="1" applyFont="1" applyBorder="1" applyAlignment="1">
      <alignment horizontal="center" vertical="center"/>
    </xf>
    <xf numFmtId="2" fontId="29" fillId="0" borderId="56" xfId="2" applyNumberFormat="1" applyFont="1" applyBorder="1" applyAlignment="1">
      <alignment horizontal="center" vertical="center"/>
    </xf>
    <xf numFmtId="164" fontId="1" fillId="0" borderId="62" xfId="2" applyBorder="1" applyAlignment="1">
      <alignment horizontal="center"/>
    </xf>
    <xf numFmtId="164" fontId="16" fillId="0" borderId="44" xfId="2" applyFont="1" applyBorder="1" applyAlignment="1">
      <alignment vertical="center"/>
    </xf>
    <xf numFmtId="2" fontId="29" fillId="0" borderId="6" xfId="2" applyNumberFormat="1" applyFont="1" applyBorder="1" applyAlignment="1">
      <alignment horizontal="center" vertical="center"/>
    </xf>
    <xf numFmtId="2" fontId="29" fillId="0" borderId="57" xfId="2" applyNumberFormat="1" applyFont="1" applyBorder="1" applyAlignment="1">
      <alignment horizontal="center" vertical="center"/>
    </xf>
    <xf numFmtId="164" fontId="16" fillId="0" borderId="63" xfId="2" applyFont="1" applyBorder="1" applyAlignment="1">
      <alignment vertical="center"/>
    </xf>
    <xf numFmtId="2" fontId="29" fillId="0" borderId="8" xfId="2" applyNumberFormat="1" applyFont="1" applyBorder="1" applyAlignment="1">
      <alignment horizontal="center" vertical="center"/>
    </xf>
    <xf numFmtId="2" fontId="29" fillId="0" borderId="10" xfId="2" applyNumberFormat="1" applyFont="1" applyBorder="1" applyAlignment="1">
      <alignment horizontal="center" vertical="center"/>
    </xf>
    <xf numFmtId="164" fontId="12" fillId="12" borderId="6" xfId="2" applyFont="1" applyFill="1" applyBorder="1" applyAlignment="1">
      <alignment vertical="center"/>
    </xf>
    <xf numFmtId="1" fontId="1" fillId="12" borderId="6" xfId="2" applyNumberFormat="1" applyFill="1" applyBorder="1"/>
    <xf numFmtId="20" fontId="30" fillId="12" borderId="6" xfId="2" applyNumberFormat="1" applyFont="1" applyFill="1" applyBorder="1" applyAlignment="1">
      <alignment horizontal="center"/>
    </xf>
    <xf numFmtId="164" fontId="1" fillId="0" borderId="0" xfId="2" applyAlignment="1">
      <alignment horizontal="left"/>
    </xf>
    <xf numFmtId="164" fontId="31" fillId="14" borderId="0" xfId="2" applyFont="1" applyFill="1"/>
    <xf numFmtId="164" fontId="1" fillId="15" borderId="0" xfId="2" applyFill="1" applyProtection="1">
      <protection locked="0"/>
    </xf>
    <xf numFmtId="164" fontId="16" fillId="0" borderId="0" xfId="2" applyFont="1" applyAlignment="1">
      <alignment vertical="top" wrapText="1"/>
    </xf>
    <xf numFmtId="20" fontId="12" fillId="0" borderId="37" xfId="2" applyNumberFormat="1" applyFont="1" applyBorder="1" applyAlignment="1">
      <alignment vertical="center"/>
    </xf>
    <xf numFmtId="167" fontId="12" fillId="0" borderId="64" xfId="2" applyNumberFormat="1" applyFont="1" applyBorder="1" applyAlignment="1">
      <alignment vertical="center"/>
    </xf>
    <xf numFmtId="167" fontId="12" fillId="0" borderId="37" xfId="2" applyNumberFormat="1" applyFont="1" applyBorder="1" applyAlignment="1">
      <alignment vertical="center"/>
    </xf>
    <xf numFmtId="167" fontId="12" fillId="0" borderId="19" xfId="2" applyNumberFormat="1" applyFont="1" applyBorder="1" applyAlignment="1">
      <alignment vertical="center"/>
    </xf>
    <xf numFmtId="1" fontId="1" fillId="0" borderId="0" xfId="2" applyNumberFormat="1" applyAlignment="1">
      <alignment horizontal="center"/>
    </xf>
    <xf numFmtId="165" fontId="1" fillId="15" borderId="0" xfId="2" applyNumberFormat="1" applyFill="1" applyProtection="1">
      <protection locked="0"/>
    </xf>
    <xf numFmtId="164" fontId="1" fillId="0" borderId="6" xfId="2" applyBorder="1"/>
    <xf numFmtId="166" fontId="1" fillId="0" borderId="6" xfId="2" applyNumberFormat="1" applyBorder="1" applyAlignment="1">
      <alignment horizontal="center"/>
    </xf>
    <xf numFmtId="2" fontId="1" fillId="0" borderId="6" xfId="2" applyNumberFormat="1" applyBorder="1" applyAlignment="1">
      <alignment horizontal="center"/>
    </xf>
    <xf numFmtId="0" fontId="1" fillId="0" borderId="0" xfId="2" applyNumberFormat="1" applyAlignment="1">
      <alignment horizontal="center" vertical="center"/>
    </xf>
    <xf numFmtId="2" fontId="1" fillId="0" borderId="0" xfId="2" applyNumberFormat="1"/>
    <xf numFmtId="164" fontId="0" fillId="0" borderId="0" xfId="2" applyFont="1" applyAlignment="1">
      <alignment horizontal="center" vertical="center"/>
    </xf>
    <xf numFmtId="20" fontId="0" fillId="0" borderId="0" xfId="2" applyNumberFormat="1" applyFont="1"/>
    <xf numFmtId="2" fontId="0" fillId="0" borderId="0" xfId="2" applyNumberFormat="1" applyFont="1"/>
    <xf numFmtId="164" fontId="0" fillId="0" borderId="0" xfId="2" applyFont="1"/>
    <xf numFmtId="0" fontId="1" fillId="0" borderId="0" xfId="2" applyNumberFormat="1"/>
    <xf numFmtId="166" fontId="12" fillId="10" borderId="6" xfId="2" applyNumberFormat="1" applyFont="1" applyFill="1" applyBorder="1" applyAlignment="1" applyProtection="1">
      <alignment horizontal="center" vertical="center"/>
      <protection locked="0"/>
    </xf>
    <xf numFmtId="165" fontId="1" fillId="0" borderId="0" xfId="2" applyNumberFormat="1"/>
    <xf numFmtId="164" fontId="0" fillId="0" borderId="53" xfId="2" applyFont="1" applyBorder="1" applyAlignment="1">
      <alignment horizontal="center"/>
    </xf>
    <xf numFmtId="2" fontId="1" fillId="0" borderId="0" xfId="2" applyNumberFormat="1" applyAlignment="1">
      <alignment horizontal="center" vertical="center"/>
    </xf>
    <xf numFmtId="164" fontId="31" fillId="13" borderId="0" xfId="2" applyFont="1" applyFill="1" applyAlignment="1">
      <alignment horizontal="center"/>
    </xf>
    <xf numFmtId="167" fontId="12" fillId="0" borderId="19" xfId="2" applyNumberFormat="1" applyFont="1" applyBorder="1" applyAlignment="1">
      <alignment horizontal="center" vertical="center"/>
    </xf>
    <xf numFmtId="167" fontId="12" fillId="0" borderId="22" xfId="2" applyNumberFormat="1" applyFont="1" applyBorder="1" applyAlignment="1">
      <alignment horizontal="center" vertical="center"/>
    </xf>
    <xf numFmtId="167" fontId="12" fillId="7" borderId="19" xfId="2" applyNumberFormat="1" applyFont="1" applyFill="1" applyBorder="1" applyAlignment="1">
      <alignment horizontal="center" vertical="center"/>
    </xf>
    <xf numFmtId="167" fontId="12" fillId="7" borderId="22" xfId="2" applyNumberFormat="1" applyFont="1" applyFill="1" applyBorder="1" applyAlignment="1">
      <alignment horizontal="center" vertical="center"/>
    </xf>
    <xf numFmtId="167" fontId="12" fillId="0" borderId="18" xfId="2" applyNumberFormat="1" applyFont="1" applyBorder="1" applyAlignment="1">
      <alignment horizontal="center" vertical="center"/>
    </xf>
    <xf numFmtId="168" fontId="24" fillId="8" borderId="20" xfId="2" applyNumberFormat="1" applyFont="1" applyFill="1" applyBorder="1" applyAlignment="1">
      <alignment horizontal="center" vertical="center" wrapText="1"/>
    </xf>
    <xf numFmtId="168" fontId="24" fillId="8" borderId="23" xfId="2" applyNumberFormat="1" applyFont="1" applyFill="1" applyBorder="1" applyAlignment="1">
      <alignment horizontal="center" vertical="center" wrapText="1"/>
    </xf>
    <xf numFmtId="2" fontId="23" fillId="0" borderId="13" xfId="2" applyNumberFormat="1" applyFont="1" applyBorder="1" applyAlignment="1">
      <alignment horizontal="center" vertical="center"/>
    </xf>
    <xf numFmtId="2" fontId="23" fillId="0" borderId="14" xfId="2" applyNumberFormat="1" applyFont="1" applyBorder="1" applyAlignment="1">
      <alignment horizontal="center" vertical="center"/>
    </xf>
    <xf numFmtId="2" fontId="23" fillId="0" borderId="15" xfId="2" applyNumberFormat="1" applyFont="1" applyBorder="1" applyAlignment="1">
      <alignment horizontal="center" vertical="center"/>
    </xf>
    <xf numFmtId="164" fontId="16" fillId="0" borderId="17" xfId="2" applyFont="1" applyBorder="1" applyAlignment="1">
      <alignment horizontal="left" vertical="top" wrapText="1"/>
    </xf>
    <xf numFmtId="164" fontId="16" fillId="0" borderId="21" xfId="2" applyFont="1" applyBorder="1" applyAlignment="1">
      <alignment horizontal="left" vertical="top" wrapText="1"/>
    </xf>
    <xf numFmtId="164" fontId="15" fillId="4" borderId="11" xfId="2" applyFont="1" applyFill="1" applyBorder="1" applyAlignment="1">
      <alignment horizontal="left" vertical="center"/>
    </xf>
    <xf numFmtId="164" fontId="15" fillId="4" borderId="11" xfId="2" applyFont="1" applyFill="1" applyBorder="1" applyAlignment="1">
      <alignment horizontal="center" vertical="center"/>
    </xf>
    <xf numFmtId="2" fontId="22" fillId="0" borderId="13" xfId="2" applyNumberFormat="1" applyFont="1" applyBorder="1" applyAlignment="1">
      <alignment horizontal="center" vertical="center"/>
    </xf>
    <xf numFmtId="2" fontId="22" fillId="0" borderId="14" xfId="2" applyNumberFormat="1" applyFont="1" applyBorder="1" applyAlignment="1">
      <alignment horizontal="center" vertical="center"/>
    </xf>
    <xf numFmtId="2" fontId="22" fillId="0" borderId="15" xfId="2" applyNumberFormat="1" applyFont="1" applyBorder="1" applyAlignment="1">
      <alignment horizontal="center" vertical="center"/>
    </xf>
    <xf numFmtId="164" fontId="4" fillId="0" borderId="0" xfId="2" applyFont="1" applyAlignment="1">
      <alignment horizontal="center" vertical="center" wrapText="1"/>
    </xf>
    <xf numFmtId="164" fontId="5" fillId="2" borderId="0" xfId="2" applyFont="1" applyFill="1" applyAlignment="1">
      <alignment horizontal="center" vertical="center"/>
    </xf>
    <xf numFmtId="164" fontId="4" fillId="0" borderId="1" xfId="2" applyFont="1" applyBorder="1" applyAlignment="1">
      <alignment horizontal="center" vertical="center"/>
    </xf>
    <xf numFmtId="164" fontId="4" fillId="0" borderId="7" xfId="2" applyFont="1" applyBorder="1" applyAlignment="1">
      <alignment horizontal="center" vertical="center"/>
    </xf>
    <xf numFmtId="164" fontId="4" fillId="0" borderId="3" xfId="2" applyFont="1" applyBorder="1" applyAlignment="1">
      <alignment horizontal="center" vertical="center"/>
    </xf>
    <xf numFmtId="164" fontId="4" fillId="0" borderId="9" xfId="2" applyFont="1" applyBorder="1" applyAlignment="1">
      <alignment horizontal="center" vertical="center"/>
    </xf>
    <xf numFmtId="164" fontId="1" fillId="0" borderId="5" xfId="2" applyBorder="1" applyAlignment="1">
      <alignment horizontal="center" textRotation="90"/>
    </xf>
    <xf numFmtId="43" fontId="9" fillId="3" borderId="0" xfId="7" applyFont="1" applyFill="1" applyAlignment="1">
      <alignment horizontal="center"/>
    </xf>
    <xf numFmtId="43" fontId="13" fillId="3" borderId="0" xfId="7" applyFont="1" applyFill="1" applyAlignment="1">
      <alignment horizontal="center" vertical="center"/>
    </xf>
    <xf numFmtId="43" fontId="21" fillId="0" borderId="0" xfId="7" applyFont="1" applyFill="1" applyAlignment="1">
      <alignment horizontal="center" vertical="center"/>
    </xf>
    <xf numFmtId="167" fontId="12" fillId="0" borderId="65" xfId="2" applyNumberFormat="1" applyFont="1" applyBorder="1" applyAlignment="1">
      <alignment horizontal="center" vertical="center" wrapText="1"/>
    </xf>
    <xf numFmtId="167" fontId="12" fillId="0" borderId="0" xfId="2" applyNumberFormat="1" applyFont="1" applyAlignment="1">
      <alignment horizontal="center" vertical="center" wrapText="1"/>
    </xf>
    <xf numFmtId="167" fontId="12" fillId="0" borderId="66" xfId="2" applyNumberFormat="1" applyFont="1" applyBorder="1" applyAlignment="1">
      <alignment horizontal="center" vertical="center" wrapText="1"/>
    </xf>
    <xf numFmtId="166" fontId="37" fillId="0" borderId="25" xfId="2" applyNumberFormat="1" applyFont="1" applyBorder="1" applyAlignment="1" applyProtection="1">
      <alignment horizontal="center" vertical="center"/>
      <protection locked="0"/>
    </xf>
    <xf numFmtId="166" fontId="37" fillId="10" borderId="25" xfId="2" applyNumberFormat="1" applyFont="1" applyFill="1" applyBorder="1" applyAlignment="1" applyProtection="1">
      <alignment horizontal="center" vertical="center"/>
      <protection locked="0"/>
    </xf>
    <xf numFmtId="164" fontId="1" fillId="0" borderId="0" xfId="2" applyAlignment="1">
      <alignment horizontal="center"/>
    </xf>
    <xf numFmtId="166" fontId="38" fillId="0" borderId="31" xfId="2" applyNumberFormat="1" applyFont="1" applyBorder="1" applyAlignment="1">
      <alignment horizontal="center" vertical="center"/>
    </xf>
    <xf numFmtId="166" fontId="39" fillId="11" borderId="31" xfId="2" applyNumberFormat="1" applyFont="1" applyFill="1" applyBorder="1" applyAlignment="1">
      <alignment horizontal="center" vertical="center"/>
    </xf>
    <xf numFmtId="166" fontId="37" fillId="0" borderId="6" xfId="2" applyNumberFormat="1" applyFont="1" applyBorder="1" applyAlignment="1" applyProtection="1">
      <alignment horizontal="center" vertical="center"/>
      <protection locked="0"/>
    </xf>
    <xf numFmtId="0" fontId="40" fillId="6" borderId="0" xfId="2" applyNumberFormat="1" applyFont="1" applyFill="1"/>
    <xf numFmtId="166" fontId="37" fillId="0" borderId="18" xfId="2" applyNumberFormat="1" applyFont="1" applyBorder="1" applyAlignment="1" applyProtection="1">
      <alignment horizontal="center" vertical="center"/>
      <protection locked="0"/>
    </xf>
    <xf numFmtId="166" fontId="37" fillId="0" borderId="59" xfId="2" applyNumberFormat="1" applyFont="1" applyBorder="1" applyAlignment="1">
      <alignment horizontal="center" vertical="center"/>
    </xf>
    <xf numFmtId="169" fontId="16" fillId="0" borderId="67" xfId="2" applyNumberFormat="1" applyFont="1" applyBorder="1" applyAlignment="1">
      <alignment horizontal="center" vertical="center"/>
    </xf>
    <xf numFmtId="2" fontId="41" fillId="0" borderId="37" xfId="2" applyNumberFormat="1" applyFont="1" applyBorder="1" applyAlignment="1">
      <alignment horizontal="center" vertical="center"/>
    </xf>
    <xf numFmtId="166" fontId="42" fillId="0" borderId="31" xfId="2" applyNumberFormat="1" applyFont="1" applyBorder="1" applyAlignment="1">
      <alignment horizontal="center" vertical="center"/>
    </xf>
    <xf numFmtId="166" fontId="42" fillId="11" borderId="31" xfId="2" applyNumberFormat="1" applyFont="1" applyFill="1" applyBorder="1" applyAlignment="1">
      <alignment horizontal="center" vertical="center"/>
    </xf>
    <xf numFmtId="164" fontId="2" fillId="0" borderId="0" xfId="2" applyFont="1" applyAlignment="1">
      <alignment horizontal="center"/>
    </xf>
    <xf numFmtId="164" fontId="2" fillId="11" borderId="0" xfId="2" applyFont="1" applyFill="1"/>
    <xf numFmtId="20" fontId="1" fillId="0" borderId="68" xfId="2" applyNumberFormat="1" applyBorder="1"/>
    <xf numFmtId="166" fontId="12" fillId="0" borderId="2" xfId="2" applyNumberFormat="1" applyFont="1" applyBorder="1" applyAlignment="1" applyProtection="1">
      <alignment horizontal="center" vertical="center"/>
      <protection locked="0"/>
    </xf>
    <xf numFmtId="166" fontId="12" fillId="0" borderId="4" xfId="2" applyNumberFormat="1" applyFont="1" applyBorder="1" applyAlignment="1" applyProtection="1">
      <alignment horizontal="center" vertical="center"/>
      <protection locked="0"/>
    </xf>
    <xf numFmtId="164" fontId="0" fillId="0" borderId="5" xfId="2" applyFont="1" applyBorder="1"/>
    <xf numFmtId="166" fontId="12" fillId="0" borderId="57" xfId="2" applyNumberFormat="1" applyFont="1" applyBorder="1" applyAlignment="1" applyProtection="1">
      <alignment horizontal="center" vertical="center"/>
      <protection locked="0"/>
    </xf>
    <xf numFmtId="164" fontId="1" fillId="0" borderId="5" xfId="2" applyBorder="1"/>
    <xf numFmtId="166" fontId="12" fillId="11" borderId="69" xfId="2" applyNumberFormat="1" applyFont="1" applyFill="1" applyBorder="1" applyAlignment="1" applyProtection="1">
      <alignment horizontal="center" vertical="center"/>
      <protection locked="0"/>
    </xf>
    <xf numFmtId="166" fontId="12" fillId="0" borderId="49" xfId="2" applyNumberFormat="1" applyFont="1" applyBorder="1" applyAlignment="1">
      <alignment horizontal="center" vertical="center"/>
    </xf>
    <xf numFmtId="166" fontId="16" fillId="11" borderId="70" xfId="2" applyNumberFormat="1" applyFont="1" applyFill="1" applyBorder="1" applyAlignment="1">
      <alignment horizontal="center" vertical="center"/>
    </xf>
    <xf numFmtId="166" fontId="16" fillId="11" borderId="71" xfId="2" applyNumberFormat="1" applyFont="1" applyFill="1" applyBorder="1" applyAlignment="1">
      <alignment horizontal="center" vertical="center"/>
    </xf>
    <xf numFmtId="164" fontId="1" fillId="0" borderId="52" xfId="2" applyBorder="1"/>
    <xf numFmtId="166" fontId="12" fillId="0" borderId="10" xfId="2" applyNumberFormat="1" applyFont="1" applyBorder="1" applyAlignment="1" applyProtection="1">
      <alignment horizontal="center" vertical="center"/>
      <protection locked="0"/>
    </xf>
    <xf numFmtId="164" fontId="37" fillId="0" borderId="6" xfId="2" applyFont="1" applyBorder="1" applyAlignment="1">
      <alignment horizontal="right" vertical="center"/>
    </xf>
    <xf numFmtId="164" fontId="43" fillId="5" borderId="0" xfId="2" applyFont="1" applyFill="1"/>
    <xf numFmtId="166" fontId="44" fillId="11" borderId="31" xfId="2" applyNumberFormat="1" applyFont="1" applyFill="1" applyBorder="1" applyAlignment="1">
      <alignment horizontal="center" vertical="center"/>
    </xf>
    <xf numFmtId="166" fontId="45" fillId="11" borderId="31" xfId="2" applyNumberFormat="1" applyFont="1" applyFill="1" applyBorder="1" applyAlignment="1">
      <alignment horizontal="center" vertical="center"/>
    </xf>
    <xf numFmtId="166" fontId="16" fillId="11" borderId="31" xfId="2" applyNumberFormat="1" applyFont="1" applyFill="1" applyBorder="1" applyAlignment="1">
      <alignment horizontal="center" vertical="center"/>
    </xf>
    <xf numFmtId="166" fontId="37" fillId="0" borderId="31" xfId="2" applyNumberFormat="1" applyFont="1" applyBorder="1" applyAlignment="1">
      <alignment horizontal="center" vertical="center"/>
    </xf>
  </cellXfs>
  <cellStyles count="8">
    <cellStyle name="Comma" xfId="1" builtinId="3"/>
    <cellStyle name="Comma 2" xfId="7" xr:uid="{06214B39-57E2-4E6E-8980-65BF763C4ADE}"/>
    <cellStyle name="Normal" xfId="0" builtinId="0"/>
    <cellStyle name="Normal 2" xfId="2" xr:uid="{00000000-0005-0000-0000-000002000000}"/>
    <cellStyle name="Normal 2 2" xfId="3" xr:uid="{00000000-0005-0000-0000-000003000000}"/>
    <cellStyle name="Normal 2 3" xfId="4" xr:uid="{00000000-0005-0000-0000-000004000000}"/>
    <cellStyle name="Normal 2 4" xfId="5" xr:uid="{00000000-0005-0000-0000-000005000000}"/>
    <cellStyle name="Normal 2_4" xfId="6" xr:uid="{00000000-0005-0000-0000-000006000000}"/>
  </cellStyles>
  <dxfs count="7022"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3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9153152"/>
        <c:axId val="239155072"/>
      </c:lineChart>
      <c:catAx>
        <c:axId val="2391531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155072"/>
        <c:crosses val="autoZero"/>
        <c:auto val="1"/>
        <c:lblAlgn val="ctr"/>
        <c:lblOffset val="100"/>
        <c:noMultiLvlLbl val="0"/>
      </c:catAx>
      <c:valAx>
        <c:axId val="239155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15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9534464"/>
        <c:axId val="239536384"/>
      </c:lineChart>
      <c:catAx>
        <c:axId val="2395344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536384"/>
        <c:crosses val="autoZero"/>
        <c:auto val="1"/>
        <c:lblAlgn val="ctr"/>
        <c:lblOffset val="100"/>
        <c:noMultiLvlLbl val="0"/>
      </c:catAx>
      <c:valAx>
        <c:axId val="2395363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53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'3'!$U$237:$AX$237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9788416"/>
        <c:axId val="239790336"/>
      </c:lineChart>
      <c:catAx>
        <c:axId val="2397884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790336"/>
        <c:crosses val="autoZero"/>
        <c:auto val="1"/>
        <c:lblAlgn val="ctr"/>
        <c:lblOffset val="100"/>
        <c:noMultiLvlLbl val="0"/>
      </c:catAx>
      <c:valAx>
        <c:axId val="2397903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78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0190208"/>
        <c:axId val="240192128"/>
      </c:lineChart>
      <c:catAx>
        <c:axId val="2401902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192128"/>
        <c:crosses val="autoZero"/>
        <c:auto val="1"/>
        <c:lblAlgn val="ctr"/>
        <c:lblOffset val="100"/>
        <c:noMultiLvlLbl val="0"/>
      </c:catAx>
      <c:valAx>
        <c:axId val="2401921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19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'5'!$B$236:$B$240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'5'!$T$236:$AX$236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'5'!$U$237:$AX$237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1013504"/>
        <c:axId val="241015424"/>
      </c:lineChart>
      <c:catAx>
        <c:axId val="2410135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015424"/>
        <c:crosses val="autoZero"/>
        <c:auto val="1"/>
        <c:lblAlgn val="ctr"/>
        <c:lblOffset val="100"/>
        <c:noMultiLvlLbl val="0"/>
      </c:catAx>
      <c:valAx>
        <c:axId val="2410154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01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'6'!$B$236:$B$240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'6'!$T$236:$AX$236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'6'!$U$237:$AX$237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778304"/>
        <c:axId val="243780224"/>
      </c:lineChart>
      <c:catAx>
        <c:axId val="2437783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780224"/>
        <c:crosses val="autoZero"/>
        <c:auto val="1"/>
        <c:lblAlgn val="ctr"/>
        <c:lblOffset val="100"/>
        <c:noMultiLvlLbl val="0"/>
      </c:catAx>
      <c:valAx>
        <c:axId val="2437802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77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'7'!$B$236:$B$240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'7'!$T$236:$AX$236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'7'!$U$237:$AX$237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4995200"/>
        <c:axId val="244997120"/>
      </c:lineChart>
      <c:catAx>
        <c:axId val="2449952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997120"/>
        <c:crosses val="autoZero"/>
        <c:auto val="1"/>
        <c:lblAlgn val="ctr"/>
        <c:lblOffset val="100"/>
        <c:noMultiLvlLbl val="0"/>
      </c:catAx>
      <c:valAx>
        <c:axId val="2449971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99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'8'!$B$236:$B$240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'8'!$T$236:$AX$236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'8'!$U$237:$AX$237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29152"/>
        <c:axId val="245735424"/>
      </c:lineChart>
      <c:catAx>
        <c:axId val="2457291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735424"/>
        <c:crosses val="autoZero"/>
        <c:auto val="1"/>
        <c:lblAlgn val="ctr"/>
        <c:lblOffset val="100"/>
        <c:noMultiLvlLbl val="0"/>
      </c:catAx>
      <c:valAx>
        <c:axId val="2457354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72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'9'!$B$236:$B$240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'9'!$T$236:$AX$236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'9'!$U$237:$AX$237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4089600"/>
        <c:axId val="244091520"/>
      </c:lineChart>
      <c:catAx>
        <c:axId val="2440896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091520"/>
        <c:crosses val="autoZero"/>
        <c:auto val="1"/>
        <c:lblAlgn val="ctr"/>
        <c:lblOffset val="100"/>
        <c:noMultiLvlLbl val="0"/>
      </c:catAx>
      <c:valAx>
        <c:axId val="2440915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08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'10'!$B$236:$B$240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'10'!$T$236:$AX$236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'10'!$U$237:$AX$237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572160"/>
        <c:axId val="246574080"/>
      </c:lineChart>
      <c:catAx>
        <c:axId val="2465721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74080"/>
        <c:crosses val="autoZero"/>
        <c:auto val="1"/>
        <c:lblAlgn val="ctr"/>
        <c:lblOffset val="100"/>
        <c:noMultiLvlLbl val="0"/>
      </c:catAx>
      <c:valAx>
        <c:axId val="2465740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7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'11'!$B$236:$B$240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'11'!$T$236:$AX$236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'11'!$U$237:$AX$237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297920"/>
        <c:axId val="247304192"/>
      </c:lineChart>
      <c:catAx>
        <c:axId val="2472979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304192"/>
        <c:crosses val="autoZero"/>
        <c:auto val="1"/>
        <c:lblAlgn val="ctr"/>
        <c:lblOffset val="100"/>
        <c:noMultiLvlLbl val="0"/>
      </c:catAx>
      <c:valAx>
        <c:axId val="2473041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29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'12'!$B$236:$B$240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'12'!$T$236:$AX$236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'12'!$U$237:$AX$237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900800"/>
        <c:axId val="247902976"/>
      </c:lineChart>
      <c:catAx>
        <c:axId val="2479008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902976"/>
        <c:crosses val="autoZero"/>
        <c:auto val="1"/>
        <c:lblAlgn val="ctr"/>
        <c:lblOffset val="100"/>
        <c:noMultiLvlLbl val="0"/>
      </c:catAx>
      <c:valAx>
        <c:axId val="2479029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90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'13'!$B$236:$B$240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'13'!$T$236:$AX$236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'13'!$U$237:$AX$237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8699520"/>
        <c:axId val="248709888"/>
      </c:lineChart>
      <c:catAx>
        <c:axId val="2486995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709888"/>
        <c:crosses val="autoZero"/>
        <c:auto val="1"/>
        <c:lblAlgn val="ctr"/>
        <c:lblOffset val="100"/>
        <c:noMultiLvlLbl val="0"/>
      </c:catAx>
      <c:valAx>
        <c:axId val="2487098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69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'14'!$B$236:$B$240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'14'!$T$236:$AX$236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'14'!$U$237:$AX$237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689664"/>
        <c:axId val="280765568"/>
      </c:lineChart>
      <c:catAx>
        <c:axId val="2806896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765568"/>
        <c:crosses val="autoZero"/>
        <c:auto val="1"/>
        <c:lblAlgn val="ctr"/>
        <c:lblOffset val="100"/>
        <c:noMultiLvlLbl val="0"/>
      </c:catAx>
      <c:valAx>
        <c:axId val="2807655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68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'15'!$B$236:$B$240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'15'!$T$236:$AX$236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'15'!$U$237:$AX$237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28352"/>
        <c:axId val="43830272"/>
      </c:lineChart>
      <c:catAx>
        <c:axId val="438283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0272"/>
        <c:crosses val="autoZero"/>
        <c:auto val="1"/>
        <c:lblAlgn val="ctr"/>
        <c:lblOffset val="100"/>
        <c:noMultiLvlLbl val="0"/>
      </c:catAx>
      <c:valAx>
        <c:axId val="438302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2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'16'!$B$236:$B$240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'16'!$T$236:$AX$236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'16'!$U$237:$AX$237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732288"/>
        <c:axId val="246734208"/>
      </c:lineChart>
      <c:catAx>
        <c:axId val="2467322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734208"/>
        <c:crosses val="autoZero"/>
        <c:auto val="1"/>
        <c:lblAlgn val="ctr"/>
        <c:lblOffset val="100"/>
        <c:noMultiLvlLbl val="0"/>
      </c:catAx>
      <c:valAx>
        <c:axId val="246734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73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'17'!$B$236:$B$240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'17'!$T$236:$AX$236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'17'!$U$237:$AX$237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4132224"/>
        <c:axId val="254134144"/>
      </c:lineChart>
      <c:catAx>
        <c:axId val="2541322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34144"/>
        <c:crosses val="autoZero"/>
        <c:auto val="1"/>
        <c:lblAlgn val="ctr"/>
        <c:lblOffset val="100"/>
        <c:noMultiLvlLbl val="0"/>
      </c:catAx>
      <c:valAx>
        <c:axId val="2541341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3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'18'!$B$236:$B$240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'18'!$T$236:$AX$236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'18'!$U$237:$AX$237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0075392"/>
        <c:axId val="290077312"/>
      </c:lineChart>
      <c:catAx>
        <c:axId val="2900753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077312"/>
        <c:crosses val="autoZero"/>
        <c:auto val="1"/>
        <c:lblAlgn val="ctr"/>
        <c:lblOffset val="100"/>
        <c:noMultiLvlLbl val="0"/>
      </c:catAx>
      <c:valAx>
        <c:axId val="2900773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07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'19'!$B$236:$B$240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'19'!$T$236:$AX$236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'19'!$U$237:$AX$237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586560"/>
        <c:axId val="289601024"/>
      </c:lineChart>
      <c:catAx>
        <c:axId val="289586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601024"/>
        <c:crosses val="autoZero"/>
        <c:auto val="1"/>
        <c:lblAlgn val="ctr"/>
        <c:lblOffset val="100"/>
        <c:noMultiLvlLbl val="0"/>
      </c:catAx>
      <c:valAx>
        <c:axId val="2896010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58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'20'!$B$236:$B$240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'20'!$T$236:$AX$236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'20'!$U$237:$AX$237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9159040"/>
        <c:axId val="329160960"/>
      </c:lineChart>
      <c:catAx>
        <c:axId val="3291590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160960"/>
        <c:crosses val="autoZero"/>
        <c:auto val="1"/>
        <c:lblAlgn val="ctr"/>
        <c:lblOffset val="100"/>
        <c:noMultiLvlLbl val="0"/>
      </c:catAx>
      <c:valAx>
        <c:axId val="3291609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15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'21'!$B$236:$B$240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'21'!$T$236:$AX$236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'21'!$U$237:$AX$237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7775744"/>
        <c:axId val="327777664"/>
      </c:lineChart>
      <c:catAx>
        <c:axId val="3277757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777664"/>
        <c:crosses val="autoZero"/>
        <c:auto val="1"/>
        <c:lblAlgn val="ctr"/>
        <c:lblOffset val="100"/>
        <c:noMultiLvlLbl val="0"/>
      </c:catAx>
      <c:valAx>
        <c:axId val="3277776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77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'22'!$B$236:$B$240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'22'!$T$236:$AX$236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'22'!$U$237:$AX$237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045952"/>
        <c:axId val="336052224"/>
      </c:lineChart>
      <c:catAx>
        <c:axId val="3360459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052224"/>
        <c:crosses val="autoZero"/>
        <c:auto val="1"/>
        <c:lblAlgn val="ctr"/>
        <c:lblOffset val="100"/>
        <c:noMultiLvlLbl val="0"/>
      </c:catAx>
      <c:valAx>
        <c:axId val="3360522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04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'23'!$B$236:$B$240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'23'!$T$236:$AX$236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'23'!$U$237:$AX$237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344640"/>
        <c:axId val="385346560"/>
      </c:lineChart>
      <c:catAx>
        <c:axId val="3853446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46560"/>
        <c:crosses val="autoZero"/>
        <c:auto val="1"/>
        <c:lblAlgn val="ctr"/>
        <c:lblOffset val="100"/>
        <c:noMultiLvlLbl val="0"/>
      </c:catAx>
      <c:valAx>
        <c:axId val="3853465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44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'24'!$B$236:$B$240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'24'!$T$236:$AX$236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'24'!$U$237:$AX$237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952384"/>
        <c:axId val="389850240"/>
      </c:lineChart>
      <c:catAx>
        <c:axId val="3859523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850240"/>
        <c:crosses val="autoZero"/>
        <c:auto val="1"/>
        <c:lblAlgn val="ctr"/>
        <c:lblOffset val="100"/>
        <c:noMultiLvlLbl val="0"/>
      </c:catAx>
      <c:valAx>
        <c:axId val="3898502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95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'25'!$B$236:$B$240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'25'!$T$236:$AX$236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'25'!$U$237:$AX$237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564928"/>
        <c:axId val="587122560"/>
      </c:lineChart>
      <c:catAx>
        <c:axId val="5015649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122560"/>
        <c:crosses val="autoZero"/>
        <c:auto val="1"/>
        <c:lblAlgn val="ctr"/>
        <c:lblOffset val="100"/>
        <c:noMultiLvlLbl val="0"/>
      </c:catAx>
      <c:valAx>
        <c:axId val="5871225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56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'26'!$B$236:$B$240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'26'!$T$236:$AX$236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'26'!$U$237:$AX$237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904576"/>
        <c:axId val="336906880"/>
      </c:lineChart>
      <c:catAx>
        <c:axId val="3369045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906880"/>
        <c:crosses val="autoZero"/>
        <c:auto val="1"/>
        <c:lblAlgn val="ctr"/>
        <c:lblOffset val="100"/>
        <c:noMultiLvlLbl val="0"/>
      </c:catAx>
      <c:valAx>
        <c:axId val="3369068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90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'27'!$B$236:$B$240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'27'!$T$236:$AX$236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'27'!$U$237:$AX$237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863296"/>
        <c:axId val="390594560"/>
      </c:lineChart>
      <c:catAx>
        <c:axId val="3898632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594560"/>
        <c:crosses val="autoZero"/>
        <c:auto val="1"/>
        <c:lblAlgn val="ctr"/>
        <c:lblOffset val="100"/>
        <c:noMultiLvlLbl val="0"/>
      </c:catAx>
      <c:valAx>
        <c:axId val="3905945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86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'28'!$B$236:$B$240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'28'!$T$236:$AX$236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'28'!$U$237:$AX$237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6213632"/>
        <c:axId val="454539520"/>
      </c:lineChart>
      <c:catAx>
        <c:axId val="3962136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539520"/>
        <c:crosses val="autoZero"/>
        <c:auto val="1"/>
        <c:lblAlgn val="ctr"/>
        <c:lblOffset val="100"/>
        <c:noMultiLvlLbl val="0"/>
      </c:catAx>
      <c:valAx>
        <c:axId val="4545395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21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'29'!$B$236:$B$240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'29'!$T$236:$AX$236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'29'!$U$237:$AX$237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781568"/>
        <c:axId val="324783488"/>
      </c:lineChart>
      <c:catAx>
        <c:axId val="3247815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83488"/>
        <c:crosses val="autoZero"/>
        <c:auto val="1"/>
        <c:lblAlgn val="ctr"/>
        <c:lblOffset val="100"/>
        <c:noMultiLvlLbl val="0"/>
      </c:catAx>
      <c:valAx>
        <c:axId val="3247834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8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'30'!$B$236:$B$240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'30'!$T$236:$AX$236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'30'!$U$237:$AX$237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380736"/>
        <c:axId val="387382656"/>
      </c:lineChart>
      <c:catAx>
        <c:axId val="3873807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82656"/>
        <c:crosses val="autoZero"/>
        <c:auto val="1"/>
        <c:lblAlgn val="ctr"/>
        <c:lblOffset val="100"/>
        <c:noMultiLvlLbl val="0"/>
      </c:catAx>
      <c:valAx>
        <c:axId val="3873826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8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5F9-4BC5-B7FF-89465EBA5B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5F9-4BC5-B7FF-89465EBA5B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5F9-4BC5-B7FF-89465EBA5B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5F9-4BC5-B7FF-89465EBA5B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5F9-4BC5-B7FF-89465EBA5B2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'[3]4'!$B$240:$B$244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15F9-4BC5-B7FF-89465EBA5B2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'[3]4'!$T$240:$AX$240</c:f>
              <c:numCache>
                <c:formatCode>General</c:formatCode>
                <c:ptCount val="31"/>
              </c:numCache>
            </c:numRef>
          </c:cat>
          <c:val>
            <c:numRef>
              <c:f>'[3]4'!$U$241:$AX$241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583-4263-8F1E-374F702E6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7B4-4ED4-81C7-DF24D7062F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7B4-4ED4-81C7-DF24D7062F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7B4-4ED4-81C7-DF24D7062F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7B4-4ED4-81C7-DF24D7062F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7B4-4ED4-81C7-DF24D7062F7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'[3]4'!$B$240:$B$244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F7B4-4ED4-81C7-DF24D7062F7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'[3]4'!$T$240:$AX$240</c:f>
              <c:numCache>
                <c:formatCode>General</c:formatCode>
                <c:ptCount val="31"/>
              </c:numCache>
            </c:numRef>
          </c:cat>
          <c:val>
            <c:numRef>
              <c:f>'[3]4'!$U$241:$AX$241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F66-417F-AE8A-53C92A574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ABA-42B2-A70A-B60ABE82A6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ABA-42B2-A70A-B60ABE82A6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ABA-42B2-A70A-B60ABE82A6E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ABA-42B2-A70A-B60ABE82A6E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ABA-42B2-A70A-B60ABE82A6E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'[3]4'!$B$240:$B$244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ABA-42B2-A70A-B60ABE82A6E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'[3]4'!$T$240:$AX$240</c:f>
              <c:numCache>
                <c:formatCode>General</c:formatCode>
                <c:ptCount val="31"/>
              </c:numCache>
            </c:numRef>
          </c:cat>
          <c:val>
            <c:numRef>
              <c:f>'[3]4'!$U$241:$AX$241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9D-48A6-8D0C-FFFFC003B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796-4909-B210-F4293B8E7D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796-4909-B210-F4293B8E7D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796-4909-B210-F4293B8E7D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796-4909-B210-F4293B8E7DC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796-4909-B210-F4293B8E7DC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'[3]4'!$B$240:$B$244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D796-4909-B210-F4293B8E7DC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'[3]4'!$T$240:$AX$240</c:f>
              <c:numCache>
                <c:formatCode>General</c:formatCode>
                <c:ptCount val="31"/>
              </c:numCache>
            </c:numRef>
          </c:cat>
          <c:val>
            <c:numRef>
              <c:f>'[3]4'!$U$241:$AX$241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1E-4134-A5FA-D8D2DC81C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Sample!$A$236:$A$240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Sample!$B$236:$B$240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Sample!$S$238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Sample!$T$236:$AX$236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Sample!$U$237:$AX$237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9715328"/>
        <c:axId val="249742080"/>
      </c:lineChart>
      <c:catAx>
        <c:axId val="2497153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742080"/>
        <c:crosses val="autoZero"/>
        <c:auto val="1"/>
        <c:lblAlgn val="ctr"/>
        <c:lblOffset val="100"/>
        <c:noMultiLvlLbl val="0"/>
      </c:catAx>
      <c:valAx>
        <c:axId val="2497420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7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8.xml"/><Relationship Id="rId1" Type="http://schemas.openxmlformats.org/officeDocument/2006/relationships/chart" Target="../charts/chart67.xm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0.xml"/><Relationship Id="rId1" Type="http://schemas.openxmlformats.org/officeDocument/2006/relationships/chart" Target="../charts/chart6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266705</xdr:colOff>
      <xdr:row>246</xdr:row>
      <xdr:rowOff>57156</xdr:rowOff>
    </xdr:from>
    <xdr:to>
      <xdr:col>16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B29C7C-F452-444C-BD09-36F955D71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238124</xdr:colOff>
      <xdr:row>249</xdr:row>
      <xdr:rowOff>133356</xdr:rowOff>
    </xdr:from>
    <xdr:to>
      <xdr:col>33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1CF266-D710-4E05-83E1-B309337BA5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266705</xdr:colOff>
      <xdr:row>246</xdr:row>
      <xdr:rowOff>57156</xdr:rowOff>
    </xdr:from>
    <xdr:to>
      <xdr:col>16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C19CEE-395E-46D4-ACE1-9BE47DCE32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238124</xdr:colOff>
      <xdr:row>249</xdr:row>
      <xdr:rowOff>133356</xdr:rowOff>
    </xdr:from>
    <xdr:to>
      <xdr:col>33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A97533-9471-4E91-BD8E-6B061ED85C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266705</xdr:colOff>
      <xdr:row>246</xdr:row>
      <xdr:rowOff>57156</xdr:rowOff>
    </xdr:from>
    <xdr:to>
      <xdr:col>16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472F3B-816A-413E-B597-ACCD839D0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238124</xdr:colOff>
      <xdr:row>249</xdr:row>
      <xdr:rowOff>133356</xdr:rowOff>
    </xdr:from>
    <xdr:to>
      <xdr:col>33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609C18-04AD-4BBC-A64C-8E98E71C8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266705</xdr:colOff>
      <xdr:row>246</xdr:row>
      <xdr:rowOff>57156</xdr:rowOff>
    </xdr:from>
    <xdr:to>
      <xdr:col>16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A686D1-7344-471A-ADF7-4F282DDD36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238124</xdr:colOff>
      <xdr:row>249</xdr:row>
      <xdr:rowOff>133356</xdr:rowOff>
    </xdr:from>
    <xdr:to>
      <xdr:col>33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B04792-A3DE-4AB7-B085-A62AA1E79D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Roaming\Microsoft\AddIns\SkyDateConverter.xla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Local\Microsoft\Windows\INetCache\Content.MSO\Daily-Logsheet-2079-04%20Shrawa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\0%20Data_Collection%2075\Daily_Log_Sheets\Log%20Sheet%202079\Daily-Logsheet-2079-09-Poush.xlsx" TargetMode="External"/><Relationship Id="rId1" Type="http://schemas.openxmlformats.org/officeDocument/2006/relationships/externalLinkPath" Target="Daily-Logsheet-2079-09-Poush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\0%20Data_Collection%2075\Daily_Log_Sheets\Log%20Sheet%202080\Daily-Logsheet%202080%20Mangsir.xlsx" TargetMode="External"/><Relationship Id="rId1" Type="http://schemas.openxmlformats.org/officeDocument/2006/relationships/externalLinkPath" Target="/DATA/0%20Data_Collection%2075/Daily_Log_Sheets/Log%20Sheet%202080/Daily-Logsheet%202080%20Mangs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Sheet1"/>
      <sheetName val="Sheet2"/>
      <sheetName val="Sheet3"/>
      <sheetName val="SkyDateConverter"/>
    </sheetNames>
    <definedNames>
      <definedName name="DateBStoAD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ample_new"/>
      <sheetName val="Sheet7"/>
      <sheetName val="Sheet8"/>
      <sheetName val="Sheet9"/>
      <sheetName val="Sheet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>
        <row r="233">
          <cell r="A233" t="str">
            <v>IPP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magh1"/>
      <sheetName val="sample"/>
      <sheetName val="Feedback"/>
    </sheetNames>
    <sheetDataSet>
      <sheetData sheetId="0"/>
      <sheetData sheetId="1"/>
      <sheetData sheetId="2"/>
      <sheetData sheetId="3">
        <row r="240">
          <cell r="A240" t="str">
            <v>IPP</v>
          </cell>
          <cell r="B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</row>
        <row r="241">
          <cell r="A241" t="str">
            <v>NEA(RoR+PRoR)</v>
          </cell>
          <cell r="B241"/>
          <cell r="U241">
            <v>4.1666666666666664E-2</v>
          </cell>
          <cell r="V241">
            <v>8.3333333333333301E-2</v>
          </cell>
          <cell r="W241">
            <v>0.125</v>
          </cell>
          <cell r="X241">
            <v>0.16666666666666699</v>
          </cell>
          <cell r="Y241">
            <v>0.20833333333333301</v>
          </cell>
          <cell r="Z241">
            <v>0.22916666666666666</v>
          </cell>
          <cell r="AA241">
            <v>0.25</v>
          </cell>
          <cell r="AB241">
            <v>0.27083333333333331</v>
          </cell>
          <cell r="AC241">
            <v>0.29166666666666669</v>
          </cell>
          <cell r="AD241">
            <v>0.3125</v>
          </cell>
          <cell r="AE241">
            <v>0.33333333333333331</v>
          </cell>
          <cell r="AF241">
            <v>0.375</v>
          </cell>
          <cell r="AG241">
            <v>0.41666666666666702</v>
          </cell>
          <cell r="AH241">
            <v>0.45833333333333298</v>
          </cell>
          <cell r="AI241">
            <v>0.5</v>
          </cell>
          <cell r="AJ241">
            <v>0.54166666666666696</v>
          </cell>
          <cell r="AK241">
            <v>0.58333333333333304</v>
          </cell>
          <cell r="AL241">
            <v>0.625</v>
          </cell>
          <cell r="AM241">
            <v>0.66666666666666696</v>
          </cell>
          <cell r="AN241">
            <v>0.70833333333333304</v>
          </cell>
          <cell r="AO241">
            <v>0.72916666666666663</v>
          </cell>
          <cell r="AP241">
            <v>0.75</v>
          </cell>
          <cell r="AQ241">
            <v>0.77083333333333337</v>
          </cell>
          <cell r="AR241">
            <v>0.79166666666666663</v>
          </cell>
          <cell r="AS241">
            <v>0.8125</v>
          </cell>
          <cell r="AT241">
            <v>0.83333333333333337</v>
          </cell>
          <cell r="AU241">
            <v>0.85416666666666663</v>
          </cell>
          <cell r="AV241">
            <v>0.875</v>
          </cell>
          <cell r="AW241">
            <v>0.91666666666666696</v>
          </cell>
          <cell r="AX241">
            <v>0.95833333333333304</v>
          </cell>
        </row>
        <row r="242">
          <cell r="A242" t="str">
            <v>KL1+KL2+KL3</v>
          </cell>
          <cell r="B242"/>
          <cell r="S242" t="str">
            <v>T_Load</v>
          </cell>
        </row>
        <row r="243">
          <cell r="A243" t="str">
            <v>Import</v>
          </cell>
          <cell r="B243"/>
        </row>
        <row r="244">
          <cell r="A244" t="str">
            <v>Export</v>
          </cell>
          <cell r="B244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3"/>
      <sheetName val="24"/>
      <sheetName val="25"/>
      <sheetName val="26"/>
      <sheetName val="27"/>
      <sheetName val="28"/>
      <sheetName val="29"/>
      <sheetName val="30"/>
      <sheetName val="1"/>
      <sheetName val="2"/>
      <sheetName val="SP30"/>
      <sheetName val="SP29"/>
      <sheetName val="SP28"/>
      <sheetName val="SP27"/>
      <sheetName val="sample"/>
      <sheetName val="SPILL Calculation 14"/>
      <sheetName val="SPILL Calculation 25"/>
      <sheetName val="SPILL Calculation 13"/>
      <sheetName val="SPILL Calculation 12"/>
      <sheetName val="SPILL Calculation 11"/>
      <sheetName val="SPILL Calculation 10"/>
      <sheetName val="SPILL Calculation 9"/>
      <sheetName val="SPILL Calculation 8"/>
      <sheetName val="SPILL Calculation 7"/>
      <sheetName val="SPILL Calculation 6"/>
      <sheetName val="SPILL Calculation 5"/>
      <sheetName val="SPILL Calculation 4 "/>
      <sheetName val="SPILL Calculation 4  (2)"/>
      <sheetName val="Praveen"/>
      <sheetName val="Summary"/>
      <sheetName val="Sheet1"/>
      <sheetName val="Sheet2"/>
      <sheetName val="Spill calculation"/>
    </sheetNames>
    <sheetDataSet>
      <sheetData sheetId="0"/>
      <sheetData sheetId="1"/>
      <sheetData sheetId="2"/>
      <sheetData sheetId="3"/>
      <sheetData sheetId="4"/>
      <sheetData sheetId="5"/>
      <sheetData sheetId="6">
        <row r="11">
          <cell r="B11">
            <v>63.1</v>
          </cell>
          <cell r="C11">
            <v>63.1</v>
          </cell>
          <cell r="D11">
            <v>63.1</v>
          </cell>
          <cell r="E11">
            <v>60.8</v>
          </cell>
          <cell r="F11">
            <v>63.1</v>
          </cell>
          <cell r="G11">
            <v>63.1</v>
          </cell>
          <cell r="H11">
            <v>63.1</v>
          </cell>
          <cell r="I11">
            <v>63.1</v>
          </cell>
          <cell r="J11">
            <v>63.1</v>
          </cell>
          <cell r="K11">
            <v>63.1</v>
          </cell>
          <cell r="L11">
            <v>63.1</v>
          </cell>
          <cell r="M11">
            <v>63.1</v>
          </cell>
          <cell r="N11">
            <v>56.5</v>
          </cell>
          <cell r="O11">
            <v>60.8</v>
          </cell>
          <cell r="P11">
            <v>59</v>
          </cell>
          <cell r="Q11">
            <v>59</v>
          </cell>
          <cell r="R11">
            <v>59</v>
          </cell>
          <cell r="S11">
            <v>59</v>
          </cell>
          <cell r="T11">
            <v>58.3</v>
          </cell>
          <cell r="U11">
            <v>60.8</v>
          </cell>
          <cell r="V11">
            <v>60.8</v>
          </cell>
          <cell r="W11">
            <v>60.8</v>
          </cell>
          <cell r="X11">
            <v>60</v>
          </cell>
          <cell r="Y11">
            <v>60</v>
          </cell>
          <cell r="Z11">
            <v>60</v>
          </cell>
          <cell r="AA11">
            <v>60</v>
          </cell>
          <cell r="AB11">
            <v>60.8</v>
          </cell>
          <cell r="AC11">
            <v>62.4</v>
          </cell>
          <cell r="AD11">
            <v>62.4</v>
          </cell>
          <cell r="AE11">
            <v>62.4</v>
          </cell>
          <cell r="AF11">
            <v>62.4</v>
          </cell>
        </row>
        <row r="12">
          <cell r="B12">
            <v>13</v>
          </cell>
          <cell r="C12">
            <v>8.5</v>
          </cell>
          <cell r="D12">
            <v>8.5</v>
          </cell>
          <cell r="E12">
            <v>0</v>
          </cell>
          <cell r="F12">
            <v>0</v>
          </cell>
          <cell r="G12">
            <v>9</v>
          </cell>
          <cell r="H12">
            <v>13</v>
          </cell>
          <cell r="I12">
            <v>13</v>
          </cell>
          <cell r="J12">
            <v>13</v>
          </cell>
          <cell r="K12">
            <v>13</v>
          </cell>
          <cell r="L12">
            <v>13</v>
          </cell>
          <cell r="M12">
            <v>13</v>
          </cell>
          <cell r="N12">
            <v>13</v>
          </cell>
          <cell r="O12">
            <v>13</v>
          </cell>
          <cell r="P12">
            <v>13</v>
          </cell>
          <cell r="Q12">
            <v>8</v>
          </cell>
          <cell r="R12">
            <v>8</v>
          </cell>
          <cell r="S12">
            <v>8</v>
          </cell>
          <cell r="T12">
            <v>8</v>
          </cell>
          <cell r="U12">
            <v>8</v>
          </cell>
          <cell r="V12">
            <v>8</v>
          </cell>
          <cell r="W12">
            <v>8</v>
          </cell>
          <cell r="X12">
            <v>13</v>
          </cell>
          <cell r="Y12">
            <v>13</v>
          </cell>
          <cell r="Z12">
            <v>13</v>
          </cell>
          <cell r="AA12">
            <v>13</v>
          </cell>
          <cell r="AB12">
            <v>13</v>
          </cell>
          <cell r="AC12">
            <v>13</v>
          </cell>
          <cell r="AD12">
            <v>13</v>
          </cell>
          <cell r="AE12">
            <v>13</v>
          </cell>
          <cell r="AF12">
            <v>8</v>
          </cell>
        </row>
        <row r="13">
          <cell r="B13">
            <v>33.9</v>
          </cell>
          <cell r="C13">
            <v>33.9</v>
          </cell>
          <cell r="D13">
            <v>33.9</v>
          </cell>
          <cell r="E13">
            <v>33.4</v>
          </cell>
          <cell r="F13">
            <v>33.799999999999997</v>
          </cell>
          <cell r="G13">
            <v>33.799999999999997</v>
          </cell>
          <cell r="H13">
            <v>33.799999999999997</v>
          </cell>
          <cell r="I13">
            <v>33.799999999999997</v>
          </cell>
          <cell r="J13">
            <v>33.799999999999997</v>
          </cell>
          <cell r="K13">
            <v>33.799999999999997</v>
          </cell>
          <cell r="L13">
            <v>32.799999999999997</v>
          </cell>
          <cell r="M13">
            <v>32.799999999999997</v>
          </cell>
          <cell r="N13">
            <v>32.799999999999997</v>
          </cell>
          <cell r="O13">
            <v>32.799999999999997</v>
          </cell>
          <cell r="P13">
            <v>32.6</v>
          </cell>
          <cell r="Q13">
            <v>32.6</v>
          </cell>
          <cell r="R13">
            <v>32.6</v>
          </cell>
          <cell r="S13">
            <v>32.6</v>
          </cell>
          <cell r="T13">
            <v>31.2</v>
          </cell>
          <cell r="U13">
            <v>31.2</v>
          </cell>
          <cell r="V13">
            <v>31.2</v>
          </cell>
          <cell r="W13">
            <v>31.2</v>
          </cell>
          <cell r="X13">
            <v>32</v>
          </cell>
          <cell r="Y13">
            <v>32</v>
          </cell>
          <cell r="Z13">
            <v>32</v>
          </cell>
          <cell r="AA13">
            <v>32</v>
          </cell>
          <cell r="AB13">
            <v>32</v>
          </cell>
          <cell r="AC13">
            <v>31.5</v>
          </cell>
          <cell r="AD13">
            <v>31.5</v>
          </cell>
          <cell r="AE13">
            <v>31.5</v>
          </cell>
          <cell r="AF13">
            <v>31.5</v>
          </cell>
        </row>
        <row r="14">
          <cell r="B14">
            <v>50.7</v>
          </cell>
          <cell r="C14">
            <v>50.7</v>
          </cell>
          <cell r="D14">
            <v>50.7</v>
          </cell>
          <cell r="E14">
            <v>50.5</v>
          </cell>
          <cell r="F14">
            <v>50.5</v>
          </cell>
          <cell r="G14">
            <v>50.5</v>
          </cell>
          <cell r="H14">
            <v>50.5</v>
          </cell>
          <cell r="I14">
            <v>50.5</v>
          </cell>
          <cell r="J14">
            <v>50.5</v>
          </cell>
          <cell r="K14">
            <v>50.5</v>
          </cell>
          <cell r="L14">
            <v>50.5</v>
          </cell>
          <cell r="M14">
            <v>50.5</v>
          </cell>
          <cell r="N14">
            <v>50.5</v>
          </cell>
          <cell r="O14">
            <v>50.5</v>
          </cell>
          <cell r="P14">
            <v>50.5</v>
          </cell>
          <cell r="Q14">
            <v>50.5</v>
          </cell>
          <cell r="R14">
            <v>50.5</v>
          </cell>
          <cell r="S14">
            <v>50.5</v>
          </cell>
          <cell r="T14">
            <v>50.2</v>
          </cell>
          <cell r="U14">
            <v>50.1</v>
          </cell>
          <cell r="V14">
            <v>50.4</v>
          </cell>
          <cell r="W14">
            <v>50.4</v>
          </cell>
          <cell r="X14">
            <v>50.4</v>
          </cell>
          <cell r="Y14">
            <v>50.4</v>
          </cell>
          <cell r="Z14">
            <v>50.4</v>
          </cell>
          <cell r="AA14">
            <v>50.4</v>
          </cell>
          <cell r="AB14">
            <v>50.4</v>
          </cell>
          <cell r="AC14">
            <v>50.4</v>
          </cell>
          <cell r="AD14">
            <v>50.4</v>
          </cell>
          <cell r="AE14">
            <v>50.4</v>
          </cell>
          <cell r="AF14">
            <v>50.4</v>
          </cell>
        </row>
        <row r="15">
          <cell r="B15">
            <v>33.6</v>
          </cell>
          <cell r="C15">
            <v>33.6</v>
          </cell>
          <cell r="D15">
            <v>33.6</v>
          </cell>
          <cell r="E15">
            <v>32.1</v>
          </cell>
          <cell r="F15">
            <v>33.200000000000003</v>
          </cell>
          <cell r="G15">
            <v>33.200000000000003</v>
          </cell>
          <cell r="H15">
            <v>33.200000000000003</v>
          </cell>
          <cell r="I15">
            <v>33.200000000000003</v>
          </cell>
          <cell r="J15">
            <v>33.200000000000003</v>
          </cell>
          <cell r="K15">
            <v>33.200000000000003</v>
          </cell>
          <cell r="L15">
            <v>33.200000000000003</v>
          </cell>
          <cell r="M15">
            <v>33.200000000000003</v>
          </cell>
          <cell r="N15">
            <v>30.8</v>
          </cell>
          <cell r="O15">
            <v>30.8</v>
          </cell>
          <cell r="P15">
            <v>30.6</v>
          </cell>
          <cell r="Q15">
            <v>30.6</v>
          </cell>
          <cell r="R15">
            <v>30.6</v>
          </cell>
          <cell r="S15">
            <v>30.6</v>
          </cell>
          <cell r="T15">
            <v>32.299999999999997</v>
          </cell>
          <cell r="U15">
            <v>31.2</v>
          </cell>
          <cell r="V15">
            <v>32.6</v>
          </cell>
          <cell r="W15">
            <v>32.6</v>
          </cell>
          <cell r="X15">
            <v>32.700000000000003</v>
          </cell>
          <cell r="Y15">
            <v>32.700000000000003</v>
          </cell>
          <cell r="Z15">
            <v>32.700000000000003</v>
          </cell>
          <cell r="AA15">
            <v>32.700000000000003</v>
          </cell>
          <cell r="AB15">
            <v>32.700000000000003</v>
          </cell>
          <cell r="AC15">
            <v>31.9</v>
          </cell>
          <cell r="AD15">
            <v>31.9</v>
          </cell>
          <cell r="AE15">
            <v>31.9</v>
          </cell>
          <cell r="AF15">
            <v>31.9</v>
          </cell>
        </row>
        <row r="16">
          <cell r="B16">
            <v>31</v>
          </cell>
          <cell r="C16">
            <v>31</v>
          </cell>
          <cell r="D16">
            <v>31</v>
          </cell>
          <cell r="E16">
            <v>31</v>
          </cell>
          <cell r="F16">
            <v>31</v>
          </cell>
          <cell r="G16">
            <v>31</v>
          </cell>
          <cell r="H16">
            <v>31</v>
          </cell>
          <cell r="I16">
            <v>31</v>
          </cell>
          <cell r="J16">
            <v>31</v>
          </cell>
          <cell r="K16">
            <v>31</v>
          </cell>
          <cell r="L16">
            <v>31</v>
          </cell>
          <cell r="M16">
            <v>31</v>
          </cell>
          <cell r="N16">
            <v>31</v>
          </cell>
          <cell r="O16">
            <v>31</v>
          </cell>
          <cell r="P16">
            <v>25</v>
          </cell>
          <cell r="Q16">
            <v>25</v>
          </cell>
          <cell r="R16">
            <v>25</v>
          </cell>
          <cell r="S16">
            <v>25</v>
          </cell>
          <cell r="T16">
            <v>25</v>
          </cell>
          <cell r="U16">
            <v>25</v>
          </cell>
          <cell r="V16">
            <v>32</v>
          </cell>
          <cell r="W16">
            <v>32</v>
          </cell>
          <cell r="X16">
            <v>32</v>
          </cell>
          <cell r="Y16">
            <v>32</v>
          </cell>
          <cell r="Z16">
            <v>32</v>
          </cell>
          <cell r="AA16">
            <v>32</v>
          </cell>
          <cell r="AB16">
            <v>32</v>
          </cell>
          <cell r="AC16">
            <v>32</v>
          </cell>
          <cell r="AD16">
            <v>32</v>
          </cell>
          <cell r="AE16">
            <v>32</v>
          </cell>
          <cell r="AF16">
            <v>32</v>
          </cell>
        </row>
        <row r="17">
          <cell r="B17">
            <v>22</v>
          </cell>
          <cell r="C17">
            <v>22</v>
          </cell>
          <cell r="D17">
            <v>22</v>
          </cell>
          <cell r="E17">
            <v>22</v>
          </cell>
          <cell r="F17">
            <v>22</v>
          </cell>
          <cell r="G17">
            <v>22</v>
          </cell>
          <cell r="H17">
            <v>22</v>
          </cell>
          <cell r="I17">
            <v>22</v>
          </cell>
          <cell r="J17">
            <v>22</v>
          </cell>
          <cell r="K17">
            <v>22</v>
          </cell>
          <cell r="L17">
            <v>22</v>
          </cell>
          <cell r="M17">
            <v>22</v>
          </cell>
          <cell r="N17">
            <v>20.5</v>
          </cell>
          <cell r="O17">
            <v>20.5</v>
          </cell>
          <cell r="P17">
            <v>16</v>
          </cell>
          <cell r="Q17">
            <v>16</v>
          </cell>
          <cell r="R17">
            <v>17</v>
          </cell>
          <cell r="S17">
            <v>17</v>
          </cell>
          <cell r="T17">
            <v>17</v>
          </cell>
          <cell r="U17">
            <v>17</v>
          </cell>
          <cell r="V17">
            <v>17.5</v>
          </cell>
          <cell r="W17">
            <v>17.5</v>
          </cell>
          <cell r="X17">
            <v>24</v>
          </cell>
          <cell r="Y17">
            <v>24</v>
          </cell>
          <cell r="Z17">
            <v>24</v>
          </cell>
          <cell r="AA17">
            <v>24</v>
          </cell>
          <cell r="AB17">
            <v>24</v>
          </cell>
          <cell r="AC17">
            <v>22</v>
          </cell>
          <cell r="AD17">
            <v>22</v>
          </cell>
          <cell r="AE17">
            <v>22</v>
          </cell>
          <cell r="AF17">
            <v>22</v>
          </cell>
        </row>
        <row r="18">
          <cell r="B18">
            <v>20.5</v>
          </cell>
          <cell r="C18">
            <v>20.5</v>
          </cell>
          <cell r="D18">
            <v>20.5</v>
          </cell>
          <cell r="E18">
            <v>20.5</v>
          </cell>
          <cell r="F18">
            <v>20.5</v>
          </cell>
          <cell r="G18">
            <v>20.5</v>
          </cell>
          <cell r="H18">
            <v>20.5</v>
          </cell>
          <cell r="I18">
            <v>20.5</v>
          </cell>
          <cell r="J18">
            <v>20.5</v>
          </cell>
          <cell r="K18">
            <v>20.5</v>
          </cell>
          <cell r="L18">
            <v>20.5</v>
          </cell>
          <cell r="M18">
            <v>20.5</v>
          </cell>
          <cell r="N18">
            <v>20.5</v>
          </cell>
          <cell r="O18">
            <v>20.5</v>
          </cell>
          <cell r="P18">
            <v>20.5</v>
          </cell>
          <cell r="Q18">
            <v>16</v>
          </cell>
          <cell r="R18">
            <v>16</v>
          </cell>
          <cell r="S18">
            <v>16</v>
          </cell>
          <cell r="T18">
            <v>16</v>
          </cell>
          <cell r="U18">
            <v>16</v>
          </cell>
          <cell r="V18">
            <v>16</v>
          </cell>
          <cell r="W18">
            <v>16</v>
          </cell>
          <cell r="X18">
            <v>20</v>
          </cell>
          <cell r="Y18">
            <v>20</v>
          </cell>
          <cell r="Z18">
            <v>20</v>
          </cell>
          <cell r="AA18">
            <v>20</v>
          </cell>
          <cell r="AB18">
            <v>20</v>
          </cell>
          <cell r="AC18">
            <v>20</v>
          </cell>
          <cell r="AD18">
            <v>20</v>
          </cell>
          <cell r="AE18">
            <v>20</v>
          </cell>
          <cell r="AF18">
            <v>20</v>
          </cell>
        </row>
        <row r="19">
          <cell r="B19">
            <v>22</v>
          </cell>
          <cell r="C19">
            <v>22</v>
          </cell>
          <cell r="D19">
            <v>22</v>
          </cell>
          <cell r="E19">
            <v>22</v>
          </cell>
          <cell r="F19">
            <v>22</v>
          </cell>
          <cell r="G19">
            <v>22</v>
          </cell>
          <cell r="H19">
            <v>22</v>
          </cell>
          <cell r="I19">
            <v>22</v>
          </cell>
          <cell r="J19">
            <v>22</v>
          </cell>
          <cell r="K19">
            <v>22</v>
          </cell>
          <cell r="L19">
            <v>22</v>
          </cell>
          <cell r="M19">
            <v>22</v>
          </cell>
          <cell r="N19">
            <v>22</v>
          </cell>
          <cell r="O19">
            <v>22</v>
          </cell>
          <cell r="P19">
            <v>22</v>
          </cell>
          <cell r="Q19">
            <v>22</v>
          </cell>
          <cell r="R19">
            <v>22</v>
          </cell>
          <cell r="S19">
            <v>22</v>
          </cell>
          <cell r="T19">
            <v>22</v>
          </cell>
          <cell r="U19">
            <v>22</v>
          </cell>
          <cell r="V19">
            <v>22</v>
          </cell>
          <cell r="W19">
            <v>22</v>
          </cell>
          <cell r="X19">
            <v>22</v>
          </cell>
          <cell r="Y19">
            <v>22</v>
          </cell>
          <cell r="Z19">
            <v>22</v>
          </cell>
          <cell r="AA19">
            <v>22</v>
          </cell>
          <cell r="AB19">
            <v>22</v>
          </cell>
          <cell r="AC19">
            <v>22</v>
          </cell>
          <cell r="AD19">
            <v>22</v>
          </cell>
          <cell r="AE19">
            <v>22</v>
          </cell>
          <cell r="AF19">
            <v>22</v>
          </cell>
        </row>
        <row r="20">
          <cell r="B20">
            <v>10.5</v>
          </cell>
          <cell r="C20">
            <v>5</v>
          </cell>
          <cell r="D20">
            <v>5</v>
          </cell>
          <cell r="E20">
            <v>0</v>
          </cell>
          <cell r="F20">
            <v>0</v>
          </cell>
          <cell r="G20">
            <v>5.0999999999999996</v>
          </cell>
          <cell r="H20">
            <v>15</v>
          </cell>
          <cell r="I20">
            <v>23.7</v>
          </cell>
          <cell r="J20">
            <v>24.1</v>
          </cell>
          <cell r="K20">
            <v>24.1</v>
          </cell>
          <cell r="L20">
            <v>24</v>
          </cell>
          <cell r="M20">
            <v>24</v>
          </cell>
          <cell r="N20">
            <v>20.2</v>
          </cell>
          <cell r="O20">
            <v>20.2</v>
          </cell>
          <cell r="P20">
            <v>15.6</v>
          </cell>
          <cell r="Q20">
            <v>6.7</v>
          </cell>
          <cell r="R20">
            <v>6.7</v>
          </cell>
          <cell r="S20">
            <v>6.7</v>
          </cell>
          <cell r="T20">
            <v>6.7</v>
          </cell>
          <cell r="U20">
            <v>6.7</v>
          </cell>
          <cell r="V20">
            <v>6.7</v>
          </cell>
          <cell r="W20">
            <v>6.7</v>
          </cell>
          <cell r="X20">
            <v>15.1</v>
          </cell>
          <cell r="Y20">
            <v>15.1</v>
          </cell>
          <cell r="Z20">
            <v>15.1</v>
          </cell>
          <cell r="AA20">
            <v>15.1</v>
          </cell>
          <cell r="AB20">
            <v>15.1</v>
          </cell>
          <cell r="AC20">
            <v>18.100000000000001</v>
          </cell>
          <cell r="AD20">
            <v>10</v>
          </cell>
          <cell r="AE20">
            <v>10</v>
          </cell>
          <cell r="AF20">
            <v>5</v>
          </cell>
        </row>
        <row r="21">
          <cell r="B21">
            <v>18.8</v>
          </cell>
          <cell r="C21">
            <v>18.8</v>
          </cell>
          <cell r="D21">
            <v>18.8</v>
          </cell>
          <cell r="E21">
            <v>18.8</v>
          </cell>
          <cell r="F21">
            <v>18.8</v>
          </cell>
          <cell r="G21">
            <v>18.8</v>
          </cell>
          <cell r="H21">
            <v>18.8</v>
          </cell>
          <cell r="I21">
            <v>18.8</v>
          </cell>
          <cell r="J21">
            <v>18.8</v>
          </cell>
          <cell r="K21">
            <v>18.8</v>
          </cell>
          <cell r="L21">
            <v>18.8</v>
          </cell>
          <cell r="M21">
            <v>18.8</v>
          </cell>
          <cell r="N21">
            <v>17.5</v>
          </cell>
          <cell r="O21">
            <v>17.5</v>
          </cell>
          <cell r="P21">
            <v>17</v>
          </cell>
          <cell r="Q21">
            <v>17</v>
          </cell>
          <cell r="R21">
            <v>17</v>
          </cell>
          <cell r="S21">
            <v>17</v>
          </cell>
          <cell r="T21">
            <v>17</v>
          </cell>
          <cell r="U21">
            <v>17</v>
          </cell>
          <cell r="V21">
            <v>17</v>
          </cell>
          <cell r="W21">
            <v>17</v>
          </cell>
          <cell r="X21">
            <v>18.8</v>
          </cell>
          <cell r="Y21">
            <v>18.8</v>
          </cell>
          <cell r="Z21">
            <v>18.8</v>
          </cell>
          <cell r="AA21">
            <v>18.8</v>
          </cell>
          <cell r="AB21">
            <v>18.8</v>
          </cell>
          <cell r="AC21">
            <v>17.8</v>
          </cell>
          <cell r="AD21">
            <v>17.8</v>
          </cell>
          <cell r="AE21">
            <v>17.8</v>
          </cell>
          <cell r="AF21">
            <v>17.8</v>
          </cell>
        </row>
        <row r="22">
          <cell r="B22">
            <v>20</v>
          </cell>
          <cell r="C22">
            <v>20</v>
          </cell>
          <cell r="D22">
            <v>20</v>
          </cell>
          <cell r="E22">
            <v>20</v>
          </cell>
          <cell r="F22">
            <v>20</v>
          </cell>
          <cell r="G22">
            <v>20</v>
          </cell>
          <cell r="H22">
            <v>20</v>
          </cell>
          <cell r="I22">
            <v>20</v>
          </cell>
          <cell r="J22">
            <v>20</v>
          </cell>
          <cell r="K22">
            <v>20</v>
          </cell>
          <cell r="L22">
            <v>20</v>
          </cell>
          <cell r="M22">
            <v>20</v>
          </cell>
          <cell r="N22">
            <v>20</v>
          </cell>
          <cell r="O22">
            <v>20</v>
          </cell>
          <cell r="P22">
            <v>20</v>
          </cell>
          <cell r="Q22">
            <v>20</v>
          </cell>
          <cell r="R22">
            <v>20</v>
          </cell>
          <cell r="S22">
            <v>20</v>
          </cell>
          <cell r="T22">
            <v>20</v>
          </cell>
          <cell r="U22">
            <v>20</v>
          </cell>
          <cell r="V22">
            <v>20</v>
          </cell>
          <cell r="W22">
            <v>20</v>
          </cell>
          <cell r="X22">
            <v>20</v>
          </cell>
          <cell r="Y22">
            <v>20</v>
          </cell>
          <cell r="Z22">
            <v>20</v>
          </cell>
          <cell r="AA22">
            <v>20</v>
          </cell>
          <cell r="AB22">
            <v>20</v>
          </cell>
          <cell r="AC22">
            <v>20</v>
          </cell>
          <cell r="AD22">
            <v>20</v>
          </cell>
          <cell r="AE22">
            <v>20</v>
          </cell>
          <cell r="AF22">
            <v>20</v>
          </cell>
        </row>
        <row r="23">
          <cell r="B23">
            <v>9</v>
          </cell>
          <cell r="C23">
            <v>4.5</v>
          </cell>
          <cell r="D23">
            <v>4.5</v>
          </cell>
          <cell r="E23">
            <v>0</v>
          </cell>
          <cell r="F23">
            <v>0</v>
          </cell>
          <cell r="G23">
            <v>3.8</v>
          </cell>
          <cell r="H23">
            <v>13.5</v>
          </cell>
          <cell r="I23">
            <v>18</v>
          </cell>
          <cell r="J23">
            <v>27</v>
          </cell>
          <cell r="K23">
            <v>27</v>
          </cell>
          <cell r="L23">
            <v>27</v>
          </cell>
          <cell r="M23">
            <v>27</v>
          </cell>
          <cell r="N23">
            <v>17.8</v>
          </cell>
          <cell r="O23">
            <v>17.8</v>
          </cell>
          <cell r="P23">
            <v>14.3</v>
          </cell>
          <cell r="Q23">
            <v>6.1</v>
          </cell>
          <cell r="R23">
            <v>6.1</v>
          </cell>
          <cell r="S23">
            <v>6.1</v>
          </cell>
          <cell r="T23">
            <v>6.1</v>
          </cell>
          <cell r="U23">
            <v>6.1</v>
          </cell>
          <cell r="V23">
            <v>6.1</v>
          </cell>
          <cell r="W23">
            <v>6.1</v>
          </cell>
          <cell r="X23">
            <v>13.5</v>
          </cell>
          <cell r="Y23">
            <v>13.5</v>
          </cell>
          <cell r="Z23">
            <v>13.5</v>
          </cell>
          <cell r="AA23">
            <v>13.5</v>
          </cell>
          <cell r="AB23">
            <v>16</v>
          </cell>
          <cell r="AC23">
            <v>10.9</v>
          </cell>
          <cell r="AD23">
            <v>10.9</v>
          </cell>
          <cell r="AE23">
            <v>10.9</v>
          </cell>
          <cell r="AF23">
            <v>4.5</v>
          </cell>
        </row>
        <row r="24">
          <cell r="B24">
            <v>19.100000000000001</v>
          </cell>
          <cell r="C24">
            <v>19.100000000000001</v>
          </cell>
          <cell r="D24">
            <v>19.100000000000001</v>
          </cell>
          <cell r="E24">
            <v>19.100000000000001</v>
          </cell>
          <cell r="F24">
            <v>19.100000000000001</v>
          </cell>
          <cell r="G24">
            <v>19.100000000000001</v>
          </cell>
          <cell r="H24">
            <v>19.100000000000001</v>
          </cell>
          <cell r="I24">
            <v>19.100000000000001</v>
          </cell>
          <cell r="J24">
            <v>19.100000000000001</v>
          </cell>
          <cell r="K24">
            <v>19.100000000000001</v>
          </cell>
          <cell r="L24">
            <v>19.100000000000001</v>
          </cell>
          <cell r="M24">
            <v>19.100000000000001</v>
          </cell>
          <cell r="N24">
            <v>19.100000000000001</v>
          </cell>
          <cell r="O24">
            <v>19.100000000000001</v>
          </cell>
          <cell r="P24">
            <v>16.7</v>
          </cell>
          <cell r="Q24">
            <v>16.7</v>
          </cell>
          <cell r="R24">
            <v>16.7</v>
          </cell>
          <cell r="S24">
            <v>16.7</v>
          </cell>
          <cell r="T24">
            <v>16.7</v>
          </cell>
          <cell r="U24">
            <v>16.7</v>
          </cell>
          <cell r="V24">
            <v>16.7</v>
          </cell>
          <cell r="W24">
            <v>16.7</v>
          </cell>
          <cell r="X24">
            <v>19.100000000000001</v>
          </cell>
          <cell r="Y24">
            <v>19.100000000000001</v>
          </cell>
          <cell r="Z24">
            <v>19.100000000000001</v>
          </cell>
          <cell r="AA24">
            <v>19.100000000000001</v>
          </cell>
          <cell r="AB24">
            <v>19.100000000000001</v>
          </cell>
          <cell r="AC24">
            <v>20.5</v>
          </cell>
          <cell r="AD24">
            <v>20.5</v>
          </cell>
          <cell r="AE24">
            <v>20.5</v>
          </cell>
          <cell r="AF24">
            <v>20.5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</row>
        <row r="26">
          <cell r="B26">
            <v>19</v>
          </cell>
          <cell r="C26">
            <v>19</v>
          </cell>
          <cell r="D26">
            <v>19</v>
          </cell>
          <cell r="E26">
            <v>19</v>
          </cell>
          <cell r="F26">
            <v>19</v>
          </cell>
          <cell r="G26">
            <v>19</v>
          </cell>
          <cell r="H26">
            <v>19</v>
          </cell>
          <cell r="I26">
            <v>19</v>
          </cell>
          <cell r="J26">
            <v>19</v>
          </cell>
          <cell r="K26">
            <v>19</v>
          </cell>
          <cell r="L26">
            <v>19</v>
          </cell>
          <cell r="M26">
            <v>19</v>
          </cell>
          <cell r="N26">
            <v>19</v>
          </cell>
          <cell r="O26">
            <v>19</v>
          </cell>
          <cell r="P26">
            <v>19</v>
          </cell>
          <cell r="Q26">
            <v>19</v>
          </cell>
          <cell r="R26">
            <v>19</v>
          </cell>
          <cell r="S26">
            <v>19</v>
          </cell>
          <cell r="T26">
            <v>19</v>
          </cell>
          <cell r="U26">
            <v>19</v>
          </cell>
          <cell r="V26">
            <v>19</v>
          </cell>
          <cell r="W26">
            <v>19</v>
          </cell>
          <cell r="X26">
            <v>19</v>
          </cell>
          <cell r="Y26">
            <v>19</v>
          </cell>
          <cell r="Z26">
            <v>19</v>
          </cell>
          <cell r="AA26">
            <v>19</v>
          </cell>
          <cell r="AB26">
            <v>19</v>
          </cell>
          <cell r="AC26">
            <v>19</v>
          </cell>
          <cell r="AD26">
            <v>19</v>
          </cell>
          <cell r="AE26">
            <v>19</v>
          </cell>
          <cell r="AF26">
            <v>19</v>
          </cell>
        </row>
        <row r="27">
          <cell r="B27">
            <v>4.5</v>
          </cell>
          <cell r="C27">
            <v>4.5</v>
          </cell>
          <cell r="D27">
            <v>4.5</v>
          </cell>
          <cell r="E27">
            <v>0</v>
          </cell>
          <cell r="F27">
            <v>0</v>
          </cell>
          <cell r="G27">
            <v>4.0999999999999996</v>
          </cell>
          <cell r="H27">
            <v>12.5</v>
          </cell>
          <cell r="I27">
            <v>20</v>
          </cell>
          <cell r="J27">
            <v>25</v>
          </cell>
          <cell r="K27">
            <v>25</v>
          </cell>
          <cell r="L27">
            <v>25</v>
          </cell>
          <cell r="M27">
            <v>25</v>
          </cell>
          <cell r="N27">
            <v>19</v>
          </cell>
          <cell r="O27">
            <v>19</v>
          </cell>
          <cell r="P27">
            <v>12.5</v>
          </cell>
          <cell r="Q27">
            <v>4.5</v>
          </cell>
          <cell r="R27">
            <v>4.5</v>
          </cell>
          <cell r="S27">
            <v>4.5</v>
          </cell>
          <cell r="T27">
            <v>4.5</v>
          </cell>
          <cell r="U27">
            <v>4.5</v>
          </cell>
          <cell r="V27">
            <v>4.5</v>
          </cell>
          <cell r="W27">
            <v>4.5</v>
          </cell>
          <cell r="X27">
            <v>12.5</v>
          </cell>
          <cell r="Y27">
            <v>12.5</v>
          </cell>
          <cell r="Z27">
            <v>12.5</v>
          </cell>
          <cell r="AA27">
            <v>12.5</v>
          </cell>
          <cell r="AB27">
            <v>15</v>
          </cell>
          <cell r="AC27">
            <v>8.5</v>
          </cell>
          <cell r="AD27">
            <v>8.5</v>
          </cell>
          <cell r="AE27">
            <v>8.5</v>
          </cell>
          <cell r="AF27">
            <v>4.5</v>
          </cell>
        </row>
        <row r="28">
          <cell r="B28">
            <v>18</v>
          </cell>
          <cell r="C28">
            <v>18</v>
          </cell>
          <cell r="D28">
            <v>18</v>
          </cell>
          <cell r="E28">
            <v>18</v>
          </cell>
          <cell r="F28">
            <v>18</v>
          </cell>
          <cell r="G28">
            <v>18</v>
          </cell>
          <cell r="H28">
            <v>18</v>
          </cell>
          <cell r="I28">
            <v>18</v>
          </cell>
          <cell r="J28">
            <v>18</v>
          </cell>
          <cell r="K28">
            <v>18</v>
          </cell>
          <cell r="L28">
            <v>18</v>
          </cell>
          <cell r="M28">
            <v>18</v>
          </cell>
          <cell r="N28">
            <v>15.9</v>
          </cell>
          <cell r="O28">
            <v>15.9</v>
          </cell>
          <cell r="P28">
            <v>17.8</v>
          </cell>
          <cell r="Q28">
            <v>17.8</v>
          </cell>
          <cell r="R28">
            <v>17.8</v>
          </cell>
          <cell r="S28">
            <v>17.8</v>
          </cell>
          <cell r="T28">
            <v>17.8</v>
          </cell>
          <cell r="U28">
            <v>17.8</v>
          </cell>
          <cell r="V28">
            <v>17.8</v>
          </cell>
          <cell r="W28">
            <v>17.8</v>
          </cell>
          <cell r="X28">
            <v>18</v>
          </cell>
          <cell r="Y28">
            <v>18</v>
          </cell>
          <cell r="Z28">
            <v>18</v>
          </cell>
          <cell r="AA28">
            <v>18</v>
          </cell>
          <cell r="AB28">
            <v>18</v>
          </cell>
          <cell r="AC28">
            <v>16.899999999999999</v>
          </cell>
          <cell r="AD28">
            <v>16.899999999999999</v>
          </cell>
          <cell r="AE28">
            <v>16.899999999999999</v>
          </cell>
          <cell r="AF28">
            <v>16.899999999999999</v>
          </cell>
        </row>
        <row r="29">
          <cell r="B29">
            <v>11</v>
          </cell>
          <cell r="C29">
            <v>11</v>
          </cell>
          <cell r="D29">
            <v>11</v>
          </cell>
          <cell r="E29">
            <v>11</v>
          </cell>
          <cell r="F29">
            <v>11</v>
          </cell>
          <cell r="G29">
            <v>11</v>
          </cell>
          <cell r="H29">
            <v>11</v>
          </cell>
          <cell r="I29">
            <v>11</v>
          </cell>
          <cell r="J29">
            <v>11</v>
          </cell>
          <cell r="K29">
            <v>11</v>
          </cell>
          <cell r="L29">
            <v>11</v>
          </cell>
          <cell r="M29">
            <v>11</v>
          </cell>
          <cell r="N29">
            <v>11</v>
          </cell>
          <cell r="O29">
            <v>11</v>
          </cell>
          <cell r="P29">
            <v>11</v>
          </cell>
          <cell r="Q29">
            <v>11</v>
          </cell>
          <cell r="R29">
            <v>11</v>
          </cell>
          <cell r="S29">
            <v>11</v>
          </cell>
          <cell r="T29">
            <v>11</v>
          </cell>
          <cell r="U29">
            <v>11</v>
          </cell>
          <cell r="V29">
            <v>11</v>
          </cell>
          <cell r="W29">
            <v>11</v>
          </cell>
          <cell r="X29">
            <v>11</v>
          </cell>
          <cell r="Y29">
            <v>11</v>
          </cell>
          <cell r="Z29">
            <v>11</v>
          </cell>
          <cell r="AA29">
            <v>11</v>
          </cell>
          <cell r="AB29">
            <v>11</v>
          </cell>
          <cell r="AC29">
            <v>11</v>
          </cell>
          <cell r="AD29">
            <v>11</v>
          </cell>
          <cell r="AE29">
            <v>11</v>
          </cell>
          <cell r="AF29">
            <v>11</v>
          </cell>
        </row>
        <row r="30">
          <cell r="B30">
            <v>15</v>
          </cell>
          <cell r="C30">
            <v>15</v>
          </cell>
          <cell r="D30">
            <v>15</v>
          </cell>
          <cell r="E30">
            <v>15</v>
          </cell>
          <cell r="F30">
            <v>15</v>
          </cell>
          <cell r="G30">
            <v>15</v>
          </cell>
          <cell r="H30">
            <v>15</v>
          </cell>
          <cell r="I30">
            <v>15</v>
          </cell>
          <cell r="J30">
            <v>15</v>
          </cell>
          <cell r="K30">
            <v>15</v>
          </cell>
          <cell r="L30">
            <v>15</v>
          </cell>
          <cell r="M30">
            <v>15</v>
          </cell>
          <cell r="N30">
            <v>15</v>
          </cell>
          <cell r="O30">
            <v>15</v>
          </cell>
          <cell r="P30">
            <v>15</v>
          </cell>
          <cell r="Q30">
            <v>15</v>
          </cell>
          <cell r="R30">
            <v>15</v>
          </cell>
          <cell r="S30">
            <v>15</v>
          </cell>
          <cell r="T30">
            <v>15</v>
          </cell>
          <cell r="U30">
            <v>15</v>
          </cell>
          <cell r="V30">
            <v>15</v>
          </cell>
          <cell r="W30">
            <v>15</v>
          </cell>
          <cell r="X30">
            <v>15</v>
          </cell>
          <cell r="Y30">
            <v>15</v>
          </cell>
          <cell r="Z30">
            <v>15</v>
          </cell>
          <cell r="AA30">
            <v>15</v>
          </cell>
          <cell r="AB30">
            <v>15</v>
          </cell>
          <cell r="AC30">
            <v>15</v>
          </cell>
          <cell r="AD30">
            <v>15</v>
          </cell>
          <cell r="AE30">
            <v>15</v>
          </cell>
          <cell r="AF30">
            <v>15</v>
          </cell>
        </row>
        <row r="31">
          <cell r="B31">
            <v>13</v>
          </cell>
          <cell r="C31">
            <v>13</v>
          </cell>
          <cell r="D31">
            <v>13</v>
          </cell>
          <cell r="E31">
            <v>13</v>
          </cell>
          <cell r="F31">
            <v>13</v>
          </cell>
          <cell r="G31">
            <v>13</v>
          </cell>
          <cell r="H31">
            <v>13</v>
          </cell>
          <cell r="I31">
            <v>13</v>
          </cell>
          <cell r="J31">
            <v>13</v>
          </cell>
          <cell r="K31">
            <v>13</v>
          </cell>
          <cell r="L31">
            <v>13</v>
          </cell>
          <cell r="M31">
            <v>13</v>
          </cell>
          <cell r="N31">
            <v>13</v>
          </cell>
          <cell r="O31">
            <v>13</v>
          </cell>
          <cell r="P31">
            <v>13</v>
          </cell>
          <cell r="Q31">
            <v>13</v>
          </cell>
          <cell r="R31">
            <v>13</v>
          </cell>
          <cell r="S31">
            <v>13</v>
          </cell>
          <cell r="T31">
            <v>13</v>
          </cell>
          <cell r="U31">
            <v>13</v>
          </cell>
          <cell r="V31">
            <v>13</v>
          </cell>
          <cell r="W31">
            <v>13</v>
          </cell>
          <cell r="X31">
            <v>13</v>
          </cell>
          <cell r="Y31">
            <v>13</v>
          </cell>
          <cell r="Z31">
            <v>13</v>
          </cell>
          <cell r="AA31">
            <v>13</v>
          </cell>
          <cell r="AB31">
            <v>13</v>
          </cell>
          <cell r="AC31">
            <v>13</v>
          </cell>
          <cell r="AD31">
            <v>13</v>
          </cell>
          <cell r="AE31">
            <v>13</v>
          </cell>
          <cell r="AF31">
            <v>13</v>
          </cell>
        </row>
        <row r="32">
          <cell r="B32">
            <v>14</v>
          </cell>
          <cell r="C32">
            <v>14</v>
          </cell>
          <cell r="D32">
            <v>14</v>
          </cell>
          <cell r="E32">
            <v>14</v>
          </cell>
          <cell r="F32">
            <v>14</v>
          </cell>
          <cell r="G32">
            <v>14</v>
          </cell>
          <cell r="H32">
            <v>14</v>
          </cell>
          <cell r="I32">
            <v>14</v>
          </cell>
          <cell r="J32">
            <v>14</v>
          </cell>
          <cell r="K32">
            <v>14</v>
          </cell>
          <cell r="L32">
            <v>14</v>
          </cell>
          <cell r="M32">
            <v>14</v>
          </cell>
          <cell r="N32">
            <v>14</v>
          </cell>
          <cell r="O32">
            <v>14</v>
          </cell>
          <cell r="P32">
            <v>12.5</v>
          </cell>
          <cell r="Q32">
            <v>12.5</v>
          </cell>
          <cell r="R32">
            <v>12.5</v>
          </cell>
          <cell r="S32">
            <v>12.5</v>
          </cell>
          <cell r="T32">
            <v>12.5</v>
          </cell>
          <cell r="U32">
            <v>12.5</v>
          </cell>
          <cell r="V32">
            <v>12.5</v>
          </cell>
          <cell r="W32">
            <v>12.5</v>
          </cell>
          <cell r="X32">
            <v>14</v>
          </cell>
          <cell r="Y32">
            <v>14</v>
          </cell>
          <cell r="Z32">
            <v>14</v>
          </cell>
          <cell r="AA32">
            <v>14</v>
          </cell>
          <cell r="AB32">
            <v>14</v>
          </cell>
          <cell r="AC32">
            <v>14</v>
          </cell>
          <cell r="AD32">
            <v>14</v>
          </cell>
          <cell r="AE32">
            <v>14</v>
          </cell>
          <cell r="AF32">
            <v>14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4</v>
          </cell>
          <cell r="I33">
            <v>8</v>
          </cell>
          <cell r="J33">
            <v>12</v>
          </cell>
          <cell r="K33">
            <v>12</v>
          </cell>
          <cell r="L33">
            <v>12</v>
          </cell>
          <cell r="M33">
            <v>10</v>
          </cell>
          <cell r="N33">
            <v>10</v>
          </cell>
          <cell r="O33">
            <v>10</v>
          </cell>
          <cell r="P33">
            <v>8</v>
          </cell>
          <cell r="Q33">
            <v>8</v>
          </cell>
          <cell r="R33">
            <v>8</v>
          </cell>
          <cell r="S33">
            <v>8</v>
          </cell>
          <cell r="T33">
            <v>8</v>
          </cell>
          <cell r="U33">
            <v>8</v>
          </cell>
          <cell r="V33">
            <v>8</v>
          </cell>
          <cell r="W33">
            <v>8</v>
          </cell>
          <cell r="X33">
            <v>10</v>
          </cell>
          <cell r="Y33">
            <v>10</v>
          </cell>
          <cell r="Z33">
            <v>10</v>
          </cell>
          <cell r="AA33">
            <v>10</v>
          </cell>
          <cell r="AB33">
            <v>5</v>
          </cell>
          <cell r="AC33">
            <v>5</v>
          </cell>
          <cell r="AD33">
            <v>5</v>
          </cell>
          <cell r="AE33">
            <v>0</v>
          </cell>
          <cell r="AF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3.5</v>
          </cell>
          <cell r="I34">
            <v>7</v>
          </cell>
          <cell r="J34">
            <v>10</v>
          </cell>
          <cell r="K34">
            <v>10</v>
          </cell>
          <cell r="L34">
            <v>10</v>
          </cell>
          <cell r="M34">
            <v>10</v>
          </cell>
          <cell r="N34">
            <v>10</v>
          </cell>
          <cell r="O34">
            <v>10</v>
          </cell>
          <cell r="P34">
            <v>5</v>
          </cell>
          <cell r="Q34">
            <v>5</v>
          </cell>
          <cell r="R34">
            <v>5</v>
          </cell>
          <cell r="S34">
            <v>5</v>
          </cell>
          <cell r="T34">
            <v>5</v>
          </cell>
          <cell r="U34">
            <v>5</v>
          </cell>
          <cell r="V34">
            <v>5</v>
          </cell>
          <cell r="W34">
            <v>5</v>
          </cell>
          <cell r="X34">
            <v>9</v>
          </cell>
          <cell r="Y34">
            <v>9</v>
          </cell>
          <cell r="Z34">
            <v>9</v>
          </cell>
          <cell r="AA34">
            <v>9</v>
          </cell>
          <cell r="AB34">
            <v>4</v>
          </cell>
          <cell r="AC34">
            <v>4</v>
          </cell>
          <cell r="AD34">
            <v>4</v>
          </cell>
          <cell r="AE34">
            <v>0</v>
          </cell>
          <cell r="AF34">
            <v>0</v>
          </cell>
        </row>
        <row r="35">
          <cell r="B35">
            <v>14</v>
          </cell>
          <cell r="C35">
            <v>14</v>
          </cell>
          <cell r="D35">
            <v>14</v>
          </cell>
          <cell r="E35">
            <v>14</v>
          </cell>
          <cell r="F35">
            <v>14</v>
          </cell>
          <cell r="G35">
            <v>14</v>
          </cell>
          <cell r="H35">
            <v>14</v>
          </cell>
          <cell r="I35">
            <v>14</v>
          </cell>
          <cell r="J35">
            <v>14</v>
          </cell>
          <cell r="K35">
            <v>14</v>
          </cell>
          <cell r="L35">
            <v>14</v>
          </cell>
          <cell r="M35">
            <v>14</v>
          </cell>
          <cell r="N35">
            <v>14</v>
          </cell>
          <cell r="O35">
            <v>14</v>
          </cell>
          <cell r="P35">
            <v>14</v>
          </cell>
          <cell r="Q35">
            <v>12</v>
          </cell>
          <cell r="R35">
            <v>12</v>
          </cell>
          <cell r="S35">
            <v>12</v>
          </cell>
          <cell r="T35">
            <v>12</v>
          </cell>
          <cell r="U35">
            <v>12</v>
          </cell>
          <cell r="V35">
            <v>12</v>
          </cell>
          <cell r="W35">
            <v>12</v>
          </cell>
          <cell r="X35">
            <v>12</v>
          </cell>
          <cell r="Y35">
            <v>12</v>
          </cell>
          <cell r="Z35">
            <v>12</v>
          </cell>
          <cell r="AA35">
            <v>12</v>
          </cell>
          <cell r="AB35">
            <v>12</v>
          </cell>
          <cell r="AC35">
            <v>12</v>
          </cell>
          <cell r="AD35">
            <v>12</v>
          </cell>
          <cell r="AE35">
            <v>12</v>
          </cell>
          <cell r="AF35">
            <v>12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</row>
        <row r="37">
          <cell r="B37">
            <v>6.5</v>
          </cell>
          <cell r="C37">
            <v>6.5</v>
          </cell>
          <cell r="D37">
            <v>6.5</v>
          </cell>
          <cell r="E37">
            <v>6.5</v>
          </cell>
          <cell r="F37">
            <v>6.5</v>
          </cell>
          <cell r="G37">
            <v>6.5</v>
          </cell>
          <cell r="H37">
            <v>6.5</v>
          </cell>
          <cell r="I37">
            <v>6.5</v>
          </cell>
          <cell r="J37">
            <v>6.5</v>
          </cell>
          <cell r="K37">
            <v>6.5</v>
          </cell>
          <cell r="L37">
            <v>6.5</v>
          </cell>
          <cell r="M37">
            <v>6.5</v>
          </cell>
          <cell r="N37">
            <v>6.5</v>
          </cell>
          <cell r="O37">
            <v>6.5</v>
          </cell>
          <cell r="P37">
            <v>6.5</v>
          </cell>
          <cell r="Q37">
            <v>6.5</v>
          </cell>
          <cell r="R37">
            <v>6.5</v>
          </cell>
          <cell r="S37">
            <v>6.5</v>
          </cell>
          <cell r="T37">
            <v>6.5</v>
          </cell>
          <cell r="U37">
            <v>6.5</v>
          </cell>
          <cell r="V37">
            <v>6.5</v>
          </cell>
          <cell r="W37">
            <v>6.5</v>
          </cell>
          <cell r="X37">
            <v>6.5</v>
          </cell>
          <cell r="Y37">
            <v>6.5</v>
          </cell>
          <cell r="Z37">
            <v>6.5</v>
          </cell>
          <cell r="AA37">
            <v>6.5</v>
          </cell>
          <cell r="AB37">
            <v>6.5</v>
          </cell>
          <cell r="AC37">
            <v>6.5</v>
          </cell>
          <cell r="AD37">
            <v>6.5</v>
          </cell>
          <cell r="AE37">
            <v>6.5</v>
          </cell>
          <cell r="AF37">
            <v>6.5</v>
          </cell>
        </row>
        <row r="38">
          <cell r="B38">
            <v>5</v>
          </cell>
          <cell r="C38">
            <v>5</v>
          </cell>
          <cell r="D38">
            <v>5</v>
          </cell>
          <cell r="E38">
            <v>5</v>
          </cell>
          <cell r="F38">
            <v>5</v>
          </cell>
          <cell r="G38">
            <v>5</v>
          </cell>
          <cell r="H38">
            <v>5</v>
          </cell>
          <cell r="I38">
            <v>5</v>
          </cell>
          <cell r="J38">
            <v>5</v>
          </cell>
          <cell r="K38">
            <v>5</v>
          </cell>
          <cell r="L38">
            <v>5</v>
          </cell>
          <cell r="M38">
            <v>5</v>
          </cell>
          <cell r="N38">
            <v>5</v>
          </cell>
          <cell r="O38">
            <v>5</v>
          </cell>
          <cell r="P38">
            <v>5</v>
          </cell>
          <cell r="Q38">
            <v>5</v>
          </cell>
          <cell r="R38">
            <v>5</v>
          </cell>
          <cell r="S38">
            <v>5</v>
          </cell>
          <cell r="T38">
            <v>5</v>
          </cell>
          <cell r="U38">
            <v>5</v>
          </cell>
          <cell r="V38">
            <v>5</v>
          </cell>
          <cell r="W38">
            <v>5</v>
          </cell>
          <cell r="X38">
            <v>5</v>
          </cell>
          <cell r="Y38">
            <v>5</v>
          </cell>
          <cell r="Z38">
            <v>5</v>
          </cell>
          <cell r="AA38">
            <v>5</v>
          </cell>
          <cell r="AB38">
            <v>5</v>
          </cell>
          <cell r="AC38">
            <v>5</v>
          </cell>
          <cell r="AD38">
            <v>5</v>
          </cell>
          <cell r="AE38">
            <v>5</v>
          </cell>
          <cell r="AF38">
            <v>5</v>
          </cell>
        </row>
        <row r="39">
          <cell r="B39">
            <v>7.1999999999999993</v>
          </cell>
          <cell r="C39">
            <v>4</v>
          </cell>
          <cell r="D39">
            <v>4</v>
          </cell>
          <cell r="E39">
            <v>0</v>
          </cell>
          <cell r="F39">
            <v>0</v>
          </cell>
          <cell r="G39">
            <v>2</v>
          </cell>
          <cell r="H39">
            <v>6</v>
          </cell>
          <cell r="I39">
            <v>9.6</v>
          </cell>
          <cell r="J39">
            <v>12</v>
          </cell>
          <cell r="K39">
            <v>12</v>
          </cell>
          <cell r="L39">
            <v>12</v>
          </cell>
          <cell r="M39">
            <v>12</v>
          </cell>
          <cell r="N39">
            <v>9</v>
          </cell>
          <cell r="O39">
            <v>9</v>
          </cell>
          <cell r="P39">
            <v>6</v>
          </cell>
          <cell r="Q39">
            <v>6</v>
          </cell>
          <cell r="R39">
            <v>6</v>
          </cell>
          <cell r="S39">
            <v>6</v>
          </cell>
          <cell r="T39">
            <v>6</v>
          </cell>
          <cell r="U39">
            <v>6</v>
          </cell>
          <cell r="V39">
            <v>6</v>
          </cell>
          <cell r="W39">
            <v>6</v>
          </cell>
          <cell r="X39">
            <v>6.5</v>
          </cell>
          <cell r="Y39">
            <v>6.5</v>
          </cell>
          <cell r="Z39">
            <v>6.5</v>
          </cell>
          <cell r="AA39">
            <v>6.5</v>
          </cell>
          <cell r="AB39">
            <v>6.5</v>
          </cell>
          <cell r="AC39">
            <v>6.5</v>
          </cell>
          <cell r="AD39">
            <v>6.5</v>
          </cell>
          <cell r="AE39">
            <v>6.5</v>
          </cell>
          <cell r="AF39">
            <v>2</v>
          </cell>
        </row>
        <row r="40">
          <cell r="B40">
            <v>12</v>
          </cell>
          <cell r="C40">
            <v>12</v>
          </cell>
          <cell r="D40">
            <v>12</v>
          </cell>
          <cell r="E40">
            <v>12</v>
          </cell>
          <cell r="F40">
            <v>12</v>
          </cell>
          <cell r="G40">
            <v>12</v>
          </cell>
          <cell r="H40">
            <v>12</v>
          </cell>
          <cell r="I40">
            <v>12</v>
          </cell>
          <cell r="J40">
            <v>12</v>
          </cell>
          <cell r="K40">
            <v>12</v>
          </cell>
          <cell r="L40">
            <v>12</v>
          </cell>
          <cell r="M40">
            <v>12</v>
          </cell>
          <cell r="N40">
            <v>12</v>
          </cell>
          <cell r="O40">
            <v>12</v>
          </cell>
          <cell r="P40">
            <v>12</v>
          </cell>
          <cell r="Q40">
            <v>12</v>
          </cell>
          <cell r="R40">
            <v>12</v>
          </cell>
          <cell r="S40">
            <v>12</v>
          </cell>
          <cell r="T40">
            <v>12</v>
          </cell>
          <cell r="U40">
            <v>12</v>
          </cell>
          <cell r="V40">
            <v>12</v>
          </cell>
          <cell r="W40">
            <v>12</v>
          </cell>
          <cell r="X40">
            <v>12</v>
          </cell>
          <cell r="Y40">
            <v>12</v>
          </cell>
          <cell r="Z40">
            <v>12</v>
          </cell>
          <cell r="AA40">
            <v>12</v>
          </cell>
          <cell r="AB40">
            <v>12</v>
          </cell>
          <cell r="AC40">
            <v>12</v>
          </cell>
          <cell r="AD40">
            <v>12</v>
          </cell>
          <cell r="AE40">
            <v>12</v>
          </cell>
          <cell r="AF40">
            <v>12</v>
          </cell>
        </row>
        <row r="41">
          <cell r="B41">
            <v>6.9</v>
          </cell>
          <cell r="C41">
            <v>6.9</v>
          </cell>
          <cell r="D41">
            <v>6.9</v>
          </cell>
          <cell r="E41">
            <v>6.9</v>
          </cell>
          <cell r="F41">
            <v>6.9</v>
          </cell>
          <cell r="G41">
            <v>6.9</v>
          </cell>
          <cell r="H41">
            <v>6.9</v>
          </cell>
          <cell r="I41">
            <v>6.9</v>
          </cell>
          <cell r="J41">
            <v>6.9</v>
          </cell>
          <cell r="K41">
            <v>6.9</v>
          </cell>
          <cell r="L41">
            <v>6.9</v>
          </cell>
          <cell r="M41">
            <v>6.9</v>
          </cell>
          <cell r="N41">
            <v>6.9</v>
          </cell>
          <cell r="O41">
            <v>6.9</v>
          </cell>
          <cell r="P41">
            <v>6.9</v>
          </cell>
          <cell r="Q41">
            <v>6.9</v>
          </cell>
          <cell r="R41">
            <v>6.9</v>
          </cell>
          <cell r="S41">
            <v>6.9</v>
          </cell>
          <cell r="T41">
            <v>6.9</v>
          </cell>
          <cell r="U41">
            <v>6.9</v>
          </cell>
          <cell r="V41">
            <v>6.9</v>
          </cell>
          <cell r="W41">
            <v>6.9</v>
          </cell>
          <cell r="X41">
            <v>6.9</v>
          </cell>
          <cell r="Y41">
            <v>6.9</v>
          </cell>
          <cell r="Z41">
            <v>6.9</v>
          </cell>
          <cell r="AA41">
            <v>6.9</v>
          </cell>
          <cell r="AB41">
            <v>6.9</v>
          </cell>
          <cell r="AC41">
            <v>6.9</v>
          </cell>
          <cell r="AD41">
            <v>6.9</v>
          </cell>
          <cell r="AE41">
            <v>6.9</v>
          </cell>
          <cell r="AF41">
            <v>6.9</v>
          </cell>
        </row>
        <row r="42">
          <cell r="B42">
            <v>8</v>
          </cell>
          <cell r="C42">
            <v>8</v>
          </cell>
          <cell r="D42">
            <v>8</v>
          </cell>
          <cell r="E42">
            <v>8</v>
          </cell>
          <cell r="F42">
            <v>8</v>
          </cell>
          <cell r="G42">
            <v>8</v>
          </cell>
          <cell r="H42">
            <v>8</v>
          </cell>
          <cell r="I42">
            <v>8</v>
          </cell>
          <cell r="J42">
            <v>8</v>
          </cell>
          <cell r="K42">
            <v>8</v>
          </cell>
          <cell r="L42">
            <v>8</v>
          </cell>
          <cell r="M42">
            <v>8</v>
          </cell>
          <cell r="N42">
            <v>8</v>
          </cell>
          <cell r="O42">
            <v>8</v>
          </cell>
          <cell r="P42">
            <v>8</v>
          </cell>
          <cell r="Q42">
            <v>8</v>
          </cell>
          <cell r="R42">
            <v>8</v>
          </cell>
          <cell r="S42">
            <v>8</v>
          </cell>
          <cell r="T42">
            <v>8</v>
          </cell>
          <cell r="U42">
            <v>8</v>
          </cell>
          <cell r="V42">
            <v>8</v>
          </cell>
          <cell r="W42">
            <v>8</v>
          </cell>
          <cell r="X42">
            <v>8</v>
          </cell>
          <cell r="Y42">
            <v>8</v>
          </cell>
          <cell r="Z42">
            <v>8</v>
          </cell>
          <cell r="AA42">
            <v>8</v>
          </cell>
          <cell r="AB42">
            <v>8</v>
          </cell>
          <cell r="AC42">
            <v>8</v>
          </cell>
          <cell r="AD42">
            <v>8</v>
          </cell>
          <cell r="AE42">
            <v>8</v>
          </cell>
          <cell r="AF42">
            <v>8</v>
          </cell>
        </row>
        <row r="43">
          <cell r="B43">
            <v>8</v>
          </cell>
          <cell r="C43">
            <v>8</v>
          </cell>
          <cell r="D43">
            <v>8</v>
          </cell>
          <cell r="E43">
            <v>8</v>
          </cell>
          <cell r="F43">
            <v>8</v>
          </cell>
          <cell r="G43">
            <v>8</v>
          </cell>
          <cell r="H43">
            <v>8</v>
          </cell>
          <cell r="I43">
            <v>8</v>
          </cell>
          <cell r="J43">
            <v>8</v>
          </cell>
          <cell r="K43">
            <v>8</v>
          </cell>
          <cell r="L43">
            <v>8</v>
          </cell>
          <cell r="M43">
            <v>8</v>
          </cell>
          <cell r="N43">
            <v>8</v>
          </cell>
          <cell r="O43">
            <v>8</v>
          </cell>
          <cell r="P43">
            <v>8</v>
          </cell>
          <cell r="Q43">
            <v>8</v>
          </cell>
          <cell r="R43">
            <v>8</v>
          </cell>
          <cell r="S43">
            <v>8</v>
          </cell>
          <cell r="T43">
            <v>8</v>
          </cell>
          <cell r="U43">
            <v>8</v>
          </cell>
          <cell r="V43">
            <v>8</v>
          </cell>
          <cell r="W43">
            <v>8</v>
          </cell>
          <cell r="X43">
            <v>8</v>
          </cell>
          <cell r="Y43">
            <v>8</v>
          </cell>
          <cell r="Z43">
            <v>8</v>
          </cell>
          <cell r="AA43">
            <v>8</v>
          </cell>
          <cell r="AB43">
            <v>8</v>
          </cell>
          <cell r="AC43">
            <v>8</v>
          </cell>
          <cell r="AD43">
            <v>8</v>
          </cell>
          <cell r="AE43">
            <v>8</v>
          </cell>
          <cell r="AF43">
            <v>8</v>
          </cell>
        </row>
        <row r="44">
          <cell r="B44">
            <v>11</v>
          </cell>
          <cell r="C44">
            <v>11</v>
          </cell>
          <cell r="D44">
            <v>11</v>
          </cell>
          <cell r="E44">
            <v>11</v>
          </cell>
          <cell r="F44">
            <v>11</v>
          </cell>
          <cell r="G44">
            <v>11</v>
          </cell>
          <cell r="H44">
            <v>11</v>
          </cell>
          <cell r="I44">
            <v>11</v>
          </cell>
          <cell r="J44">
            <v>11</v>
          </cell>
          <cell r="K44">
            <v>11</v>
          </cell>
          <cell r="L44">
            <v>11</v>
          </cell>
          <cell r="M44">
            <v>11</v>
          </cell>
          <cell r="N44">
            <v>11</v>
          </cell>
          <cell r="O44">
            <v>11</v>
          </cell>
          <cell r="P44">
            <v>11</v>
          </cell>
          <cell r="Q44">
            <v>11</v>
          </cell>
          <cell r="R44">
            <v>11</v>
          </cell>
          <cell r="S44">
            <v>11</v>
          </cell>
          <cell r="T44">
            <v>11</v>
          </cell>
          <cell r="U44">
            <v>11</v>
          </cell>
          <cell r="V44">
            <v>11</v>
          </cell>
          <cell r="W44">
            <v>11</v>
          </cell>
          <cell r="X44">
            <v>11</v>
          </cell>
          <cell r="Y44">
            <v>11</v>
          </cell>
          <cell r="Z44">
            <v>11</v>
          </cell>
          <cell r="AA44">
            <v>11</v>
          </cell>
          <cell r="AB44">
            <v>11</v>
          </cell>
          <cell r="AC44">
            <v>11</v>
          </cell>
          <cell r="AD44">
            <v>11</v>
          </cell>
          <cell r="AE44">
            <v>11</v>
          </cell>
          <cell r="AF44">
            <v>11</v>
          </cell>
        </row>
        <row r="45">
          <cell r="B45">
            <v>8</v>
          </cell>
          <cell r="C45">
            <v>8</v>
          </cell>
          <cell r="D45">
            <v>8</v>
          </cell>
          <cell r="E45">
            <v>8</v>
          </cell>
          <cell r="F45">
            <v>8</v>
          </cell>
          <cell r="G45">
            <v>8</v>
          </cell>
          <cell r="H45">
            <v>8</v>
          </cell>
          <cell r="I45">
            <v>8</v>
          </cell>
          <cell r="J45">
            <v>8</v>
          </cell>
          <cell r="K45">
            <v>8</v>
          </cell>
          <cell r="L45">
            <v>8</v>
          </cell>
          <cell r="M45">
            <v>8</v>
          </cell>
          <cell r="N45">
            <v>8</v>
          </cell>
          <cell r="O45">
            <v>8</v>
          </cell>
          <cell r="P45">
            <v>8</v>
          </cell>
          <cell r="Q45">
            <v>8</v>
          </cell>
          <cell r="R45">
            <v>8</v>
          </cell>
          <cell r="S45">
            <v>8</v>
          </cell>
          <cell r="T45">
            <v>8</v>
          </cell>
          <cell r="U45">
            <v>8</v>
          </cell>
          <cell r="V45">
            <v>8</v>
          </cell>
          <cell r="W45">
            <v>8</v>
          </cell>
          <cell r="X45">
            <v>8</v>
          </cell>
          <cell r="Y45">
            <v>8</v>
          </cell>
          <cell r="Z45">
            <v>8</v>
          </cell>
          <cell r="AA45">
            <v>8</v>
          </cell>
          <cell r="AB45">
            <v>8</v>
          </cell>
          <cell r="AC45">
            <v>8</v>
          </cell>
          <cell r="AD45">
            <v>8</v>
          </cell>
          <cell r="AE45">
            <v>8</v>
          </cell>
          <cell r="AF45">
            <v>8</v>
          </cell>
        </row>
        <row r="46">
          <cell r="B46">
            <v>10</v>
          </cell>
          <cell r="C46">
            <v>10</v>
          </cell>
          <cell r="D46">
            <v>10</v>
          </cell>
          <cell r="E46">
            <v>10</v>
          </cell>
          <cell r="F46">
            <v>10</v>
          </cell>
          <cell r="G46">
            <v>10</v>
          </cell>
          <cell r="H46">
            <v>10</v>
          </cell>
          <cell r="I46">
            <v>10</v>
          </cell>
          <cell r="J46">
            <v>10</v>
          </cell>
          <cell r="K46">
            <v>10</v>
          </cell>
          <cell r="L46">
            <v>10</v>
          </cell>
          <cell r="M46">
            <v>10</v>
          </cell>
          <cell r="N46">
            <v>10</v>
          </cell>
          <cell r="O46">
            <v>10</v>
          </cell>
          <cell r="P46">
            <v>10</v>
          </cell>
          <cell r="Q46">
            <v>10</v>
          </cell>
          <cell r="R46">
            <v>10</v>
          </cell>
          <cell r="S46">
            <v>10</v>
          </cell>
          <cell r="T46">
            <v>10</v>
          </cell>
          <cell r="U46">
            <v>10</v>
          </cell>
          <cell r="V46">
            <v>10</v>
          </cell>
          <cell r="W46">
            <v>10</v>
          </cell>
          <cell r="X46">
            <v>10</v>
          </cell>
          <cell r="Y46">
            <v>10</v>
          </cell>
          <cell r="Z46">
            <v>10</v>
          </cell>
          <cell r="AA46">
            <v>10</v>
          </cell>
          <cell r="AB46">
            <v>10</v>
          </cell>
          <cell r="AC46">
            <v>10</v>
          </cell>
          <cell r="AD46">
            <v>10</v>
          </cell>
          <cell r="AE46">
            <v>10</v>
          </cell>
          <cell r="AF46">
            <v>10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</row>
        <row r="55">
          <cell r="B55">
            <v>146.69999999999999</v>
          </cell>
        </row>
        <row r="56">
          <cell r="B56">
            <v>69.8</v>
          </cell>
        </row>
        <row r="57">
          <cell r="B57">
            <v>71.5</v>
          </cell>
          <cell r="C57">
            <v>71.5</v>
          </cell>
          <cell r="D57">
            <v>71.5</v>
          </cell>
          <cell r="E57">
            <v>70</v>
          </cell>
          <cell r="F57">
            <v>70.099999999999994</v>
          </cell>
          <cell r="G57">
            <v>70</v>
          </cell>
          <cell r="H57">
            <v>70.3</v>
          </cell>
          <cell r="I57">
            <v>70</v>
          </cell>
          <cell r="J57">
            <v>64.099999999999994</v>
          </cell>
          <cell r="K57">
            <v>70.400000000000006</v>
          </cell>
          <cell r="L57">
            <v>70</v>
          </cell>
          <cell r="M57">
            <v>69.900000000000006</v>
          </cell>
          <cell r="N57">
            <v>69.900000000000006</v>
          </cell>
          <cell r="O57">
            <v>69.900000000000006</v>
          </cell>
          <cell r="P57">
            <v>65</v>
          </cell>
          <cell r="Q57">
            <v>66.099999999999994</v>
          </cell>
          <cell r="R57">
            <v>50.2</v>
          </cell>
          <cell r="S57">
            <v>50.2</v>
          </cell>
          <cell r="T57">
            <v>50.3</v>
          </cell>
          <cell r="U57">
            <v>49</v>
          </cell>
          <cell r="V57">
            <v>49</v>
          </cell>
          <cell r="W57">
            <v>69.2</v>
          </cell>
          <cell r="X57">
            <v>69.900000000000006</v>
          </cell>
          <cell r="Y57">
            <v>69.900000000000006</v>
          </cell>
          <cell r="Z57">
            <v>69.900000000000006</v>
          </cell>
          <cell r="AA57">
            <v>69.599999999999994</v>
          </cell>
          <cell r="AB57">
            <v>69.599999999999994</v>
          </cell>
          <cell r="AC57">
            <v>69.599999999999994</v>
          </cell>
          <cell r="AD57">
            <v>69.599999999999994</v>
          </cell>
          <cell r="AE57">
            <v>69.599999999999994</v>
          </cell>
          <cell r="AF57">
            <v>69.599999999999994</v>
          </cell>
        </row>
        <row r="58">
          <cell r="B58">
            <v>60.2</v>
          </cell>
          <cell r="C58">
            <v>60.2</v>
          </cell>
          <cell r="D58">
            <v>51.4</v>
          </cell>
          <cell r="E58">
            <v>60.9</v>
          </cell>
          <cell r="F58">
            <v>61.4</v>
          </cell>
          <cell r="G58">
            <v>61.4</v>
          </cell>
          <cell r="H58">
            <v>61.2</v>
          </cell>
          <cell r="I58">
            <v>61.2</v>
          </cell>
          <cell r="J58">
            <v>61.2</v>
          </cell>
          <cell r="K58">
            <v>61.4</v>
          </cell>
          <cell r="L58">
            <v>61.4</v>
          </cell>
          <cell r="M58">
            <v>61.4</v>
          </cell>
          <cell r="N58">
            <v>61.4</v>
          </cell>
          <cell r="O58">
            <v>61.4</v>
          </cell>
          <cell r="P58">
            <v>50</v>
          </cell>
          <cell r="Q58">
            <v>61.4</v>
          </cell>
          <cell r="R58">
            <v>61.4</v>
          </cell>
          <cell r="S58">
            <v>61.4</v>
          </cell>
          <cell r="T58">
            <v>60.5</v>
          </cell>
          <cell r="U58">
            <v>60.5</v>
          </cell>
          <cell r="V58">
            <v>60.4</v>
          </cell>
          <cell r="W58">
            <v>60.4</v>
          </cell>
          <cell r="X58">
            <v>60.4</v>
          </cell>
          <cell r="Y58">
            <v>60.4</v>
          </cell>
          <cell r="Z58">
            <v>60.4</v>
          </cell>
          <cell r="AA58">
            <v>60.4</v>
          </cell>
          <cell r="AB58">
            <v>60.4</v>
          </cell>
          <cell r="AC58">
            <v>60.4</v>
          </cell>
          <cell r="AD58">
            <v>60.4</v>
          </cell>
          <cell r="AE58">
            <v>60.4</v>
          </cell>
          <cell r="AF58">
            <v>60.4</v>
          </cell>
        </row>
        <row r="59">
          <cell r="P59">
            <v>10</v>
          </cell>
          <cell r="Q59">
            <v>10</v>
          </cell>
          <cell r="R59">
            <v>12</v>
          </cell>
          <cell r="S59">
            <v>13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0.8</v>
          </cell>
          <cell r="M60">
            <v>1.7</v>
          </cell>
          <cell r="N60">
            <v>3.8</v>
          </cell>
          <cell r="O60">
            <v>12</v>
          </cell>
          <cell r="P60">
            <v>15.7</v>
          </cell>
          <cell r="Q60">
            <v>15.8</v>
          </cell>
          <cell r="R60">
            <v>14.5</v>
          </cell>
          <cell r="S60">
            <v>11.7</v>
          </cell>
          <cell r="T60">
            <v>11.7</v>
          </cell>
          <cell r="U60">
            <v>11.7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</row>
        <row r="61">
          <cell r="B61">
            <v>16</v>
          </cell>
          <cell r="C61">
            <v>16</v>
          </cell>
          <cell r="D61">
            <v>16</v>
          </cell>
          <cell r="E61">
            <v>16</v>
          </cell>
          <cell r="F61">
            <v>16</v>
          </cell>
          <cell r="G61">
            <v>16</v>
          </cell>
          <cell r="H61">
            <v>16</v>
          </cell>
          <cell r="I61">
            <v>16</v>
          </cell>
          <cell r="J61">
            <v>16</v>
          </cell>
          <cell r="K61">
            <v>16</v>
          </cell>
          <cell r="L61">
            <v>16</v>
          </cell>
          <cell r="M61">
            <v>16</v>
          </cell>
          <cell r="N61">
            <v>16</v>
          </cell>
          <cell r="O61">
            <v>16</v>
          </cell>
          <cell r="P61">
            <v>16</v>
          </cell>
          <cell r="Q61">
            <v>16</v>
          </cell>
          <cell r="R61">
            <v>16</v>
          </cell>
          <cell r="S61">
            <v>16</v>
          </cell>
          <cell r="T61">
            <v>16</v>
          </cell>
          <cell r="U61">
            <v>16</v>
          </cell>
          <cell r="V61">
            <v>16</v>
          </cell>
          <cell r="W61">
            <v>16</v>
          </cell>
          <cell r="X61">
            <v>16</v>
          </cell>
          <cell r="Y61">
            <v>16</v>
          </cell>
          <cell r="Z61">
            <v>16</v>
          </cell>
          <cell r="AA61">
            <v>16</v>
          </cell>
          <cell r="AB61">
            <v>16</v>
          </cell>
          <cell r="AC61">
            <v>16</v>
          </cell>
          <cell r="AD61">
            <v>16</v>
          </cell>
          <cell r="AE61">
            <v>16</v>
          </cell>
          <cell r="AF61">
            <v>16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B63">
            <v>12</v>
          </cell>
          <cell r="C63">
            <v>12</v>
          </cell>
          <cell r="D63">
            <v>12</v>
          </cell>
          <cell r="E63">
            <v>12</v>
          </cell>
          <cell r="F63">
            <v>12</v>
          </cell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12</v>
          </cell>
          <cell r="O63">
            <v>12</v>
          </cell>
          <cell r="P63">
            <v>12</v>
          </cell>
          <cell r="Q63">
            <v>12</v>
          </cell>
          <cell r="R63">
            <v>12</v>
          </cell>
          <cell r="S63">
            <v>12</v>
          </cell>
          <cell r="T63">
            <v>12</v>
          </cell>
          <cell r="U63">
            <v>12</v>
          </cell>
          <cell r="V63">
            <v>12.1</v>
          </cell>
          <cell r="W63">
            <v>12.1</v>
          </cell>
          <cell r="X63">
            <v>12</v>
          </cell>
          <cell r="Y63">
            <v>12</v>
          </cell>
          <cell r="Z63">
            <v>12</v>
          </cell>
          <cell r="AA63">
            <v>12</v>
          </cell>
          <cell r="AB63">
            <v>12</v>
          </cell>
          <cell r="AC63">
            <v>12</v>
          </cell>
          <cell r="AD63">
            <v>12</v>
          </cell>
          <cell r="AE63">
            <v>12</v>
          </cell>
          <cell r="AF63">
            <v>12</v>
          </cell>
        </row>
        <row r="64">
          <cell r="B64">
            <v>9</v>
          </cell>
          <cell r="C64">
            <v>9</v>
          </cell>
          <cell r="D64">
            <v>9</v>
          </cell>
          <cell r="E64">
            <v>9</v>
          </cell>
          <cell r="F64">
            <v>9</v>
          </cell>
          <cell r="G64">
            <v>9</v>
          </cell>
          <cell r="H64">
            <v>9</v>
          </cell>
          <cell r="I64">
            <v>9</v>
          </cell>
          <cell r="J64">
            <v>9</v>
          </cell>
          <cell r="K64">
            <v>9</v>
          </cell>
          <cell r="L64">
            <v>9</v>
          </cell>
          <cell r="M64">
            <v>9</v>
          </cell>
          <cell r="N64">
            <v>9</v>
          </cell>
          <cell r="O64">
            <v>9</v>
          </cell>
          <cell r="P64">
            <v>9</v>
          </cell>
          <cell r="Q64">
            <v>9</v>
          </cell>
          <cell r="R64">
            <v>8</v>
          </cell>
          <cell r="S64">
            <v>8</v>
          </cell>
          <cell r="T64">
            <v>8</v>
          </cell>
          <cell r="U64">
            <v>8</v>
          </cell>
          <cell r="V64">
            <v>9</v>
          </cell>
          <cell r="W64">
            <v>9</v>
          </cell>
          <cell r="X64">
            <v>9.6999999999999993</v>
          </cell>
          <cell r="Y64">
            <v>9.6999999999999993</v>
          </cell>
          <cell r="Z64">
            <v>9.6999999999999993</v>
          </cell>
          <cell r="AA64">
            <v>9.6999999999999993</v>
          </cell>
          <cell r="AB64">
            <v>9.6999999999999993</v>
          </cell>
          <cell r="AC64">
            <v>9.6999999999999993</v>
          </cell>
          <cell r="AD64">
            <v>9.6999999999999993</v>
          </cell>
          <cell r="AE64">
            <v>9.6999999999999993</v>
          </cell>
          <cell r="AF64">
            <v>9.6999999999999993</v>
          </cell>
        </row>
        <row r="66">
          <cell r="B66">
            <v>6.2</v>
          </cell>
          <cell r="C66">
            <v>6.2</v>
          </cell>
          <cell r="D66">
            <v>6.2</v>
          </cell>
          <cell r="E66">
            <v>6.2</v>
          </cell>
          <cell r="F66">
            <v>6.2</v>
          </cell>
          <cell r="G66">
            <v>6.2</v>
          </cell>
          <cell r="H66">
            <v>6.2</v>
          </cell>
          <cell r="I66">
            <v>6.2</v>
          </cell>
          <cell r="J66">
            <v>6.2</v>
          </cell>
          <cell r="K66">
            <v>6.2</v>
          </cell>
          <cell r="L66">
            <v>6.2</v>
          </cell>
          <cell r="M66">
            <v>6.2</v>
          </cell>
          <cell r="N66">
            <v>6.2</v>
          </cell>
          <cell r="O66">
            <v>6.2</v>
          </cell>
          <cell r="P66">
            <v>6.2</v>
          </cell>
          <cell r="Q66">
            <v>6.2</v>
          </cell>
          <cell r="R66">
            <v>6.2</v>
          </cell>
          <cell r="S66">
            <v>6.2</v>
          </cell>
          <cell r="T66">
            <v>6.2</v>
          </cell>
          <cell r="U66">
            <v>6.2</v>
          </cell>
          <cell r="V66">
            <v>6</v>
          </cell>
          <cell r="W66">
            <v>6</v>
          </cell>
          <cell r="X66">
            <v>6.2</v>
          </cell>
          <cell r="Y66">
            <v>6.2</v>
          </cell>
          <cell r="Z66">
            <v>6.2</v>
          </cell>
          <cell r="AA66">
            <v>6.2</v>
          </cell>
          <cell r="AB66">
            <v>6.2</v>
          </cell>
          <cell r="AC66">
            <v>6.2</v>
          </cell>
          <cell r="AD66">
            <v>6.2</v>
          </cell>
          <cell r="AE66">
            <v>6.2</v>
          </cell>
          <cell r="AF66">
            <v>6.2</v>
          </cell>
        </row>
      </sheetData>
      <sheetData sheetId="7">
        <row r="11">
          <cell r="B11">
            <v>62.4</v>
          </cell>
          <cell r="C11">
            <v>62.4</v>
          </cell>
          <cell r="D11">
            <v>62.4</v>
          </cell>
          <cell r="E11">
            <v>62.4</v>
          </cell>
          <cell r="F11">
            <v>62.4</v>
          </cell>
          <cell r="G11">
            <v>62.4</v>
          </cell>
          <cell r="H11">
            <v>60.8</v>
          </cell>
          <cell r="I11">
            <v>60.8</v>
          </cell>
          <cell r="J11">
            <v>60.8</v>
          </cell>
          <cell r="K11">
            <v>60.8</v>
          </cell>
          <cell r="L11">
            <v>60.8</v>
          </cell>
          <cell r="M11">
            <v>60.8</v>
          </cell>
          <cell r="N11">
            <v>60.8</v>
          </cell>
          <cell r="O11">
            <v>60.8</v>
          </cell>
          <cell r="P11">
            <v>62.3</v>
          </cell>
          <cell r="Q11">
            <v>58.9</v>
          </cell>
          <cell r="R11">
            <v>58.9</v>
          </cell>
          <cell r="S11">
            <v>58.9</v>
          </cell>
          <cell r="T11">
            <v>58.9</v>
          </cell>
          <cell r="U11">
            <v>58.9</v>
          </cell>
          <cell r="V11">
            <v>60.8</v>
          </cell>
          <cell r="W11">
            <v>60.8</v>
          </cell>
          <cell r="X11">
            <v>60.8</v>
          </cell>
          <cell r="Y11">
            <v>60.8</v>
          </cell>
          <cell r="Z11">
            <v>60.8</v>
          </cell>
          <cell r="AA11">
            <v>60.8</v>
          </cell>
          <cell r="AB11">
            <v>60.8</v>
          </cell>
          <cell r="AC11">
            <v>60</v>
          </cell>
          <cell r="AD11">
            <v>60.8</v>
          </cell>
          <cell r="AE11">
            <v>61.6</v>
          </cell>
          <cell r="AF11">
            <v>61.6</v>
          </cell>
        </row>
        <row r="12">
          <cell r="B12">
            <v>8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8</v>
          </cell>
          <cell r="I12">
            <v>8</v>
          </cell>
          <cell r="J12">
            <v>13</v>
          </cell>
          <cell r="K12">
            <v>13</v>
          </cell>
          <cell r="L12">
            <v>13</v>
          </cell>
          <cell r="M12">
            <v>13</v>
          </cell>
          <cell r="N12">
            <v>13</v>
          </cell>
          <cell r="O12">
            <v>13</v>
          </cell>
          <cell r="P12">
            <v>13</v>
          </cell>
          <cell r="Q12">
            <v>13</v>
          </cell>
          <cell r="R12">
            <v>13</v>
          </cell>
          <cell r="S12">
            <v>13</v>
          </cell>
          <cell r="T12">
            <v>13</v>
          </cell>
          <cell r="U12">
            <v>13</v>
          </cell>
          <cell r="V12">
            <v>13</v>
          </cell>
          <cell r="W12">
            <v>13</v>
          </cell>
          <cell r="X12">
            <v>13</v>
          </cell>
          <cell r="Y12">
            <v>13</v>
          </cell>
          <cell r="Z12">
            <v>13</v>
          </cell>
          <cell r="AA12">
            <v>13</v>
          </cell>
          <cell r="AB12">
            <v>13</v>
          </cell>
          <cell r="AC12">
            <v>13</v>
          </cell>
          <cell r="AD12">
            <v>13</v>
          </cell>
          <cell r="AE12">
            <v>13</v>
          </cell>
          <cell r="AF12">
            <v>13</v>
          </cell>
        </row>
        <row r="13">
          <cell r="B13">
            <v>31.5</v>
          </cell>
          <cell r="C13">
            <v>31.5</v>
          </cell>
          <cell r="D13">
            <v>31.5</v>
          </cell>
          <cell r="E13">
            <v>31.5</v>
          </cell>
          <cell r="F13">
            <v>31.5</v>
          </cell>
          <cell r="G13">
            <v>31.5</v>
          </cell>
          <cell r="H13">
            <v>31.5</v>
          </cell>
          <cell r="I13">
            <v>31.5</v>
          </cell>
          <cell r="J13">
            <v>31.5</v>
          </cell>
          <cell r="K13">
            <v>31.5</v>
          </cell>
          <cell r="L13">
            <v>31.5</v>
          </cell>
          <cell r="M13">
            <v>31.5</v>
          </cell>
          <cell r="N13">
            <v>31.5</v>
          </cell>
          <cell r="O13">
            <v>31.5</v>
          </cell>
          <cell r="P13">
            <v>31.5</v>
          </cell>
          <cell r="Q13">
            <v>31.5</v>
          </cell>
          <cell r="R13">
            <v>31.5</v>
          </cell>
          <cell r="S13">
            <v>31.5</v>
          </cell>
          <cell r="T13">
            <v>31.5</v>
          </cell>
          <cell r="U13">
            <v>31.5</v>
          </cell>
          <cell r="V13">
            <v>33.5</v>
          </cell>
          <cell r="W13">
            <v>33.5</v>
          </cell>
          <cell r="X13">
            <v>33.5</v>
          </cell>
          <cell r="Y13">
            <v>33.5</v>
          </cell>
          <cell r="Z13">
            <v>33.5</v>
          </cell>
          <cell r="AA13">
            <v>33.5</v>
          </cell>
          <cell r="AB13">
            <v>33.5</v>
          </cell>
          <cell r="AC13">
            <v>32.200000000000003</v>
          </cell>
          <cell r="AD13">
            <v>32.200000000000003</v>
          </cell>
          <cell r="AE13">
            <v>32.200000000000003</v>
          </cell>
          <cell r="AF13">
            <v>32.200000000000003</v>
          </cell>
        </row>
        <row r="14">
          <cell r="B14">
            <v>50.4</v>
          </cell>
          <cell r="C14">
            <v>50.4</v>
          </cell>
          <cell r="D14">
            <v>50.4</v>
          </cell>
          <cell r="E14">
            <v>50.4</v>
          </cell>
          <cell r="F14">
            <v>50.4</v>
          </cell>
          <cell r="G14">
            <v>50.4</v>
          </cell>
          <cell r="H14">
            <v>50.4</v>
          </cell>
          <cell r="I14">
            <v>50.4</v>
          </cell>
          <cell r="J14">
            <v>50.4</v>
          </cell>
          <cell r="K14">
            <v>50.4</v>
          </cell>
          <cell r="L14">
            <v>50.4</v>
          </cell>
          <cell r="M14">
            <v>50.4</v>
          </cell>
          <cell r="N14">
            <v>50.4</v>
          </cell>
          <cell r="O14">
            <v>50.4</v>
          </cell>
          <cell r="P14">
            <v>50.3</v>
          </cell>
          <cell r="Q14">
            <v>50.3</v>
          </cell>
          <cell r="R14">
            <v>50.4</v>
          </cell>
          <cell r="S14">
            <v>50.4</v>
          </cell>
          <cell r="T14">
            <v>50.4</v>
          </cell>
          <cell r="U14">
            <v>50.4</v>
          </cell>
          <cell r="V14">
            <v>50.4</v>
          </cell>
          <cell r="W14">
            <v>50.4</v>
          </cell>
          <cell r="X14">
            <v>50.4</v>
          </cell>
          <cell r="Y14">
            <v>50.4</v>
          </cell>
          <cell r="Z14">
            <v>50.4</v>
          </cell>
          <cell r="AA14">
            <v>50.4</v>
          </cell>
          <cell r="AB14">
            <v>50.4</v>
          </cell>
          <cell r="AC14">
            <v>50.5</v>
          </cell>
          <cell r="AD14">
            <v>50.5</v>
          </cell>
          <cell r="AE14">
            <v>50.5</v>
          </cell>
          <cell r="AF14">
            <v>50.5</v>
          </cell>
        </row>
        <row r="15">
          <cell r="B15">
            <v>31.9</v>
          </cell>
          <cell r="C15">
            <v>31.9</v>
          </cell>
          <cell r="D15">
            <v>31.9</v>
          </cell>
          <cell r="E15">
            <v>31.9</v>
          </cell>
          <cell r="F15">
            <v>31.9</v>
          </cell>
          <cell r="G15">
            <v>31.9</v>
          </cell>
          <cell r="H15">
            <v>31.9</v>
          </cell>
          <cell r="I15">
            <v>31.9</v>
          </cell>
          <cell r="J15">
            <v>31.9</v>
          </cell>
          <cell r="K15">
            <v>31.9</v>
          </cell>
          <cell r="L15">
            <v>31.9</v>
          </cell>
          <cell r="M15">
            <v>31.9</v>
          </cell>
          <cell r="N15">
            <v>31.9</v>
          </cell>
          <cell r="O15">
            <v>31.9</v>
          </cell>
          <cell r="P15">
            <v>31.9</v>
          </cell>
          <cell r="Q15">
            <v>31.9</v>
          </cell>
          <cell r="R15">
            <v>31.9</v>
          </cell>
          <cell r="S15">
            <v>31.9</v>
          </cell>
          <cell r="T15">
            <v>31.9</v>
          </cell>
          <cell r="U15">
            <v>31.9</v>
          </cell>
          <cell r="V15">
            <v>34.4</v>
          </cell>
          <cell r="W15">
            <v>34.4</v>
          </cell>
          <cell r="X15">
            <v>34.4</v>
          </cell>
          <cell r="Y15">
            <v>34.4</v>
          </cell>
          <cell r="Z15">
            <v>34.4</v>
          </cell>
          <cell r="AA15">
            <v>34.4</v>
          </cell>
          <cell r="AB15">
            <v>34.4</v>
          </cell>
          <cell r="AC15">
            <v>31.9</v>
          </cell>
          <cell r="AD15">
            <v>31.9</v>
          </cell>
          <cell r="AE15">
            <v>31.9</v>
          </cell>
          <cell r="AF15">
            <v>31.9</v>
          </cell>
        </row>
        <row r="16">
          <cell r="B16">
            <v>32</v>
          </cell>
          <cell r="C16">
            <v>32</v>
          </cell>
          <cell r="D16">
            <v>32</v>
          </cell>
          <cell r="E16">
            <v>32</v>
          </cell>
          <cell r="F16">
            <v>32</v>
          </cell>
          <cell r="G16">
            <v>32</v>
          </cell>
          <cell r="H16">
            <v>32</v>
          </cell>
          <cell r="I16">
            <v>32</v>
          </cell>
          <cell r="J16">
            <v>32</v>
          </cell>
          <cell r="K16">
            <v>32</v>
          </cell>
          <cell r="L16">
            <v>32</v>
          </cell>
          <cell r="M16">
            <v>32</v>
          </cell>
          <cell r="N16">
            <v>32</v>
          </cell>
          <cell r="O16">
            <v>32</v>
          </cell>
          <cell r="P16">
            <v>32</v>
          </cell>
          <cell r="Q16">
            <v>32</v>
          </cell>
          <cell r="R16">
            <v>32</v>
          </cell>
          <cell r="S16">
            <v>32</v>
          </cell>
          <cell r="T16">
            <v>32</v>
          </cell>
          <cell r="U16">
            <v>32</v>
          </cell>
          <cell r="V16">
            <v>32</v>
          </cell>
          <cell r="W16">
            <v>32</v>
          </cell>
          <cell r="X16">
            <v>32</v>
          </cell>
          <cell r="Y16">
            <v>32</v>
          </cell>
          <cell r="Z16">
            <v>32</v>
          </cell>
          <cell r="AA16">
            <v>32</v>
          </cell>
          <cell r="AB16">
            <v>32</v>
          </cell>
          <cell r="AC16">
            <v>31</v>
          </cell>
          <cell r="AD16">
            <v>31</v>
          </cell>
          <cell r="AE16">
            <v>31</v>
          </cell>
          <cell r="AF16">
            <v>31</v>
          </cell>
        </row>
        <row r="17">
          <cell r="B17">
            <v>22</v>
          </cell>
          <cell r="C17">
            <v>22</v>
          </cell>
          <cell r="D17">
            <v>22</v>
          </cell>
          <cell r="E17">
            <v>22</v>
          </cell>
          <cell r="F17">
            <v>22</v>
          </cell>
          <cell r="G17">
            <v>22</v>
          </cell>
          <cell r="H17">
            <v>20</v>
          </cell>
          <cell r="I17">
            <v>20</v>
          </cell>
          <cell r="J17">
            <v>20</v>
          </cell>
          <cell r="K17">
            <v>20</v>
          </cell>
          <cell r="L17">
            <v>20</v>
          </cell>
          <cell r="M17">
            <v>20</v>
          </cell>
          <cell r="N17">
            <v>20</v>
          </cell>
          <cell r="O17">
            <v>20</v>
          </cell>
          <cell r="P17">
            <v>20</v>
          </cell>
          <cell r="Q17">
            <v>20</v>
          </cell>
          <cell r="R17">
            <v>20</v>
          </cell>
          <cell r="S17">
            <v>20</v>
          </cell>
          <cell r="T17">
            <v>20</v>
          </cell>
          <cell r="U17">
            <v>20</v>
          </cell>
          <cell r="V17">
            <v>21</v>
          </cell>
          <cell r="W17">
            <v>21</v>
          </cell>
          <cell r="X17">
            <v>21</v>
          </cell>
          <cell r="Y17">
            <v>21</v>
          </cell>
          <cell r="Z17">
            <v>21</v>
          </cell>
          <cell r="AA17">
            <v>21</v>
          </cell>
          <cell r="AB17">
            <v>21</v>
          </cell>
          <cell r="AC17">
            <v>21</v>
          </cell>
          <cell r="AD17">
            <v>21</v>
          </cell>
          <cell r="AE17">
            <v>21</v>
          </cell>
          <cell r="AF17">
            <v>21</v>
          </cell>
        </row>
        <row r="18">
          <cell r="B18">
            <v>20</v>
          </cell>
          <cell r="C18">
            <v>20</v>
          </cell>
          <cell r="D18">
            <v>20</v>
          </cell>
          <cell r="E18">
            <v>20</v>
          </cell>
          <cell r="F18">
            <v>20</v>
          </cell>
          <cell r="G18">
            <v>20</v>
          </cell>
          <cell r="H18">
            <v>20</v>
          </cell>
          <cell r="I18">
            <v>20</v>
          </cell>
          <cell r="J18">
            <v>20</v>
          </cell>
          <cell r="K18">
            <v>20</v>
          </cell>
          <cell r="L18">
            <v>20</v>
          </cell>
          <cell r="M18">
            <v>20</v>
          </cell>
          <cell r="N18">
            <v>20</v>
          </cell>
          <cell r="O18">
            <v>20</v>
          </cell>
          <cell r="P18">
            <v>20</v>
          </cell>
          <cell r="Q18">
            <v>20</v>
          </cell>
          <cell r="R18">
            <v>20</v>
          </cell>
          <cell r="S18">
            <v>20</v>
          </cell>
          <cell r="T18">
            <v>20</v>
          </cell>
          <cell r="U18">
            <v>20</v>
          </cell>
          <cell r="V18">
            <v>20</v>
          </cell>
          <cell r="W18">
            <v>20</v>
          </cell>
          <cell r="X18">
            <v>20</v>
          </cell>
          <cell r="Y18">
            <v>20</v>
          </cell>
          <cell r="Z18">
            <v>20</v>
          </cell>
          <cell r="AA18">
            <v>20</v>
          </cell>
          <cell r="AB18">
            <v>20</v>
          </cell>
          <cell r="AC18">
            <v>20</v>
          </cell>
          <cell r="AD18">
            <v>20</v>
          </cell>
          <cell r="AE18">
            <v>20</v>
          </cell>
          <cell r="AF18">
            <v>20</v>
          </cell>
        </row>
        <row r="19">
          <cell r="B19">
            <v>22</v>
          </cell>
          <cell r="C19">
            <v>22</v>
          </cell>
          <cell r="D19">
            <v>22</v>
          </cell>
          <cell r="E19">
            <v>22</v>
          </cell>
          <cell r="F19">
            <v>22</v>
          </cell>
          <cell r="G19">
            <v>22</v>
          </cell>
          <cell r="H19">
            <v>22</v>
          </cell>
          <cell r="I19">
            <v>22</v>
          </cell>
          <cell r="J19">
            <v>22</v>
          </cell>
          <cell r="K19">
            <v>22</v>
          </cell>
          <cell r="L19">
            <v>22</v>
          </cell>
          <cell r="M19">
            <v>22</v>
          </cell>
          <cell r="N19">
            <v>22</v>
          </cell>
          <cell r="O19">
            <v>22</v>
          </cell>
          <cell r="P19">
            <v>22</v>
          </cell>
          <cell r="Q19">
            <v>22</v>
          </cell>
          <cell r="R19">
            <v>22</v>
          </cell>
          <cell r="S19">
            <v>22</v>
          </cell>
          <cell r="T19">
            <v>22</v>
          </cell>
          <cell r="U19">
            <v>22</v>
          </cell>
          <cell r="V19">
            <v>22</v>
          </cell>
          <cell r="W19">
            <v>22</v>
          </cell>
          <cell r="X19">
            <v>22</v>
          </cell>
          <cell r="Y19">
            <v>22</v>
          </cell>
          <cell r="Z19">
            <v>22</v>
          </cell>
          <cell r="AA19">
            <v>22</v>
          </cell>
          <cell r="AB19">
            <v>22</v>
          </cell>
          <cell r="AC19">
            <v>22</v>
          </cell>
          <cell r="AD19">
            <v>22</v>
          </cell>
          <cell r="AE19">
            <v>22</v>
          </cell>
          <cell r="AF19">
            <v>22</v>
          </cell>
        </row>
        <row r="20">
          <cell r="B20">
            <v>5</v>
          </cell>
          <cell r="C20">
            <v>5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5</v>
          </cell>
          <cell r="I20">
            <v>5</v>
          </cell>
          <cell r="J20">
            <v>5</v>
          </cell>
          <cell r="K20">
            <v>10</v>
          </cell>
          <cell r="L20">
            <v>15</v>
          </cell>
          <cell r="M20">
            <v>15</v>
          </cell>
          <cell r="N20">
            <v>15</v>
          </cell>
          <cell r="O20">
            <v>15</v>
          </cell>
          <cell r="P20">
            <v>15</v>
          </cell>
          <cell r="Q20">
            <v>15</v>
          </cell>
          <cell r="R20">
            <v>15</v>
          </cell>
          <cell r="S20">
            <v>9.9</v>
          </cell>
          <cell r="T20">
            <v>9.9</v>
          </cell>
          <cell r="U20">
            <v>9.9</v>
          </cell>
          <cell r="V20">
            <v>22.4</v>
          </cell>
          <cell r="W20">
            <v>22.4</v>
          </cell>
          <cell r="X20">
            <v>22.4</v>
          </cell>
          <cell r="Y20">
            <v>22.4</v>
          </cell>
          <cell r="Z20">
            <v>22.4</v>
          </cell>
          <cell r="AA20">
            <v>22.4</v>
          </cell>
          <cell r="AB20">
            <v>22.4</v>
          </cell>
          <cell r="AC20">
            <v>22.4</v>
          </cell>
          <cell r="AD20">
            <v>22.4</v>
          </cell>
          <cell r="AE20">
            <v>22.4</v>
          </cell>
          <cell r="AF20">
            <v>15.7</v>
          </cell>
        </row>
        <row r="21">
          <cell r="B21">
            <v>17.8</v>
          </cell>
          <cell r="C21">
            <v>17.8</v>
          </cell>
          <cell r="D21">
            <v>17.8</v>
          </cell>
          <cell r="E21">
            <v>17.8</v>
          </cell>
          <cell r="F21">
            <v>17.8</v>
          </cell>
          <cell r="G21">
            <v>17.8</v>
          </cell>
          <cell r="H21">
            <v>17.8</v>
          </cell>
          <cell r="I21">
            <v>17.8</v>
          </cell>
          <cell r="J21">
            <v>17.8</v>
          </cell>
          <cell r="K21">
            <v>17.8</v>
          </cell>
          <cell r="L21">
            <v>17.8</v>
          </cell>
          <cell r="M21">
            <v>17.8</v>
          </cell>
          <cell r="N21">
            <v>17.8</v>
          </cell>
          <cell r="O21">
            <v>17.8</v>
          </cell>
          <cell r="P21">
            <v>17.8</v>
          </cell>
          <cell r="Q21">
            <v>17.8</v>
          </cell>
          <cell r="R21">
            <v>17.8</v>
          </cell>
          <cell r="S21">
            <v>17.8</v>
          </cell>
          <cell r="T21">
            <v>17.8</v>
          </cell>
          <cell r="U21">
            <v>17.8</v>
          </cell>
          <cell r="V21">
            <v>17.8</v>
          </cell>
          <cell r="W21">
            <v>17.8</v>
          </cell>
          <cell r="X21">
            <v>17.8</v>
          </cell>
          <cell r="Y21">
            <v>17.8</v>
          </cell>
          <cell r="Z21">
            <v>17.8</v>
          </cell>
          <cell r="AA21">
            <v>17.8</v>
          </cell>
          <cell r="AB21">
            <v>17.8</v>
          </cell>
          <cell r="AC21">
            <v>17.8</v>
          </cell>
          <cell r="AD21">
            <v>17.8</v>
          </cell>
          <cell r="AE21">
            <v>17.8</v>
          </cell>
          <cell r="AF21">
            <v>17.8</v>
          </cell>
        </row>
        <row r="22">
          <cell r="B22">
            <v>20</v>
          </cell>
          <cell r="C22">
            <v>20</v>
          </cell>
          <cell r="D22">
            <v>20</v>
          </cell>
          <cell r="E22">
            <v>20</v>
          </cell>
          <cell r="F22">
            <v>20</v>
          </cell>
          <cell r="G22">
            <v>20</v>
          </cell>
          <cell r="H22">
            <v>20</v>
          </cell>
          <cell r="I22">
            <v>20</v>
          </cell>
          <cell r="J22">
            <v>20</v>
          </cell>
          <cell r="K22">
            <v>20</v>
          </cell>
          <cell r="L22">
            <v>20</v>
          </cell>
          <cell r="M22">
            <v>20</v>
          </cell>
          <cell r="N22">
            <v>20</v>
          </cell>
          <cell r="O22">
            <v>20</v>
          </cell>
          <cell r="P22">
            <v>20</v>
          </cell>
          <cell r="Q22">
            <v>20</v>
          </cell>
          <cell r="R22">
            <v>20</v>
          </cell>
          <cell r="S22">
            <v>20</v>
          </cell>
          <cell r="T22">
            <v>20</v>
          </cell>
          <cell r="U22">
            <v>20</v>
          </cell>
          <cell r="V22">
            <v>20</v>
          </cell>
          <cell r="W22">
            <v>20</v>
          </cell>
          <cell r="X22">
            <v>20</v>
          </cell>
          <cell r="Y22">
            <v>20</v>
          </cell>
          <cell r="Z22">
            <v>20</v>
          </cell>
          <cell r="AA22">
            <v>20</v>
          </cell>
          <cell r="AB22">
            <v>20</v>
          </cell>
          <cell r="AC22">
            <v>20</v>
          </cell>
          <cell r="AD22">
            <v>20</v>
          </cell>
          <cell r="AE22">
            <v>20</v>
          </cell>
          <cell r="AF22">
            <v>20</v>
          </cell>
        </row>
        <row r="23">
          <cell r="B23">
            <v>4.5</v>
          </cell>
          <cell r="C23">
            <v>4.5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5</v>
          </cell>
          <cell r="I23">
            <v>5</v>
          </cell>
          <cell r="J23">
            <v>5</v>
          </cell>
          <cell r="K23">
            <v>10</v>
          </cell>
          <cell r="L23">
            <v>13</v>
          </cell>
          <cell r="M23">
            <v>13</v>
          </cell>
          <cell r="N23">
            <v>13</v>
          </cell>
          <cell r="O23">
            <v>13</v>
          </cell>
          <cell r="P23">
            <v>13</v>
          </cell>
          <cell r="Q23">
            <v>13</v>
          </cell>
          <cell r="R23">
            <v>13</v>
          </cell>
          <cell r="S23">
            <v>8.3000000000000007</v>
          </cell>
          <cell r="T23">
            <v>8.3000000000000007</v>
          </cell>
          <cell r="U23">
            <v>8.3000000000000007</v>
          </cell>
          <cell r="V23">
            <v>21</v>
          </cell>
          <cell r="W23">
            <v>27</v>
          </cell>
          <cell r="X23">
            <v>27</v>
          </cell>
          <cell r="Y23">
            <v>27</v>
          </cell>
          <cell r="Z23">
            <v>27</v>
          </cell>
          <cell r="AA23">
            <v>27</v>
          </cell>
          <cell r="AB23">
            <v>27</v>
          </cell>
          <cell r="AC23">
            <v>18.3</v>
          </cell>
          <cell r="AD23">
            <v>18.3</v>
          </cell>
          <cell r="AE23">
            <v>18.3</v>
          </cell>
          <cell r="AF23">
            <v>11.8</v>
          </cell>
        </row>
        <row r="24">
          <cell r="B24">
            <v>20.5</v>
          </cell>
          <cell r="C24">
            <v>20.5</v>
          </cell>
          <cell r="D24">
            <v>20.5</v>
          </cell>
          <cell r="E24">
            <v>20.5</v>
          </cell>
          <cell r="F24">
            <v>20.5</v>
          </cell>
          <cell r="G24">
            <v>20.5</v>
          </cell>
          <cell r="H24">
            <v>20.5</v>
          </cell>
          <cell r="I24">
            <v>20.5</v>
          </cell>
          <cell r="J24">
            <v>20.5</v>
          </cell>
          <cell r="K24">
            <v>20.5</v>
          </cell>
          <cell r="L24">
            <v>20.5</v>
          </cell>
          <cell r="M24">
            <v>20.5</v>
          </cell>
          <cell r="N24">
            <v>20.5</v>
          </cell>
          <cell r="O24">
            <v>20.5</v>
          </cell>
          <cell r="P24">
            <v>20.5</v>
          </cell>
          <cell r="Q24">
            <v>20.5</v>
          </cell>
          <cell r="R24">
            <v>20.5</v>
          </cell>
          <cell r="S24">
            <v>20.5</v>
          </cell>
          <cell r="T24">
            <v>20.5</v>
          </cell>
          <cell r="U24">
            <v>20.5</v>
          </cell>
          <cell r="V24">
            <v>18.5</v>
          </cell>
          <cell r="W24">
            <v>18.5</v>
          </cell>
          <cell r="X24">
            <v>18.5</v>
          </cell>
          <cell r="Y24">
            <v>18.5</v>
          </cell>
          <cell r="Z24">
            <v>18.5</v>
          </cell>
          <cell r="AA24">
            <v>18.5</v>
          </cell>
          <cell r="AB24">
            <v>18.5</v>
          </cell>
          <cell r="AC24">
            <v>19.399999999999999</v>
          </cell>
          <cell r="AD24">
            <v>19.399999999999999</v>
          </cell>
          <cell r="AE24">
            <v>19.399999999999999</v>
          </cell>
          <cell r="AF24">
            <v>19.399999999999999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</row>
        <row r="26">
          <cell r="B26">
            <v>19</v>
          </cell>
          <cell r="C26">
            <v>19</v>
          </cell>
          <cell r="D26">
            <v>19</v>
          </cell>
          <cell r="E26">
            <v>19</v>
          </cell>
          <cell r="F26">
            <v>19</v>
          </cell>
          <cell r="G26">
            <v>19</v>
          </cell>
          <cell r="H26">
            <v>19</v>
          </cell>
          <cell r="I26">
            <v>19</v>
          </cell>
          <cell r="J26">
            <v>19</v>
          </cell>
          <cell r="K26">
            <v>19</v>
          </cell>
          <cell r="L26">
            <v>19</v>
          </cell>
          <cell r="M26">
            <v>19</v>
          </cell>
          <cell r="N26">
            <v>19</v>
          </cell>
          <cell r="O26">
            <v>19</v>
          </cell>
          <cell r="P26">
            <v>19</v>
          </cell>
          <cell r="Q26">
            <v>19</v>
          </cell>
          <cell r="R26">
            <v>19</v>
          </cell>
          <cell r="S26">
            <v>19</v>
          </cell>
          <cell r="T26">
            <v>19</v>
          </cell>
          <cell r="U26">
            <v>19</v>
          </cell>
          <cell r="V26">
            <v>19</v>
          </cell>
          <cell r="W26">
            <v>19</v>
          </cell>
          <cell r="X26">
            <v>19</v>
          </cell>
          <cell r="Y26">
            <v>19</v>
          </cell>
          <cell r="Z26">
            <v>19</v>
          </cell>
          <cell r="AA26">
            <v>19</v>
          </cell>
          <cell r="AB26">
            <v>19</v>
          </cell>
          <cell r="AC26">
            <v>19</v>
          </cell>
          <cell r="AD26">
            <v>19</v>
          </cell>
          <cell r="AE26">
            <v>19</v>
          </cell>
          <cell r="AF26">
            <v>19</v>
          </cell>
        </row>
        <row r="27">
          <cell r="B27">
            <v>4.5</v>
          </cell>
          <cell r="C27">
            <v>4.5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4</v>
          </cell>
          <cell r="I27">
            <v>4</v>
          </cell>
          <cell r="J27">
            <v>4</v>
          </cell>
          <cell r="K27">
            <v>10</v>
          </cell>
          <cell r="L27">
            <v>13</v>
          </cell>
          <cell r="M27">
            <v>13</v>
          </cell>
          <cell r="N27">
            <v>13</v>
          </cell>
          <cell r="O27">
            <v>13</v>
          </cell>
          <cell r="P27">
            <v>13</v>
          </cell>
          <cell r="Q27">
            <v>13</v>
          </cell>
          <cell r="R27">
            <v>13</v>
          </cell>
          <cell r="S27">
            <v>8.5</v>
          </cell>
          <cell r="T27">
            <v>8.5</v>
          </cell>
          <cell r="U27">
            <v>8.5</v>
          </cell>
          <cell r="V27">
            <v>20</v>
          </cell>
          <cell r="W27">
            <v>25</v>
          </cell>
          <cell r="X27">
            <v>25</v>
          </cell>
          <cell r="Y27">
            <v>25</v>
          </cell>
          <cell r="Z27">
            <v>25</v>
          </cell>
          <cell r="AA27">
            <v>25</v>
          </cell>
          <cell r="AB27">
            <v>25</v>
          </cell>
          <cell r="AC27">
            <v>20.5</v>
          </cell>
          <cell r="AD27">
            <v>20.5</v>
          </cell>
          <cell r="AE27">
            <v>20.5</v>
          </cell>
          <cell r="AF27">
            <v>13</v>
          </cell>
        </row>
        <row r="28">
          <cell r="B28">
            <v>16.899999999999999</v>
          </cell>
          <cell r="C28">
            <v>16.899999999999999</v>
          </cell>
          <cell r="D28">
            <v>16.899999999999999</v>
          </cell>
          <cell r="E28">
            <v>16.899999999999999</v>
          </cell>
          <cell r="F28">
            <v>16.899999999999999</v>
          </cell>
          <cell r="G28">
            <v>16.899999999999999</v>
          </cell>
          <cell r="H28">
            <v>16.899999999999999</v>
          </cell>
          <cell r="I28">
            <v>16.899999999999999</v>
          </cell>
          <cell r="J28">
            <v>16.899999999999999</v>
          </cell>
          <cell r="K28">
            <v>16.899999999999999</v>
          </cell>
          <cell r="L28">
            <v>16.899999999999999</v>
          </cell>
          <cell r="M28">
            <v>16.899999999999999</v>
          </cell>
          <cell r="N28">
            <v>16.899999999999999</v>
          </cell>
          <cell r="O28">
            <v>16.899999999999999</v>
          </cell>
          <cell r="P28">
            <v>16.899999999999999</v>
          </cell>
          <cell r="Q28">
            <v>16.899999999999999</v>
          </cell>
          <cell r="R28">
            <v>16.899999999999999</v>
          </cell>
          <cell r="S28">
            <v>16.899999999999999</v>
          </cell>
          <cell r="T28">
            <v>16.899999999999999</v>
          </cell>
          <cell r="U28">
            <v>16.899999999999999</v>
          </cell>
          <cell r="V28">
            <v>16.899999999999999</v>
          </cell>
          <cell r="W28">
            <v>16.899999999999999</v>
          </cell>
          <cell r="X28">
            <v>16.899999999999999</v>
          </cell>
          <cell r="Y28">
            <v>16.899999999999999</v>
          </cell>
          <cell r="Z28">
            <v>16.899999999999999</v>
          </cell>
          <cell r="AA28">
            <v>16.899999999999999</v>
          </cell>
          <cell r="AB28">
            <v>16.899999999999999</v>
          </cell>
          <cell r="AC28">
            <v>17.399999999999999</v>
          </cell>
          <cell r="AD28">
            <v>17.399999999999999</v>
          </cell>
          <cell r="AE28">
            <v>17.399999999999999</v>
          </cell>
          <cell r="AF28">
            <v>17.399999999999999</v>
          </cell>
        </row>
        <row r="29">
          <cell r="B29">
            <v>11</v>
          </cell>
          <cell r="C29">
            <v>11</v>
          </cell>
          <cell r="D29">
            <v>11</v>
          </cell>
          <cell r="E29">
            <v>11</v>
          </cell>
          <cell r="F29">
            <v>11</v>
          </cell>
          <cell r="G29">
            <v>11</v>
          </cell>
          <cell r="H29">
            <v>11</v>
          </cell>
          <cell r="I29">
            <v>11</v>
          </cell>
          <cell r="J29">
            <v>11</v>
          </cell>
          <cell r="K29">
            <v>11</v>
          </cell>
          <cell r="L29">
            <v>11</v>
          </cell>
          <cell r="M29">
            <v>11</v>
          </cell>
          <cell r="N29">
            <v>11</v>
          </cell>
          <cell r="O29">
            <v>11</v>
          </cell>
          <cell r="P29">
            <v>11</v>
          </cell>
          <cell r="Q29">
            <v>11</v>
          </cell>
          <cell r="R29">
            <v>11</v>
          </cell>
          <cell r="S29">
            <v>11</v>
          </cell>
          <cell r="T29">
            <v>11</v>
          </cell>
          <cell r="U29">
            <v>11</v>
          </cell>
          <cell r="V29">
            <v>11</v>
          </cell>
          <cell r="W29">
            <v>11</v>
          </cell>
          <cell r="X29">
            <v>11</v>
          </cell>
          <cell r="Y29">
            <v>11</v>
          </cell>
          <cell r="Z29">
            <v>11</v>
          </cell>
          <cell r="AA29">
            <v>11</v>
          </cell>
          <cell r="AB29">
            <v>11</v>
          </cell>
          <cell r="AC29">
            <v>11</v>
          </cell>
          <cell r="AD29">
            <v>11</v>
          </cell>
          <cell r="AE29">
            <v>11</v>
          </cell>
          <cell r="AF29">
            <v>11</v>
          </cell>
        </row>
        <row r="30">
          <cell r="B30">
            <v>15</v>
          </cell>
          <cell r="C30">
            <v>15</v>
          </cell>
          <cell r="D30">
            <v>15</v>
          </cell>
          <cell r="E30">
            <v>15</v>
          </cell>
          <cell r="F30">
            <v>15</v>
          </cell>
          <cell r="G30">
            <v>15</v>
          </cell>
          <cell r="H30">
            <v>15</v>
          </cell>
          <cell r="I30">
            <v>15</v>
          </cell>
          <cell r="J30">
            <v>15</v>
          </cell>
          <cell r="K30">
            <v>15</v>
          </cell>
          <cell r="L30">
            <v>15</v>
          </cell>
          <cell r="M30">
            <v>15</v>
          </cell>
          <cell r="N30">
            <v>15</v>
          </cell>
          <cell r="O30">
            <v>15</v>
          </cell>
          <cell r="P30">
            <v>15</v>
          </cell>
          <cell r="Q30">
            <v>15</v>
          </cell>
          <cell r="R30">
            <v>15</v>
          </cell>
          <cell r="S30">
            <v>15</v>
          </cell>
          <cell r="T30">
            <v>15</v>
          </cell>
          <cell r="U30">
            <v>15</v>
          </cell>
          <cell r="V30">
            <v>15</v>
          </cell>
          <cell r="W30">
            <v>15</v>
          </cell>
          <cell r="X30">
            <v>15</v>
          </cell>
          <cell r="Y30">
            <v>15</v>
          </cell>
          <cell r="Z30">
            <v>15</v>
          </cell>
          <cell r="AA30">
            <v>15</v>
          </cell>
          <cell r="AB30">
            <v>15</v>
          </cell>
          <cell r="AC30">
            <v>15</v>
          </cell>
          <cell r="AD30">
            <v>15</v>
          </cell>
          <cell r="AE30">
            <v>15</v>
          </cell>
          <cell r="AF30">
            <v>15</v>
          </cell>
        </row>
        <row r="31">
          <cell r="B31">
            <v>13</v>
          </cell>
          <cell r="C31">
            <v>13</v>
          </cell>
          <cell r="D31">
            <v>13</v>
          </cell>
          <cell r="E31">
            <v>13</v>
          </cell>
          <cell r="F31">
            <v>13</v>
          </cell>
          <cell r="G31">
            <v>13</v>
          </cell>
          <cell r="H31">
            <v>13</v>
          </cell>
          <cell r="I31">
            <v>13</v>
          </cell>
          <cell r="J31">
            <v>13</v>
          </cell>
          <cell r="K31">
            <v>13</v>
          </cell>
          <cell r="L31">
            <v>13</v>
          </cell>
          <cell r="M31">
            <v>13</v>
          </cell>
          <cell r="N31">
            <v>13</v>
          </cell>
          <cell r="O31">
            <v>13</v>
          </cell>
          <cell r="P31">
            <v>13</v>
          </cell>
          <cell r="Q31">
            <v>13</v>
          </cell>
          <cell r="R31">
            <v>13</v>
          </cell>
          <cell r="S31">
            <v>13</v>
          </cell>
          <cell r="T31">
            <v>13</v>
          </cell>
          <cell r="U31">
            <v>13</v>
          </cell>
          <cell r="V31">
            <v>13</v>
          </cell>
          <cell r="W31">
            <v>13</v>
          </cell>
          <cell r="X31">
            <v>13</v>
          </cell>
          <cell r="Y31">
            <v>13</v>
          </cell>
          <cell r="Z31">
            <v>13</v>
          </cell>
          <cell r="AA31">
            <v>13</v>
          </cell>
          <cell r="AB31">
            <v>13</v>
          </cell>
          <cell r="AC31">
            <v>13</v>
          </cell>
          <cell r="AD31">
            <v>13</v>
          </cell>
          <cell r="AE31">
            <v>13</v>
          </cell>
          <cell r="AF31">
            <v>13</v>
          </cell>
        </row>
        <row r="32">
          <cell r="B32">
            <v>14</v>
          </cell>
          <cell r="C32">
            <v>14</v>
          </cell>
          <cell r="D32">
            <v>14</v>
          </cell>
          <cell r="E32">
            <v>14</v>
          </cell>
          <cell r="F32">
            <v>14</v>
          </cell>
          <cell r="G32">
            <v>14</v>
          </cell>
          <cell r="H32">
            <v>14</v>
          </cell>
          <cell r="I32">
            <v>14</v>
          </cell>
          <cell r="J32">
            <v>14</v>
          </cell>
          <cell r="K32">
            <v>14</v>
          </cell>
          <cell r="L32">
            <v>14</v>
          </cell>
          <cell r="M32">
            <v>14</v>
          </cell>
          <cell r="N32">
            <v>14</v>
          </cell>
          <cell r="O32">
            <v>14</v>
          </cell>
          <cell r="P32">
            <v>14</v>
          </cell>
          <cell r="Q32">
            <v>14</v>
          </cell>
          <cell r="R32">
            <v>14</v>
          </cell>
          <cell r="S32">
            <v>14</v>
          </cell>
          <cell r="T32">
            <v>14</v>
          </cell>
          <cell r="U32">
            <v>14</v>
          </cell>
          <cell r="V32">
            <v>14</v>
          </cell>
          <cell r="W32">
            <v>14</v>
          </cell>
          <cell r="X32">
            <v>14</v>
          </cell>
          <cell r="Y32">
            <v>14</v>
          </cell>
          <cell r="Z32">
            <v>14</v>
          </cell>
          <cell r="AA32">
            <v>14</v>
          </cell>
          <cell r="AB32">
            <v>14</v>
          </cell>
          <cell r="AC32">
            <v>14</v>
          </cell>
          <cell r="AD32">
            <v>14</v>
          </cell>
          <cell r="AE32">
            <v>14</v>
          </cell>
          <cell r="AF32">
            <v>14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5</v>
          </cell>
          <cell r="I33">
            <v>5</v>
          </cell>
          <cell r="J33">
            <v>5</v>
          </cell>
          <cell r="K33">
            <v>5</v>
          </cell>
          <cell r="L33">
            <v>10</v>
          </cell>
          <cell r="M33">
            <v>10</v>
          </cell>
          <cell r="N33">
            <v>10</v>
          </cell>
          <cell r="O33">
            <v>10</v>
          </cell>
          <cell r="P33">
            <v>10</v>
          </cell>
          <cell r="Q33">
            <v>10</v>
          </cell>
          <cell r="R33">
            <v>10</v>
          </cell>
          <cell r="S33">
            <v>6</v>
          </cell>
          <cell r="T33">
            <v>6</v>
          </cell>
          <cell r="U33">
            <v>6</v>
          </cell>
          <cell r="V33">
            <v>6</v>
          </cell>
          <cell r="W33">
            <v>10</v>
          </cell>
          <cell r="X33">
            <v>10</v>
          </cell>
          <cell r="Y33">
            <v>10</v>
          </cell>
          <cell r="Z33">
            <v>12</v>
          </cell>
          <cell r="AA33">
            <v>12</v>
          </cell>
          <cell r="AB33">
            <v>12</v>
          </cell>
          <cell r="AC33">
            <v>12</v>
          </cell>
          <cell r="AD33">
            <v>10</v>
          </cell>
          <cell r="AE33">
            <v>10</v>
          </cell>
          <cell r="AF33">
            <v>10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4</v>
          </cell>
          <cell r="I34">
            <v>4</v>
          </cell>
          <cell r="J34">
            <v>4</v>
          </cell>
          <cell r="K34">
            <v>4</v>
          </cell>
          <cell r="L34">
            <v>9</v>
          </cell>
          <cell r="M34">
            <v>9</v>
          </cell>
          <cell r="N34">
            <v>9</v>
          </cell>
          <cell r="O34">
            <v>9</v>
          </cell>
          <cell r="P34">
            <v>9</v>
          </cell>
          <cell r="Q34">
            <v>9</v>
          </cell>
          <cell r="R34">
            <v>9</v>
          </cell>
          <cell r="S34">
            <v>6</v>
          </cell>
          <cell r="T34">
            <v>6</v>
          </cell>
          <cell r="U34">
            <v>6</v>
          </cell>
          <cell r="V34">
            <v>6</v>
          </cell>
          <cell r="W34">
            <v>9</v>
          </cell>
          <cell r="X34">
            <v>9</v>
          </cell>
          <cell r="Y34">
            <v>9</v>
          </cell>
          <cell r="Z34">
            <v>9</v>
          </cell>
          <cell r="AA34">
            <v>9</v>
          </cell>
          <cell r="AB34">
            <v>9</v>
          </cell>
          <cell r="AC34">
            <v>9</v>
          </cell>
          <cell r="AD34">
            <v>5</v>
          </cell>
          <cell r="AE34">
            <v>5</v>
          </cell>
          <cell r="AF34">
            <v>5</v>
          </cell>
        </row>
        <row r="35">
          <cell r="B35">
            <v>12</v>
          </cell>
          <cell r="C35">
            <v>12</v>
          </cell>
          <cell r="D35">
            <v>12</v>
          </cell>
          <cell r="E35">
            <v>12</v>
          </cell>
          <cell r="F35">
            <v>12</v>
          </cell>
          <cell r="G35">
            <v>12</v>
          </cell>
          <cell r="H35">
            <v>12</v>
          </cell>
          <cell r="I35">
            <v>12</v>
          </cell>
          <cell r="J35">
            <v>12</v>
          </cell>
          <cell r="K35">
            <v>12</v>
          </cell>
          <cell r="L35">
            <v>12</v>
          </cell>
          <cell r="M35">
            <v>12</v>
          </cell>
          <cell r="N35">
            <v>12</v>
          </cell>
          <cell r="O35">
            <v>12</v>
          </cell>
          <cell r="P35">
            <v>12</v>
          </cell>
          <cell r="Q35">
            <v>12</v>
          </cell>
          <cell r="R35">
            <v>12</v>
          </cell>
          <cell r="S35">
            <v>12</v>
          </cell>
          <cell r="T35">
            <v>12</v>
          </cell>
          <cell r="U35">
            <v>12</v>
          </cell>
          <cell r="V35">
            <v>12</v>
          </cell>
          <cell r="W35">
            <v>12</v>
          </cell>
          <cell r="X35">
            <v>12</v>
          </cell>
          <cell r="Y35">
            <v>12</v>
          </cell>
          <cell r="Z35">
            <v>12</v>
          </cell>
          <cell r="AA35">
            <v>12</v>
          </cell>
          <cell r="AB35">
            <v>12</v>
          </cell>
          <cell r="AC35">
            <v>12</v>
          </cell>
          <cell r="AD35">
            <v>12</v>
          </cell>
          <cell r="AE35">
            <v>12</v>
          </cell>
          <cell r="AF35">
            <v>12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</row>
        <row r="37">
          <cell r="B37">
            <v>6.5</v>
          </cell>
          <cell r="C37">
            <v>6.5</v>
          </cell>
          <cell r="D37">
            <v>6.5</v>
          </cell>
          <cell r="E37">
            <v>6.5</v>
          </cell>
          <cell r="F37">
            <v>6.5</v>
          </cell>
          <cell r="G37">
            <v>6.5</v>
          </cell>
          <cell r="H37">
            <v>6.5</v>
          </cell>
          <cell r="I37">
            <v>6.5</v>
          </cell>
          <cell r="J37">
            <v>6.5</v>
          </cell>
          <cell r="K37">
            <v>6.5</v>
          </cell>
          <cell r="L37">
            <v>6.5</v>
          </cell>
          <cell r="M37">
            <v>6.5</v>
          </cell>
          <cell r="N37">
            <v>6.5</v>
          </cell>
          <cell r="O37">
            <v>6.5</v>
          </cell>
          <cell r="P37">
            <v>6.5</v>
          </cell>
          <cell r="Q37">
            <v>6.5</v>
          </cell>
          <cell r="R37">
            <v>6.5</v>
          </cell>
          <cell r="S37">
            <v>6.5</v>
          </cell>
          <cell r="T37">
            <v>6.5</v>
          </cell>
          <cell r="U37">
            <v>6.5</v>
          </cell>
          <cell r="V37">
            <v>6.5</v>
          </cell>
          <cell r="W37">
            <v>6.5</v>
          </cell>
          <cell r="X37">
            <v>6.5</v>
          </cell>
          <cell r="Y37">
            <v>6.5</v>
          </cell>
          <cell r="Z37">
            <v>6.5</v>
          </cell>
          <cell r="AA37">
            <v>6.5</v>
          </cell>
          <cell r="AB37">
            <v>6.5</v>
          </cell>
          <cell r="AC37">
            <v>6.5</v>
          </cell>
          <cell r="AD37">
            <v>6.5</v>
          </cell>
          <cell r="AE37">
            <v>6.5</v>
          </cell>
          <cell r="AF37">
            <v>6.5</v>
          </cell>
        </row>
        <row r="38">
          <cell r="B38">
            <v>5</v>
          </cell>
          <cell r="C38">
            <v>5</v>
          </cell>
          <cell r="D38">
            <v>5</v>
          </cell>
          <cell r="E38">
            <v>5</v>
          </cell>
          <cell r="F38">
            <v>5</v>
          </cell>
          <cell r="G38">
            <v>5</v>
          </cell>
          <cell r="H38">
            <v>5</v>
          </cell>
          <cell r="I38">
            <v>5</v>
          </cell>
          <cell r="J38">
            <v>5</v>
          </cell>
          <cell r="K38">
            <v>5</v>
          </cell>
          <cell r="L38">
            <v>5</v>
          </cell>
          <cell r="M38">
            <v>5</v>
          </cell>
          <cell r="N38">
            <v>5</v>
          </cell>
          <cell r="O38">
            <v>5</v>
          </cell>
          <cell r="P38">
            <v>5</v>
          </cell>
          <cell r="Q38">
            <v>5</v>
          </cell>
          <cell r="R38">
            <v>5</v>
          </cell>
          <cell r="S38">
            <v>5</v>
          </cell>
          <cell r="T38">
            <v>5</v>
          </cell>
          <cell r="U38">
            <v>5</v>
          </cell>
          <cell r="V38">
            <v>5</v>
          </cell>
          <cell r="W38">
            <v>5</v>
          </cell>
          <cell r="X38">
            <v>5</v>
          </cell>
          <cell r="Y38">
            <v>5</v>
          </cell>
          <cell r="Z38">
            <v>5</v>
          </cell>
          <cell r="AA38">
            <v>5</v>
          </cell>
          <cell r="AB38">
            <v>5</v>
          </cell>
          <cell r="AC38">
            <v>5</v>
          </cell>
          <cell r="AD38">
            <v>5</v>
          </cell>
          <cell r="AE38">
            <v>5</v>
          </cell>
          <cell r="AF38">
            <v>5</v>
          </cell>
        </row>
        <row r="39">
          <cell r="B39">
            <v>2</v>
          </cell>
          <cell r="C39">
            <v>2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2</v>
          </cell>
          <cell r="I39">
            <v>2</v>
          </cell>
          <cell r="J39">
            <v>2</v>
          </cell>
          <cell r="K39">
            <v>5</v>
          </cell>
          <cell r="L39">
            <v>6</v>
          </cell>
          <cell r="M39">
            <v>6</v>
          </cell>
          <cell r="N39">
            <v>6</v>
          </cell>
          <cell r="O39">
            <v>6</v>
          </cell>
          <cell r="P39">
            <v>6</v>
          </cell>
          <cell r="Q39">
            <v>6</v>
          </cell>
          <cell r="R39">
            <v>6</v>
          </cell>
          <cell r="S39">
            <v>4</v>
          </cell>
          <cell r="T39">
            <v>4</v>
          </cell>
          <cell r="U39">
            <v>4</v>
          </cell>
          <cell r="V39">
            <v>9.6</v>
          </cell>
          <cell r="W39">
            <v>12</v>
          </cell>
          <cell r="X39">
            <v>12</v>
          </cell>
          <cell r="Y39">
            <v>12</v>
          </cell>
          <cell r="Z39">
            <v>12</v>
          </cell>
          <cell r="AA39">
            <v>12</v>
          </cell>
          <cell r="AB39">
            <v>10</v>
          </cell>
          <cell r="AC39">
            <v>10</v>
          </cell>
          <cell r="AD39">
            <v>10</v>
          </cell>
          <cell r="AE39">
            <v>10</v>
          </cell>
          <cell r="AF39">
            <v>6</v>
          </cell>
        </row>
        <row r="40">
          <cell r="B40">
            <v>12</v>
          </cell>
          <cell r="C40">
            <v>12</v>
          </cell>
          <cell r="D40">
            <v>12</v>
          </cell>
          <cell r="E40">
            <v>12</v>
          </cell>
          <cell r="F40">
            <v>12</v>
          </cell>
          <cell r="G40">
            <v>12</v>
          </cell>
          <cell r="H40">
            <v>12</v>
          </cell>
          <cell r="I40">
            <v>12</v>
          </cell>
          <cell r="J40">
            <v>12</v>
          </cell>
          <cell r="K40">
            <v>12</v>
          </cell>
          <cell r="L40">
            <v>12</v>
          </cell>
          <cell r="M40">
            <v>12</v>
          </cell>
          <cell r="N40">
            <v>12</v>
          </cell>
          <cell r="O40">
            <v>12</v>
          </cell>
          <cell r="P40">
            <v>12</v>
          </cell>
          <cell r="Q40">
            <v>12</v>
          </cell>
          <cell r="R40">
            <v>12</v>
          </cell>
          <cell r="S40">
            <v>12</v>
          </cell>
          <cell r="T40">
            <v>12</v>
          </cell>
          <cell r="U40">
            <v>12</v>
          </cell>
          <cell r="V40">
            <v>12</v>
          </cell>
          <cell r="W40">
            <v>12</v>
          </cell>
          <cell r="X40">
            <v>12</v>
          </cell>
          <cell r="Y40">
            <v>12</v>
          </cell>
          <cell r="Z40">
            <v>12</v>
          </cell>
          <cell r="AA40">
            <v>12</v>
          </cell>
          <cell r="AB40">
            <v>12</v>
          </cell>
          <cell r="AC40">
            <v>12</v>
          </cell>
          <cell r="AD40">
            <v>12</v>
          </cell>
          <cell r="AE40">
            <v>12</v>
          </cell>
          <cell r="AF40">
            <v>12</v>
          </cell>
        </row>
        <row r="41">
          <cell r="B41">
            <v>6.9</v>
          </cell>
          <cell r="C41">
            <v>6.9</v>
          </cell>
          <cell r="D41">
            <v>6.9</v>
          </cell>
          <cell r="E41">
            <v>6.9</v>
          </cell>
          <cell r="F41">
            <v>6.9</v>
          </cell>
          <cell r="G41">
            <v>6.9</v>
          </cell>
          <cell r="H41">
            <v>6.9</v>
          </cell>
          <cell r="I41">
            <v>6.9</v>
          </cell>
          <cell r="J41">
            <v>6.9</v>
          </cell>
          <cell r="K41">
            <v>6.9</v>
          </cell>
          <cell r="L41">
            <v>6.9</v>
          </cell>
          <cell r="M41">
            <v>6.9</v>
          </cell>
          <cell r="N41">
            <v>6.9</v>
          </cell>
          <cell r="O41">
            <v>6.9</v>
          </cell>
          <cell r="P41">
            <v>6.9</v>
          </cell>
          <cell r="Q41">
            <v>6.9</v>
          </cell>
          <cell r="R41">
            <v>6.9</v>
          </cell>
          <cell r="S41">
            <v>6.9</v>
          </cell>
          <cell r="T41">
            <v>6.9</v>
          </cell>
          <cell r="U41">
            <v>6.9</v>
          </cell>
          <cell r="V41">
            <v>6.9</v>
          </cell>
          <cell r="W41">
            <v>6.9</v>
          </cell>
          <cell r="X41">
            <v>6.9</v>
          </cell>
          <cell r="Y41">
            <v>6.9</v>
          </cell>
          <cell r="Z41">
            <v>6.9</v>
          </cell>
          <cell r="AA41">
            <v>6.9</v>
          </cell>
          <cell r="AB41">
            <v>6.9</v>
          </cell>
          <cell r="AC41">
            <v>6.9</v>
          </cell>
          <cell r="AD41">
            <v>6.9</v>
          </cell>
          <cell r="AE41">
            <v>6.9</v>
          </cell>
          <cell r="AF41">
            <v>6.9</v>
          </cell>
        </row>
        <row r="42">
          <cell r="B42">
            <v>8</v>
          </cell>
          <cell r="C42">
            <v>8</v>
          </cell>
          <cell r="D42">
            <v>8</v>
          </cell>
          <cell r="E42">
            <v>8</v>
          </cell>
          <cell r="F42">
            <v>8</v>
          </cell>
          <cell r="G42">
            <v>8</v>
          </cell>
          <cell r="H42">
            <v>8</v>
          </cell>
          <cell r="I42">
            <v>8</v>
          </cell>
          <cell r="J42">
            <v>8</v>
          </cell>
          <cell r="K42">
            <v>8</v>
          </cell>
          <cell r="L42">
            <v>8</v>
          </cell>
          <cell r="M42">
            <v>8</v>
          </cell>
          <cell r="N42">
            <v>8</v>
          </cell>
          <cell r="O42">
            <v>8</v>
          </cell>
          <cell r="P42">
            <v>8</v>
          </cell>
          <cell r="Q42">
            <v>8</v>
          </cell>
          <cell r="R42">
            <v>8</v>
          </cell>
          <cell r="S42">
            <v>8</v>
          </cell>
          <cell r="T42">
            <v>8</v>
          </cell>
          <cell r="U42">
            <v>8</v>
          </cell>
          <cell r="V42">
            <v>8</v>
          </cell>
          <cell r="W42">
            <v>8</v>
          </cell>
          <cell r="X42">
            <v>8</v>
          </cell>
          <cell r="Y42">
            <v>8</v>
          </cell>
          <cell r="Z42">
            <v>8</v>
          </cell>
          <cell r="AA42">
            <v>8</v>
          </cell>
          <cell r="AB42">
            <v>8</v>
          </cell>
          <cell r="AC42">
            <v>8</v>
          </cell>
          <cell r="AD42">
            <v>8</v>
          </cell>
          <cell r="AE42">
            <v>8</v>
          </cell>
          <cell r="AF42">
            <v>8</v>
          </cell>
        </row>
        <row r="43">
          <cell r="B43">
            <v>8</v>
          </cell>
          <cell r="C43">
            <v>8</v>
          </cell>
          <cell r="D43">
            <v>8</v>
          </cell>
          <cell r="E43">
            <v>8</v>
          </cell>
          <cell r="F43">
            <v>8</v>
          </cell>
          <cell r="G43">
            <v>8</v>
          </cell>
          <cell r="H43">
            <v>8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</row>
        <row r="44">
          <cell r="B44">
            <v>11</v>
          </cell>
          <cell r="C44">
            <v>11</v>
          </cell>
          <cell r="D44">
            <v>11</v>
          </cell>
          <cell r="E44">
            <v>11</v>
          </cell>
          <cell r="F44">
            <v>11</v>
          </cell>
          <cell r="G44">
            <v>11</v>
          </cell>
          <cell r="H44">
            <v>11</v>
          </cell>
          <cell r="I44">
            <v>11</v>
          </cell>
          <cell r="J44">
            <v>11</v>
          </cell>
          <cell r="K44">
            <v>11</v>
          </cell>
          <cell r="L44">
            <v>11</v>
          </cell>
          <cell r="M44">
            <v>11</v>
          </cell>
          <cell r="N44">
            <v>11</v>
          </cell>
          <cell r="O44">
            <v>11</v>
          </cell>
          <cell r="P44">
            <v>11</v>
          </cell>
          <cell r="Q44">
            <v>11</v>
          </cell>
          <cell r="R44">
            <v>11</v>
          </cell>
          <cell r="S44">
            <v>11</v>
          </cell>
          <cell r="T44">
            <v>11</v>
          </cell>
          <cell r="U44">
            <v>11</v>
          </cell>
          <cell r="V44">
            <v>11</v>
          </cell>
          <cell r="W44">
            <v>11</v>
          </cell>
          <cell r="X44">
            <v>11</v>
          </cell>
          <cell r="Y44">
            <v>11</v>
          </cell>
          <cell r="Z44">
            <v>11</v>
          </cell>
          <cell r="AA44">
            <v>11</v>
          </cell>
          <cell r="AB44">
            <v>11</v>
          </cell>
          <cell r="AC44">
            <v>11</v>
          </cell>
          <cell r="AD44">
            <v>11</v>
          </cell>
          <cell r="AE44">
            <v>11</v>
          </cell>
          <cell r="AF44">
            <v>11</v>
          </cell>
        </row>
        <row r="45">
          <cell r="B45">
            <v>8</v>
          </cell>
          <cell r="C45">
            <v>8</v>
          </cell>
          <cell r="D45">
            <v>8</v>
          </cell>
          <cell r="E45">
            <v>8</v>
          </cell>
          <cell r="F45">
            <v>8</v>
          </cell>
          <cell r="G45">
            <v>8</v>
          </cell>
          <cell r="H45">
            <v>8</v>
          </cell>
          <cell r="I45">
            <v>8</v>
          </cell>
          <cell r="J45">
            <v>8</v>
          </cell>
          <cell r="K45">
            <v>8</v>
          </cell>
          <cell r="L45">
            <v>8</v>
          </cell>
          <cell r="M45">
            <v>8</v>
          </cell>
          <cell r="N45">
            <v>8</v>
          </cell>
          <cell r="O45">
            <v>8</v>
          </cell>
          <cell r="P45">
            <v>8</v>
          </cell>
          <cell r="Q45">
            <v>8</v>
          </cell>
          <cell r="R45">
            <v>8</v>
          </cell>
          <cell r="S45">
            <v>8</v>
          </cell>
          <cell r="T45">
            <v>8</v>
          </cell>
          <cell r="U45">
            <v>8</v>
          </cell>
          <cell r="V45">
            <v>8</v>
          </cell>
          <cell r="W45">
            <v>8</v>
          </cell>
          <cell r="X45">
            <v>8</v>
          </cell>
          <cell r="Y45">
            <v>8</v>
          </cell>
          <cell r="Z45">
            <v>8</v>
          </cell>
          <cell r="AA45">
            <v>8</v>
          </cell>
          <cell r="AB45">
            <v>8</v>
          </cell>
          <cell r="AC45">
            <v>8</v>
          </cell>
          <cell r="AD45">
            <v>8</v>
          </cell>
          <cell r="AE45">
            <v>8</v>
          </cell>
          <cell r="AF45">
            <v>8</v>
          </cell>
        </row>
        <row r="46">
          <cell r="B46">
            <v>10</v>
          </cell>
          <cell r="C46">
            <v>10</v>
          </cell>
          <cell r="D46">
            <v>10</v>
          </cell>
          <cell r="E46">
            <v>10</v>
          </cell>
          <cell r="F46">
            <v>10</v>
          </cell>
          <cell r="G46">
            <v>10</v>
          </cell>
          <cell r="H46">
            <v>10</v>
          </cell>
          <cell r="I46">
            <v>10</v>
          </cell>
          <cell r="J46">
            <v>10</v>
          </cell>
          <cell r="K46">
            <v>10</v>
          </cell>
          <cell r="L46">
            <v>10</v>
          </cell>
          <cell r="M46">
            <v>10</v>
          </cell>
          <cell r="N46">
            <v>10</v>
          </cell>
          <cell r="O46">
            <v>10</v>
          </cell>
          <cell r="P46">
            <v>10</v>
          </cell>
          <cell r="Q46">
            <v>10</v>
          </cell>
          <cell r="R46">
            <v>10</v>
          </cell>
          <cell r="S46">
            <v>10</v>
          </cell>
          <cell r="T46">
            <v>10</v>
          </cell>
          <cell r="U46">
            <v>10</v>
          </cell>
          <cell r="V46">
            <v>10</v>
          </cell>
          <cell r="W46">
            <v>10</v>
          </cell>
          <cell r="X46">
            <v>10</v>
          </cell>
          <cell r="Y46">
            <v>10</v>
          </cell>
          <cell r="Z46">
            <v>10</v>
          </cell>
          <cell r="AA46">
            <v>10</v>
          </cell>
          <cell r="AB46">
            <v>10</v>
          </cell>
          <cell r="AC46">
            <v>10</v>
          </cell>
          <cell r="AD46">
            <v>10</v>
          </cell>
          <cell r="AE46">
            <v>10</v>
          </cell>
          <cell r="AF46">
            <v>10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</row>
        <row r="48">
          <cell r="B48">
            <v>360</v>
          </cell>
        </row>
        <row r="49">
          <cell r="B49">
            <v>65.599999999999994</v>
          </cell>
        </row>
        <row r="56">
          <cell r="B56">
            <v>70.8</v>
          </cell>
        </row>
        <row r="57">
          <cell r="B57">
            <v>69.599999999999994</v>
          </cell>
          <cell r="C57">
            <v>69.599999999999994</v>
          </cell>
          <cell r="D57">
            <v>69.599999999999994</v>
          </cell>
          <cell r="E57">
            <v>60</v>
          </cell>
          <cell r="F57">
            <v>60</v>
          </cell>
          <cell r="G57">
            <v>60</v>
          </cell>
          <cell r="H57">
            <v>55</v>
          </cell>
          <cell r="I57">
            <v>69</v>
          </cell>
          <cell r="J57">
            <v>69</v>
          </cell>
          <cell r="K57">
            <v>69</v>
          </cell>
          <cell r="L57">
            <v>69</v>
          </cell>
          <cell r="M57">
            <v>50.3</v>
          </cell>
          <cell r="N57">
            <v>70</v>
          </cell>
          <cell r="O57">
            <v>70</v>
          </cell>
          <cell r="P57">
            <v>52</v>
          </cell>
          <cell r="Q57">
            <v>52.3</v>
          </cell>
          <cell r="R57">
            <v>41.2</v>
          </cell>
          <cell r="S57">
            <v>45.5</v>
          </cell>
          <cell r="T57">
            <v>45.3</v>
          </cell>
          <cell r="U57">
            <v>52.3</v>
          </cell>
          <cell r="V57">
            <v>64.3</v>
          </cell>
          <cell r="W57">
            <v>69.2</v>
          </cell>
          <cell r="X57">
            <v>68.5</v>
          </cell>
          <cell r="Y57">
            <v>68.5</v>
          </cell>
          <cell r="Z57">
            <v>68.5</v>
          </cell>
          <cell r="AA57">
            <v>68.5</v>
          </cell>
          <cell r="AB57">
            <v>68.5</v>
          </cell>
          <cell r="AC57">
            <v>68.5</v>
          </cell>
          <cell r="AD57">
            <v>68.5</v>
          </cell>
          <cell r="AE57">
            <v>70.5</v>
          </cell>
          <cell r="AF57">
            <v>69.7</v>
          </cell>
        </row>
        <row r="58">
          <cell r="B58">
            <v>60.4</v>
          </cell>
          <cell r="C58">
            <v>60.4</v>
          </cell>
          <cell r="D58">
            <v>60.4</v>
          </cell>
          <cell r="E58">
            <v>50</v>
          </cell>
          <cell r="F58">
            <v>50</v>
          </cell>
          <cell r="G58">
            <v>50</v>
          </cell>
          <cell r="H58">
            <v>50</v>
          </cell>
          <cell r="I58">
            <v>61.4</v>
          </cell>
          <cell r="J58">
            <v>61.4</v>
          </cell>
          <cell r="K58">
            <v>61.4</v>
          </cell>
          <cell r="L58">
            <v>61.4</v>
          </cell>
          <cell r="M58">
            <v>30.5</v>
          </cell>
          <cell r="N58">
            <v>30.2</v>
          </cell>
          <cell r="O58">
            <v>30.2</v>
          </cell>
          <cell r="P58">
            <v>30.2</v>
          </cell>
          <cell r="Q58">
            <v>30.2</v>
          </cell>
          <cell r="R58">
            <v>30.2</v>
          </cell>
          <cell r="S58">
            <v>30.2</v>
          </cell>
          <cell r="T58">
            <v>30.7</v>
          </cell>
          <cell r="U58">
            <v>30.7</v>
          </cell>
          <cell r="V58">
            <v>30.7</v>
          </cell>
          <cell r="W58">
            <v>30.7</v>
          </cell>
          <cell r="X58">
            <v>30.7</v>
          </cell>
          <cell r="Y58">
            <v>30.7</v>
          </cell>
          <cell r="Z58">
            <v>30.7</v>
          </cell>
          <cell r="AA58">
            <v>30.7</v>
          </cell>
          <cell r="AB58">
            <v>30.7</v>
          </cell>
          <cell r="AC58">
            <v>30.7</v>
          </cell>
          <cell r="AD58">
            <v>30.7</v>
          </cell>
          <cell r="AE58">
            <v>30.7</v>
          </cell>
          <cell r="AF58">
            <v>30.7</v>
          </cell>
        </row>
        <row r="59">
          <cell r="I59">
            <v>15</v>
          </cell>
          <cell r="J59">
            <v>15</v>
          </cell>
          <cell r="K59">
            <v>15</v>
          </cell>
          <cell r="L59">
            <v>15</v>
          </cell>
          <cell r="M59">
            <v>15</v>
          </cell>
          <cell r="N59">
            <v>15</v>
          </cell>
          <cell r="O59">
            <v>15</v>
          </cell>
          <cell r="P59">
            <v>15</v>
          </cell>
          <cell r="Q59">
            <v>15</v>
          </cell>
          <cell r="R59">
            <v>15</v>
          </cell>
          <cell r="S59">
            <v>10</v>
          </cell>
          <cell r="T59">
            <v>13</v>
          </cell>
          <cell r="U59">
            <v>13</v>
          </cell>
          <cell r="V59">
            <v>15</v>
          </cell>
          <cell r="W59">
            <v>15</v>
          </cell>
          <cell r="X59">
            <v>23</v>
          </cell>
          <cell r="Y59">
            <v>23</v>
          </cell>
          <cell r="Z59">
            <v>23</v>
          </cell>
          <cell r="AA59">
            <v>15</v>
          </cell>
          <cell r="AB59">
            <v>15</v>
          </cell>
          <cell r="AC59">
            <v>15</v>
          </cell>
          <cell r="AD59">
            <v>15</v>
          </cell>
          <cell r="AE59">
            <v>10</v>
          </cell>
          <cell r="AF59">
            <v>10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10</v>
          </cell>
          <cell r="T60">
            <v>5</v>
          </cell>
          <cell r="U60">
            <v>1.5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</row>
        <row r="61">
          <cell r="B61">
            <v>16</v>
          </cell>
          <cell r="C61">
            <v>16</v>
          </cell>
          <cell r="D61">
            <v>16</v>
          </cell>
          <cell r="E61">
            <v>16</v>
          </cell>
          <cell r="F61">
            <v>16</v>
          </cell>
          <cell r="G61">
            <v>16</v>
          </cell>
          <cell r="H61">
            <v>16</v>
          </cell>
          <cell r="I61">
            <v>16</v>
          </cell>
          <cell r="J61">
            <v>16</v>
          </cell>
          <cell r="K61">
            <v>16</v>
          </cell>
          <cell r="L61">
            <v>16</v>
          </cell>
          <cell r="M61">
            <v>16</v>
          </cell>
          <cell r="N61">
            <v>16</v>
          </cell>
          <cell r="O61">
            <v>16</v>
          </cell>
          <cell r="P61">
            <v>16</v>
          </cell>
          <cell r="Q61">
            <v>16</v>
          </cell>
          <cell r="R61">
            <v>16</v>
          </cell>
          <cell r="S61">
            <v>16</v>
          </cell>
          <cell r="T61">
            <v>16</v>
          </cell>
          <cell r="U61">
            <v>16</v>
          </cell>
          <cell r="V61">
            <v>16</v>
          </cell>
          <cell r="W61">
            <v>16</v>
          </cell>
          <cell r="X61">
            <v>16</v>
          </cell>
          <cell r="Y61">
            <v>16</v>
          </cell>
          <cell r="Z61">
            <v>16</v>
          </cell>
          <cell r="AA61">
            <v>16</v>
          </cell>
          <cell r="AB61">
            <v>16</v>
          </cell>
          <cell r="AC61">
            <v>16</v>
          </cell>
          <cell r="AD61">
            <v>16</v>
          </cell>
          <cell r="AE61">
            <v>16</v>
          </cell>
          <cell r="AF61">
            <v>16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B63">
            <v>12</v>
          </cell>
          <cell r="C63">
            <v>12</v>
          </cell>
          <cell r="D63">
            <v>12</v>
          </cell>
          <cell r="E63">
            <v>12</v>
          </cell>
          <cell r="F63">
            <v>12</v>
          </cell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12</v>
          </cell>
          <cell r="O63">
            <v>12</v>
          </cell>
          <cell r="P63">
            <v>12</v>
          </cell>
          <cell r="Q63">
            <v>12</v>
          </cell>
          <cell r="R63">
            <v>12</v>
          </cell>
          <cell r="S63">
            <v>12</v>
          </cell>
          <cell r="T63">
            <v>12</v>
          </cell>
          <cell r="U63">
            <v>12</v>
          </cell>
          <cell r="V63">
            <v>12</v>
          </cell>
          <cell r="W63">
            <v>12</v>
          </cell>
          <cell r="X63">
            <v>12</v>
          </cell>
          <cell r="Y63">
            <v>12</v>
          </cell>
          <cell r="Z63">
            <v>12</v>
          </cell>
          <cell r="AA63">
            <v>12</v>
          </cell>
          <cell r="AB63">
            <v>12</v>
          </cell>
          <cell r="AC63">
            <v>12</v>
          </cell>
          <cell r="AD63">
            <v>12</v>
          </cell>
          <cell r="AE63">
            <v>12</v>
          </cell>
          <cell r="AF63">
            <v>12</v>
          </cell>
        </row>
        <row r="64">
          <cell r="B64">
            <v>13.2</v>
          </cell>
          <cell r="C64">
            <v>13.2</v>
          </cell>
          <cell r="D64">
            <v>13.2</v>
          </cell>
          <cell r="E64">
            <v>13.2</v>
          </cell>
          <cell r="F64">
            <v>13.2</v>
          </cell>
          <cell r="G64">
            <v>13.2</v>
          </cell>
          <cell r="H64">
            <v>13.2</v>
          </cell>
          <cell r="I64">
            <v>13.2</v>
          </cell>
          <cell r="J64">
            <v>13.2</v>
          </cell>
          <cell r="K64">
            <v>13.2</v>
          </cell>
          <cell r="L64">
            <v>13.2</v>
          </cell>
          <cell r="M64">
            <v>13.2</v>
          </cell>
          <cell r="N64">
            <v>13.2</v>
          </cell>
          <cell r="O64">
            <v>13.2</v>
          </cell>
          <cell r="P64">
            <v>13.2</v>
          </cell>
          <cell r="Q64">
            <v>13.2</v>
          </cell>
          <cell r="R64">
            <v>13.2</v>
          </cell>
          <cell r="S64">
            <v>7.6</v>
          </cell>
          <cell r="T64">
            <v>7.6</v>
          </cell>
          <cell r="U64">
            <v>7.6</v>
          </cell>
          <cell r="V64">
            <v>8.3000000000000007</v>
          </cell>
          <cell r="W64">
            <v>8.3000000000000007</v>
          </cell>
          <cell r="X64">
            <v>8.3000000000000007</v>
          </cell>
          <cell r="Y64">
            <v>8.3000000000000007</v>
          </cell>
          <cell r="Z64">
            <v>8.3000000000000007</v>
          </cell>
          <cell r="AA64">
            <v>8.3000000000000007</v>
          </cell>
          <cell r="AB64">
            <v>8.3000000000000007</v>
          </cell>
          <cell r="AC64">
            <v>8.3000000000000007</v>
          </cell>
          <cell r="AD64">
            <v>8.3000000000000007</v>
          </cell>
          <cell r="AE64">
            <v>8.3000000000000007</v>
          </cell>
          <cell r="AF64">
            <v>8.3000000000000007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L30" sqref="AL3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2079/06/1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28</v>
      </c>
      <c r="N5" s="30">
        <f t="shared" si="0"/>
        <v>18.600000000000001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40</v>
      </c>
      <c r="X5" s="30">
        <f t="shared" si="0"/>
        <v>49.2</v>
      </c>
      <c r="Y5" s="30">
        <f t="shared" si="0"/>
        <v>43.1</v>
      </c>
      <c r="Z5" s="30">
        <f t="shared" si="0"/>
        <v>38.9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1657MW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Load=1395</v>
      </c>
      <c r="B7" s="35">
        <f t="shared" ref="B7:AF7" si="1">B81</f>
        <v>1481.02</v>
      </c>
      <c r="C7" s="35">
        <f t="shared" si="1"/>
        <v>1427.72</v>
      </c>
      <c r="D7" s="35">
        <f t="shared" si="1"/>
        <v>1397.12</v>
      </c>
      <c r="E7" s="35">
        <f t="shared" si="1"/>
        <v>1420.2399999999998</v>
      </c>
      <c r="F7" s="35">
        <f t="shared" si="1"/>
        <v>1413.1399999999999</v>
      </c>
      <c r="G7" s="35">
        <f t="shared" si="1"/>
        <v>1413.04</v>
      </c>
      <c r="H7" s="35">
        <f t="shared" si="1"/>
        <v>1444.34</v>
      </c>
      <c r="I7" s="35">
        <f t="shared" si="1"/>
        <v>1467.34</v>
      </c>
      <c r="J7" s="35">
        <f t="shared" si="1"/>
        <v>1513.34</v>
      </c>
      <c r="K7" s="35">
        <f t="shared" si="1"/>
        <v>1574.34</v>
      </c>
      <c r="L7" s="35">
        <f t="shared" si="1"/>
        <v>1639.34</v>
      </c>
      <c r="M7" s="35">
        <f t="shared" si="1"/>
        <v>1657.34</v>
      </c>
      <c r="N7" s="35">
        <f t="shared" si="1"/>
        <v>1585.64</v>
      </c>
      <c r="O7" s="35">
        <f t="shared" si="1"/>
        <v>1583.4399999999998</v>
      </c>
      <c r="P7" s="35">
        <f t="shared" si="1"/>
        <v>1533.24</v>
      </c>
      <c r="Q7" s="35">
        <f t="shared" si="1"/>
        <v>1533.24</v>
      </c>
      <c r="R7" s="35">
        <f t="shared" si="1"/>
        <v>1540.1399999999999</v>
      </c>
      <c r="S7" s="35">
        <f t="shared" si="1"/>
        <v>1506.84</v>
      </c>
      <c r="T7" s="35">
        <f t="shared" si="1"/>
        <v>1482.9399999999998</v>
      </c>
      <c r="U7" s="35">
        <f t="shared" si="1"/>
        <v>1463.54</v>
      </c>
      <c r="V7" s="35">
        <f t="shared" si="1"/>
        <v>1443.54</v>
      </c>
      <c r="W7" s="35">
        <f t="shared" si="1"/>
        <v>1403.54</v>
      </c>
      <c r="X7" s="35">
        <f t="shared" si="1"/>
        <v>1548.44</v>
      </c>
      <c r="Y7" s="35">
        <f t="shared" si="1"/>
        <v>1652.34</v>
      </c>
      <c r="Z7" s="35">
        <f t="shared" si="1"/>
        <v>1702.4399999999998</v>
      </c>
      <c r="AA7" s="35">
        <f t="shared" si="1"/>
        <v>1639.24</v>
      </c>
      <c r="AB7" s="35">
        <f t="shared" si="1"/>
        <v>1600.34</v>
      </c>
      <c r="AC7" s="35">
        <f t="shared" si="1"/>
        <v>1547.1399999999999</v>
      </c>
      <c r="AD7" s="35">
        <f t="shared" si="1"/>
        <v>1511.24</v>
      </c>
      <c r="AE7" s="35">
        <f t="shared" si="1"/>
        <v>1395.24</v>
      </c>
      <c r="AF7" s="35">
        <f t="shared" si="1"/>
        <v>1406.34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53.6</v>
      </c>
      <c r="C11" s="45">
        <v>53.6</v>
      </c>
      <c r="D11" s="45">
        <v>53.6</v>
      </c>
      <c r="E11" s="45">
        <v>53.6</v>
      </c>
      <c r="F11" s="45">
        <v>53.6</v>
      </c>
      <c r="G11" s="45">
        <v>53.6</v>
      </c>
      <c r="H11" s="45">
        <v>53.6</v>
      </c>
      <c r="I11" s="45">
        <v>53.5</v>
      </c>
      <c r="J11" s="45">
        <v>53.5</v>
      </c>
      <c r="K11" s="45">
        <v>53.5</v>
      </c>
      <c r="L11" s="45">
        <v>53.5</v>
      </c>
      <c r="M11" s="45">
        <v>53.5</v>
      </c>
      <c r="N11" s="45">
        <v>53.6</v>
      </c>
      <c r="O11" s="45">
        <v>53.5</v>
      </c>
      <c r="P11" s="45">
        <v>53.5</v>
      </c>
      <c r="Q11" s="45">
        <v>53.5</v>
      </c>
      <c r="R11" s="45">
        <v>53.5</v>
      </c>
      <c r="S11" s="45">
        <v>53.5</v>
      </c>
      <c r="T11" s="45">
        <v>53.5</v>
      </c>
      <c r="U11" s="45">
        <v>53.5</v>
      </c>
      <c r="V11" s="45">
        <v>53.5</v>
      </c>
      <c r="W11" s="45">
        <v>53.5</v>
      </c>
      <c r="X11" s="45">
        <v>53.5</v>
      </c>
      <c r="Y11" s="46">
        <v>53.5</v>
      </c>
      <c r="Z11" s="46">
        <v>53.5</v>
      </c>
      <c r="AA11" s="46">
        <v>53.5</v>
      </c>
      <c r="AB11" s="46">
        <v>53.5</v>
      </c>
      <c r="AC11" s="46">
        <v>53.5</v>
      </c>
      <c r="AD11" s="46">
        <v>53.5</v>
      </c>
      <c r="AE11" s="46">
        <v>53.5</v>
      </c>
      <c r="AF11" s="46">
        <v>53.5</v>
      </c>
      <c r="AG11" s="47">
        <v>52.4</v>
      </c>
      <c r="AH11" s="48">
        <f>MAX(B11:AF11)</f>
        <v>53.6</v>
      </c>
      <c r="AI11" s="49">
        <f>MIN(B11:AF11)</f>
        <v>53.5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50.8</v>
      </c>
      <c r="C12" s="45">
        <v>50.8</v>
      </c>
      <c r="D12" s="45">
        <v>50.2</v>
      </c>
      <c r="E12" s="45">
        <v>50.2</v>
      </c>
      <c r="F12" s="45">
        <v>50.2</v>
      </c>
      <c r="G12" s="45">
        <v>50.2</v>
      </c>
      <c r="H12" s="45">
        <v>50.2</v>
      </c>
      <c r="I12" s="45">
        <v>50.2</v>
      </c>
      <c r="J12" s="45">
        <v>50.2</v>
      </c>
      <c r="K12" s="45">
        <v>50.2</v>
      </c>
      <c r="L12" s="45">
        <v>50.2</v>
      </c>
      <c r="M12" s="45">
        <v>50.2</v>
      </c>
      <c r="N12" s="45">
        <v>50.1</v>
      </c>
      <c r="O12" s="45">
        <v>50.1</v>
      </c>
      <c r="P12" s="45">
        <v>50.5</v>
      </c>
      <c r="Q12" s="45">
        <v>50.5</v>
      </c>
      <c r="R12" s="45">
        <v>50.5</v>
      </c>
      <c r="S12" s="45">
        <v>50.5</v>
      </c>
      <c r="T12" s="45">
        <v>50.5</v>
      </c>
      <c r="U12" s="45">
        <v>50.5</v>
      </c>
      <c r="V12" s="45">
        <v>50.5</v>
      </c>
      <c r="W12" s="45">
        <v>50.5</v>
      </c>
      <c r="X12" s="45">
        <v>50.5</v>
      </c>
      <c r="Y12" s="45">
        <v>50.4</v>
      </c>
      <c r="Z12" s="45">
        <v>50.4</v>
      </c>
      <c r="AA12" s="45">
        <v>50.4</v>
      </c>
      <c r="AB12" s="45">
        <v>50.4</v>
      </c>
      <c r="AC12" s="45">
        <v>50.4</v>
      </c>
      <c r="AD12" s="45">
        <v>50.4</v>
      </c>
      <c r="AE12" s="45">
        <v>50.4</v>
      </c>
      <c r="AF12" s="45">
        <v>50.4</v>
      </c>
      <c r="AG12" s="51">
        <v>50</v>
      </c>
      <c r="AH12" s="48">
        <f t="shared" ref="AH12:AH75" si="2">MAX(B12:AF12)</f>
        <v>50.8</v>
      </c>
      <c r="AI12" s="49">
        <f t="shared" ref="AI12:AI75" si="3">MIN(B12:AF12)</f>
        <v>50.1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46</v>
      </c>
      <c r="C13" s="45">
        <v>41.8</v>
      </c>
      <c r="D13" s="45">
        <v>41.8</v>
      </c>
      <c r="E13" s="45">
        <v>41.8</v>
      </c>
      <c r="F13" s="45">
        <v>41.8</v>
      </c>
      <c r="G13" s="45">
        <v>41.8</v>
      </c>
      <c r="H13" s="45">
        <v>41.8</v>
      </c>
      <c r="I13" s="45">
        <v>45.9</v>
      </c>
      <c r="J13" s="45">
        <v>45.9</v>
      </c>
      <c r="K13" s="45">
        <v>45.9</v>
      </c>
      <c r="L13" s="45">
        <v>45.9</v>
      </c>
      <c r="M13" s="45">
        <v>45.9</v>
      </c>
      <c r="N13" s="45">
        <v>45.9</v>
      </c>
      <c r="O13" s="45">
        <v>45.9</v>
      </c>
      <c r="P13" s="45">
        <v>46</v>
      </c>
      <c r="Q13" s="45">
        <v>46</v>
      </c>
      <c r="R13" s="45">
        <v>46</v>
      </c>
      <c r="S13" s="45">
        <v>46</v>
      </c>
      <c r="T13" s="45">
        <v>46</v>
      </c>
      <c r="U13" s="45">
        <v>46</v>
      </c>
      <c r="V13" s="45">
        <v>46</v>
      </c>
      <c r="W13" s="45">
        <v>46</v>
      </c>
      <c r="X13" s="45">
        <v>46</v>
      </c>
      <c r="Y13" s="45">
        <v>46</v>
      </c>
      <c r="Z13" s="45">
        <v>46</v>
      </c>
      <c r="AA13" s="45">
        <v>46.1</v>
      </c>
      <c r="AB13" s="45">
        <v>46.1</v>
      </c>
      <c r="AC13" s="45">
        <v>46.1</v>
      </c>
      <c r="AD13" s="45">
        <v>46.1</v>
      </c>
      <c r="AE13" s="45">
        <v>40</v>
      </c>
      <c r="AF13" s="45">
        <v>40</v>
      </c>
      <c r="AG13" s="51">
        <v>45</v>
      </c>
      <c r="AH13" s="48">
        <f t="shared" si="2"/>
        <v>46.1</v>
      </c>
      <c r="AI13" s="49">
        <f t="shared" si="3"/>
        <v>40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28</v>
      </c>
      <c r="C14" s="45">
        <v>28</v>
      </c>
      <c r="D14" s="45">
        <v>28</v>
      </c>
      <c r="E14" s="45">
        <v>24</v>
      </c>
      <c r="F14" s="45">
        <v>24</v>
      </c>
      <c r="G14" s="45">
        <v>24</v>
      </c>
      <c r="H14" s="45">
        <v>24</v>
      </c>
      <c r="I14" s="45">
        <v>24</v>
      </c>
      <c r="J14" s="45">
        <v>24</v>
      </c>
      <c r="K14" s="45">
        <v>28</v>
      </c>
      <c r="L14" s="45">
        <v>28</v>
      </c>
      <c r="M14" s="45">
        <v>28</v>
      </c>
      <c r="N14" s="45">
        <v>28</v>
      </c>
      <c r="O14" s="45">
        <v>28</v>
      </c>
      <c r="P14" s="45">
        <v>28</v>
      </c>
      <c r="Q14" s="45">
        <v>28</v>
      </c>
      <c r="R14" s="45">
        <v>28</v>
      </c>
      <c r="S14" s="45">
        <v>28</v>
      </c>
      <c r="T14" s="45">
        <v>28</v>
      </c>
      <c r="U14" s="45">
        <v>28</v>
      </c>
      <c r="V14" s="45">
        <v>28</v>
      </c>
      <c r="W14" s="45">
        <v>28</v>
      </c>
      <c r="X14" s="45">
        <v>28</v>
      </c>
      <c r="Y14" s="45">
        <v>28</v>
      </c>
      <c r="Z14" s="45">
        <v>28</v>
      </c>
      <c r="AA14" s="45">
        <v>35</v>
      </c>
      <c r="AB14" s="45">
        <v>35</v>
      </c>
      <c r="AC14" s="45">
        <v>35</v>
      </c>
      <c r="AD14" s="45">
        <v>27.1</v>
      </c>
      <c r="AE14" s="45">
        <v>27.1</v>
      </c>
      <c r="AF14" s="45">
        <v>27.1</v>
      </c>
      <c r="AG14" s="51">
        <v>42</v>
      </c>
      <c r="AH14" s="48">
        <f t="shared" si="2"/>
        <v>35</v>
      </c>
      <c r="AI14" s="49">
        <f t="shared" si="3"/>
        <v>24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10</v>
      </c>
      <c r="K15" s="45">
        <v>30</v>
      </c>
      <c r="L15" s="45">
        <v>30</v>
      </c>
      <c r="M15" s="45">
        <v>30</v>
      </c>
      <c r="N15" s="45">
        <v>10</v>
      </c>
      <c r="O15" s="45">
        <v>10</v>
      </c>
      <c r="P15" s="45">
        <v>0</v>
      </c>
      <c r="Q15" s="45">
        <v>0</v>
      </c>
      <c r="R15" s="45">
        <v>0</v>
      </c>
      <c r="S15" s="45">
        <v>14</v>
      </c>
      <c r="T15" s="45">
        <v>10.1</v>
      </c>
      <c r="U15" s="45">
        <v>10.1</v>
      </c>
      <c r="V15" s="45">
        <v>10.1</v>
      </c>
      <c r="W15" s="45">
        <v>10.1</v>
      </c>
      <c r="X15" s="45">
        <v>15</v>
      </c>
      <c r="Y15" s="45">
        <v>20.3</v>
      </c>
      <c r="Z15" s="45">
        <v>20.3</v>
      </c>
      <c r="AA15" s="45">
        <v>15.2</v>
      </c>
      <c r="AB15" s="45">
        <v>15.2</v>
      </c>
      <c r="AC15" s="45">
        <v>15.2</v>
      </c>
      <c r="AD15" s="45">
        <v>5.6</v>
      </c>
      <c r="AE15" s="45">
        <v>0</v>
      </c>
      <c r="AF15" s="45">
        <v>0</v>
      </c>
      <c r="AG15" s="52">
        <v>30</v>
      </c>
      <c r="AH15" s="48">
        <f t="shared" si="2"/>
        <v>30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26</v>
      </c>
      <c r="C16" s="45">
        <v>26</v>
      </c>
      <c r="D16" s="45">
        <v>26</v>
      </c>
      <c r="E16" s="45">
        <v>26</v>
      </c>
      <c r="F16" s="45">
        <v>26</v>
      </c>
      <c r="G16" s="45">
        <v>26</v>
      </c>
      <c r="H16" s="45">
        <v>26</v>
      </c>
      <c r="I16" s="45">
        <v>26</v>
      </c>
      <c r="J16" s="45">
        <v>26</v>
      </c>
      <c r="K16" s="45">
        <v>26</v>
      </c>
      <c r="L16" s="45">
        <v>26</v>
      </c>
      <c r="M16" s="45">
        <v>26</v>
      </c>
      <c r="N16" s="45">
        <v>25.9</v>
      </c>
      <c r="O16" s="45">
        <v>33.200000000000003</v>
      </c>
      <c r="P16" s="45">
        <v>33.200000000000003</v>
      </c>
      <c r="Q16" s="45">
        <v>33.200000000000003</v>
      </c>
      <c r="R16" s="45">
        <v>33.200000000000003</v>
      </c>
      <c r="S16" s="45">
        <v>33.200000000000003</v>
      </c>
      <c r="T16" s="45">
        <v>33.200000000000003</v>
      </c>
      <c r="U16" s="45">
        <v>33.200000000000003</v>
      </c>
      <c r="V16" s="45">
        <v>33.200000000000003</v>
      </c>
      <c r="W16" s="45">
        <v>33.200000000000003</v>
      </c>
      <c r="X16" s="45">
        <v>33.200000000000003</v>
      </c>
      <c r="Y16" s="45">
        <v>33.200000000000003</v>
      </c>
      <c r="Z16" s="45">
        <v>33.200000000000003</v>
      </c>
      <c r="AA16" s="45">
        <v>33.200000000000003</v>
      </c>
      <c r="AB16" s="45">
        <v>33.200000000000003</v>
      </c>
      <c r="AC16" s="45">
        <v>20</v>
      </c>
      <c r="AD16" s="45">
        <v>24.7</v>
      </c>
      <c r="AE16" s="45">
        <v>24.6</v>
      </c>
      <c r="AF16" s="45">
        <v>24.6</v>
      </c>
      <c r="AG16" s="51">
        <v>24.2</v>
      </c>
      <c r="AH16" s="48">
        <f t="shared" si="2"/>
        <v>33.200000000000003</v>
      </c>
      <c r="AI16" s="49">
        <f t="shared" si="3"/>
        <v>20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18</v>
      </c>
      <c r="K17" s="45">
        <v>18</v>
      </c>
      <c r="L17" s="45">
        <v>0</v>
      </c>
      <c r="M17" s="45">
        <v>18</v>
      </c>
      <c r="N17" s="45">
        <v>8</v>
      </c>
      <c r="O17" s="45">
        <v>8</v>
      </c>
      <c r="P17" s="45">
        <v>0</v>
      </c>
      <c r="Q17" s="45">
        <v>0</v>
      </c>
      <c r="R17" s="45">
        <v>0</v>
      </c>
      <c r="S17" s="45">
        <v>8</v>
      </c>
      <c r="T17" s="45">
        <v>8</v>
      </c>
      <c r="U17" s="45">
        <v>8</v>
      </c>
      <c r="V17" s="45">
        <v>8</v>
      </c>
      <c r="W17" s="45">
        <v>8</v>
      </c>
      <c r="X17" s="45">
        <v>8</v>
      </c>
      <c r="Y17" s="45">
        <v>25</v>
      </c>
      <c r="Z17" s="45">
        <v>25</v>
      </c>
      <c r="AA17" s="45">
        <v>20</v>
      </c>
      <c r="AB17" s="45">
        <v>20</v>
      </c>
      <c r="AC17" s="45">
        <v>20</v>
      </c>
      <c r="AD17" s="45">
        <v>10</v>
      </c>
      <c r="AE17" s="45">
        <v>0</v>
      </c>
      <c r="AF17" s="45">
        <v>0</v>
      </c>
      <c r="AG17" s="52">
        <v>30</v>
      </c>
      <c r="AH17" s="48">
        <f t="shared" si="2"/>
        <v>25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25.2</v>
      </c>
      <c r="C18" s="45">
        <v>25.2</v>
      </c>
      <c r="D18" s="45">
        <v>25.2</v>
      </c>
      <c r="E18" s="45">
        <v>25.2</v>
      </c>
      <c r="F18" s="45">
        <v>25.2</v>
      </c>
      <c r="G18" s="45">
        <v>25.2</v>
      </c>
      <c r="H18" s="45">
        <v>25.2</v>
      </c>
      <c r="I18" s="45">
        <v>25.2</v>
      </c>
      <c r="J18" s="45">
        <v>25.2</v>
      </c>
      <c r="K18" s="45">
        <v>25.2</v>
      </c>
      <c r="L18" s="45">
        <v>25.2</v>
      </c>
      <c r="M18" s="45">
        <v>25.2</v>
      </c>
      <c r="N18" s="45">
        <v>25.2</v>
      </c>
      <c r="O18" s="45">
        <v>25.2</v>
      </c>
      <c r="P18" s="45">
        <v>25.1</v>
      </c>
      <c r="Q18" s="45">
        <v>25.1</v>
      </c>
      <c r="R18" s="45">
        <v>25.1</v>
      </c>
      <c r="S18" s="45">
        <v>25.1</v>
      </c>
      <c r="T18" s="45">
        <v>25.1</v>
      </c>
      <c r="U18" s="45">
        <v>25.1</v>
      </c>
      <c r="V18" s="45">
        <v>25.1</v>
      </c>
      <c r="W18" s="45">
        <v>25.1</v>
      </c>
      <c r="X18" s="45">
        <v>25.1</v>
      </c>
      <c r="Y18" s="45">
        <v>25.2</v>
      </c>
      <c r="Z18" s="45">
        <v>25.2</v>
      </c>
      <c r="AA18" s="45">
        <v>25.2</v>
      </c>
      <c r="AB18" s="45">
        <v>25.2</v>
      </c>
      <c r="AC18" s="45">
        <v>25.2</v>
      </c>
      <c r="AD18" s="45">
        <v>25.2</v>
      </c>
      <c r="AE18" s="45">
        <v>25.2</v>
      </c>
      <c r="AF18" s="45">
        <v>20</v>
      </c>
      <c r="AG18" s="51">
        <v>25</v>
      </c>
      <c r="AH18" s="48">
        <f t="shared" si="2"/>
        <v>25.2</v>
      </c>
      <c r="AI18" s="49">
        <f t="shared" si="3"/>
        <v>20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23</v>
      </c>
      <c r="C19" s="45">
        <v>23</v>
      </c>
      <c r="D19" s="45">
        <v>23</v>
      </c>
      <c r="E19" s="45">
        <v>23</v>
      </c>
      <c r="F19" s="45">
        <v>23</v>
      </c>
      <c r="G19" s="45">
        <v>23</v>
      </c>
      <c r="H19" s="45">
        <v>23</v>
      </c>
      <c r="I19" s="45">
        <v>23</v>
      </c>
      <c r="J19" s="45">
        <v>25</v>
      </c>
      <c r="K19" s="45">
        <v>25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51">
        <v>25</v>
      </c>
      <c r="AH19" s="48">
        <f t="shared" si="2"/>
        <v>25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25</v>
      </c>
      <c r="C20" s="45">
        <v>25</v>
      </c>
      <c r="D20" s="45">
        <v>25</v>
      </c>
      <c r="E20" s="45">
        <v>25</v>
      </c>
      <c r="F20" s="45">
        <v>25</v>
      </c>
      <c r="G20" s="45">
        <v>25</v>
      </c>
      <c r="H20" s="45">
        <v>25</v>
      </c>
      <c r="I20" s="45">
        <v>25</v>
      </c>
      <c r="J20" s="45">
        <v>25</v>
      </c>
      <c r="K20" s="45">
        <v>25</v>
      </c>
      <c r="L20" s="45">
        <v>25</v>
      </c>
      <c r="M20" s="45">
        <v>25</v>
      </c>
      <c r="N20" s="45">
        <v>25</v>
      </c>
      <c r="O20" s="45">
        <v>25</v>
      </c>
      <c r="P20" s="45">
        <v>25</v>
      </c>
      <c r="Q20" s="45">
        <v>25</v>
      </c>
      <c r="R20" s="45">
        <v>25</v>
      </c>
      <c r="S20" s="45">
        <v>25</v>
      </c>
      <c r="T20" s="45">
        <v>25</v>
      </c>
      <c r="U20" s="45">
        <v>25</v>
      </c>
      <c r="V20" s="45">
        <v>25</v>
      </c>
      <c r="W20" s="45">
        <v>25</v>
      </c>
      <c r="X20" s="45">
        <v>25</v>
      </c>
      <c r="Y20" s="45">
        <v>25</v>
      </c>
      <c r="Z20" s="45">
        <v>25</v>
      </c>
      <c r="AA20" s="45">
        <v>25</v>
      </c>
      <c r="AB20" s="45">
        <v>25</v>
      </c>
      <c r="AC20" s="45">
        <v>25</v>
      </c>
      <c r="AD20" s="45">
        <v>25</v>
      </c>
      <c r="AE20" s="45">
        <v>25</v>
      </c>
      <c r="AF20" s="45">
        <v>25</v>
      </c>
      <c r="AG20" s="51">
        <v>25</v>
      </c>
      <c r="AH20" s="48">
        <f t="shared" si="2"/>
        <v>25</v>
      </c>
      <c r="AI20" s="49">
        <f t="shared" si="3"/>
        <v>25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24</v>
      </c>
      <c r="C21" s="45">
        <v>24</v>
      </c>
      <c r="D21" s="45">
        <v>24</v>
      </c>
      <c r="E21" s="45">
        <v>24</v>
      </c>
      <c r="F21" s="45">
        <v>24</v>
      </c>
      <c r="G21" s="45">
        <v>24</v>
      </c>
      <c r="H21" s="45">
        <v>24</v>
      </c>
      <c r="I21" s="45">
        <v>24</v>
      </c>
      <c r="J21" s="45">
        <v>24</v>
      </c>
      <c r="K21" s="45">
        <v>24</v>
      </c>
      <c r="L21" s="45">
        <v>24</v>
      </c>
      <c r="M21" s="45">
        <v>24</v>
      </c>
      <c r="N21" s="45">
        <v>23.9</v>
      </c>
      <c r="O21" s="45">
        <v>23.9</v>
      </c>
      <c r="P21" s="45">
        <v>23.9</v>
      </c>
      <c r="Q21" s="45">
        <v>23.9</v>
      </c>
      <c r="R21" s="45">
        <v>23.9</v>
      </c>
      <c r="S21" s="45">
        <v>23.9</v>
      </c>
      <c r="T21" s="45">
        <v>23.9</v>
      </c>
      <c r="U21" s="45">
        <v>23.9</v>
      </c>
      <c r="V21" s="45">
        <v>23.9</v>
      </c>
      <c r="W21" s="45">
        <v>23.9</v>
      </c>
      <c r="X21" s="45">
        <v>23.9</v>
      </c>
      <c r="Y21" s="45">
        <v>23.9</v>
      </c>
      <c r="Z21" s="45">
        <v>23.9</v>
      </c>
      <c r="AA21" s="45">
        <v>23.9</v>
      </c>
      <c r="AB21" s="45">
        <v>23.9</v>
      </c>
      <c r="AC21" s="45">
        <v>23.9</v>
      </c>
      <c r="AD21" s="45">
        <v>23.9</v>
      </c>
      <c r="AE21" s="45">
        <v>23.9</v>
      </c>
      <c r="AF21" s="45">
        <v>23.9</v>
      </c>
      <c r="AG21" s="51">
        <v>23.5</v>
      </c>
      <c r="AH21" s="48">
        <f t="shared" si="2"/>
        <v>24</v>
      </c>
      <c r="AI21" s="49">
        <f t="shared" si="3"/>
        <v>23.9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20</v>
      </c>
      <c r="C22" s="45">
        <v>20</v>
      </c>
      <c r="D22" s="45">
        <v>20</v>
      </c>
      <c r="E22" s="45">
        <v>20</v>
      </c>
      <c r="F22" s="45">
        <v>20</v>
      </c>
      <c r="G22" s="45">
        <v>20</v>
      </c>
      <c r="H22" s="45">
        <v>20</v>
      </c>
      <c r="I22" s="45">
        <v>20</v>
      </c>
      <c r="J22" s="45">
        <v>20</v>
      </c>
      <c r="K22" s="45">
        <v>20</v>
      </c>
      <c r="L22" s="45">
        <v>20</v>
      </c>
      <c r="M22" s="45">
        <v>20</v>
      </c>
      <c r="N22" s="45">
        <v>20</v>
      </c>
      <c r="O22" s="45">
        <v>20</v>
      </c>
      <c r="P22" s="45">
        <v>20</v>
      </c>
      <c r="Q22" s="45">
        <v>20</v>
      </c>
      <c r="R22" s="45">
        <v>20</v>
      </c>
      <c r="S22" s="45">
        <v>20</v>
      </c>
      <c r="T22" s="45">
        <v>20</v>
      </c>
      <c r="U22" s="45">
        <v>20</v>
      </c>
      <c r="V22" s="45">
        <v>20</v>
      </c>
      <c r="W22" s="45">
        <v>20</v>
      </c>
      <c r="X22" s="45">
        <v>20</v>
      </c>
      <c r="Y22" s="45">
        <v>20</v>
      </c>
      <c r="Z22" s="45">
        <v>20</v>
      </c>
      <c r="AA22" s="45">
        <v>20</v>
      </c>
      <c r="AB22" s="45">
        <v>20</v>
      </c>
      <c r="AC22" s="45">
        <v>20</v>
      </c>
      <c r="AD22" s="45">
        <v>20</v>
      </c>
      <c r="AE22" s="45">
        <v>20</v>
      </c>
      <c r="AF22" s="45">
        <v>20</v>
      </c>
      <c r="AG22" s="51">
        <v>22.2</v>
      </c>
      <c r="AH22" s="48">
        <f t="shared" si="2"/>
        <v>20</v>
      </c>
      <c r="AI22" s="49">
        <f t="shared" si="3"/>
        <v>20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21</v>
      </c>
      <c r="C23" s="45">
        <v>21</v>
      </c>
      <c r="D23" s="45">
        <v>21</v>
      </c>
      <c r="E23" s="45">
        <v>21</v>
      </c>
      <c r="F23" s="45">
        <v>21</v>
      </c>
      <c r="G23" s="45">
        <v>21</v>
      </c>
      <c r="H23" s="45">
        <v>21</v>
      </c>
      <c r="I23" s="45">
        <v>21</v>
      </c>
      <c r="J23" s="45">
        <v>21</v>
      </c>
      <c r="K23" s="45">
        <v>22</v>
      </c>
      <c r="L23" s="45">
        <v>22</v>
      </c>
      <c r="M23" s="45">
        <v>22</v>
      </c>
      <c r="N23" s="45">
        <v>22</v>
      </c>
      <c r="O23" s="45">
        <v>22</v>
      </c>
      <c r="P23" s="45">
        <v>22</v>
      </c>
      <c r="Q23" s="45">
        <v>22</v>
      </c>
      <c r="R23" s="45">
        <v>22</v>
      </c>
      <c r="S23" s="45">
        <v>22</v>
      </c>
      <c r="T23" s="45">
        <v>22</v>
      </c>
      <c r="U23" s="45">
        <v>22</v>
      </c>
      <c r="V23" s="45">
        <v>22</v>
      </c>
      <c r="W23" s="45">
        <v>22</v>
      </c>
      <c r="X23" s="45">
        <v>22</v>
      </c>
      <c r="Y23" s="45">
        <v>22</v>
      </c>
      <c r="Z23" s="45">
        <v>22</v>
      </c>
      <c r="AA23" s="45">
        <v>22</v>
      </c>
      <c r="AB23" s="45">
        <v>22</v>
      </c>
      <c r="AC23" s="45">
        <v>22</v>
      </c>
      <c r="AD23" s="45">
        <v>22</v>
      </c>
      <c r="AE23" s="45">
        <v>22</v>
      </c>
      <c r="AF23" s="45">
        <v>22</v>
      </c>
      <c r="AG23" s="51">
        <v>22.1</v>
      </c>
      <c r="AH23" s="48">
        <f t="shared" si="2"/>
        <v>22</v>
      </c>
      <c r="AI23" s="49">
        <f t="shared" si="3"/>
        <v>21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20</v>
      </c>
      <c r="C24" s="45">
        <v>20</v>
      </c>
      <c r="D24" s="45">
        <v>20</v>
      </c>
      <c r="E24" s="45">
        <v>20</v>
      </c>
      <c r="F24" s="45">
        <v>20</v>
      </c>
      <c r="G24" s="45">
        <v>20</v>
      </c>
      <c r="H24" s="45">
        <v>20</v>
      </c>
      <c r="I24" s="45">
        <v>20</v>
      </c>
      <c r="J24" s="45">
        <v>20</v>
      </c>
      <c r="K24" s="45">
        <v>20</v>
      </c>
      <c r="L24" s="45">
        <v>22</v>
      </c>
      <c r="M24" s="45">
        <v>22</v>
      </c>
      <c r="N24" s="45">
        <v>22</v>
      </c>
      <c r="O24" s="45">
        <v>22</v>
      </c>
      <c r="P24" s="45">
        <v>22</v>
      </c>
      <c r="Q24" s="45">
        <v>22</v>
      </c>
      <c r="R24" s="45">
        <v>22</v>
      </c>
      <c r="S24" s="45">
        <v>22</v>
      </c>
      <c r="T24" s="45">
        <v>22</v>
      </c>
      <c r="U24" s="45">
        <v>22</v>
      </c>
      <c r="V24" s="45">
        <v>22</v>
      </c>
      <c r="W24" s="45">
        <v>22</v>
      </c>
      <c r="X24" s="45">
        <v>22</v>
      </c>
      <c r="Y24" s="45">
        <v>22</v>
      </c>
      <c r="Z24" s="45">
        <v>22</v>
      </c>
      <c r="AA24" s="45">
        <v>22</v>
      </c>
      <c r="AB24" s="45">
        <v>22</v>
      </c>
      <c r="AC24" s="45">
        <v>22</v>
      </c>
      <c r="AD24" s="45">
        <v>22</v>
      </c>
      <c r="AE24" s="45">
        <v>22</v>
      </c>
      <c r="AF24" s="45">
        <v>22</v>
      </c>
      <c r="AG24" s="51">
        <v>22</v>
      </c>
      <c r="AH24" s="48">
        <f t="shared" si="2"/>
        <v>22</v>
      </c>
      <c r="AI24" s="49">
        <f t="shared" si="3"/>
        <v>20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22</v>
      </c>
      <c r="C25" s="45">
        <v>22</v>
      </c>
      <c r="D25" s="45">
        <v>22</v>
      </c>
      <c r="E25" s="45">
        <v>22</v>
      </c>
      <c r="F25" s="45">
        <v>22</v>
      </c>
      <c r="G25" s="45">
        <v>22</v>
      </c>
      <c r="H25" s="45">
        <v>22</v>
      </c>
      <c r="I25" s="45">
        <v>22</v>
      </c>
      <c r="J25" s="45">
        <v>22</v>
      </c>
      <c r="K25" s="45">
        <v>22</v>
      </c>
      <c r="L25" s="45">
        <v>22</v>
      </c>
      <c r="M25" s="45">
        <v>22</v>
      </c>
      <c r="N25" s="45">
        <v>22</v>
      </c>
      <c r="O25" s="45">
        <v>22</v>
      </c>
      <c r="P25" s="45">
        <v>22</v>
      </c>
      <c r="Q25" s="45">
        <v>22</v>
      </c>
      <c r="R25" s="45">
        <v>22</v>
      </c>
      <c r="S25" s="45">
        <v>22</v>
      </c>
      <c r="T25" s="45">
        <v>22</v>
      </c>
      <c r="U25" s="45">
        <v>22</v>
      </c>
      <c r="V25" s="45">
        <v>22</v>
      </c>
      <c r="W25" s="45">
        <v>22</v>
      </c>
      <c r="X25" s="45">
        <v>22</v>
      </c>
      <c r="Y25" s="45">
        <v>22</v>
      </c>
      <c r="Z25" s="45">
        <v>22</v>
      </c>
      <c r="AA25" s="45">
        <v>22</v>
      </c>
      <c r="AB25" s="45">
        <v>22</v>
      </c>
      <c r="AC25" s="45">
        <v>22</v>
      </c>
      <c r="AD25" s="45">
        <v>22</v>
      </c>
      <c r="AE25" s="45">
        <v>19</v>
      </c>
      <c r="AF25" s="45">
        <v>19</v>
      </c>
      <c r="AG25" s="51">
        <v>22</v>
      </c>
      <c r="AH25" s="48">
        <f t="shared" si="2"/>
        <v>22</v>
      </c>
      <c r="AI25" s="49">
        <f t="shared" si="3"/>
        <v>19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10</v>
      </c>
      <c r="K26" s="45">
        <v>10</v>
      </c>
      <c r="L26" s="45">
        <v>10</v>
      </c>
      <c r="M26" s="45">
        <v>10</v>
      </c>
      <c r="N26" s="45">
        <v>10</v>
      </c>
      <c r="O26" s="45">
        <v>10</v>
      </c>
      <c r="P26" s="45">
        <v>10</v>
      </c>
      <c r="Q26" s="45">
        <v>10</v>
      </c>
      <c r="R26" s="45">
        <v>10</v>
      </c>
      <c r="S26" s="45">
        <v>10</v>
      </c>
      <c r="T26" s="45">
        <v>10</v>
      </c>
      <c r="U26" s="45">
        <v>10</v>
      </c>
      <c r="V26" s="45">
        <v>10</v>
      </c>
      <c r="W26" s="45">
        <v>10</v>
      </c>
      <c r="X26" s="45">
        <v>10</v>
      </c>
      <c r="Y26" s="45">
        <v>10</v>
      </c>
      <c r="Z26" s="45">
        <v>10</v>
      </c>
      <c r="AA26" s="45">
        <v>10</v>
      </c>
      <c r="AB26" s="45">
        <v>10</v>
      </c>
      <c r="AC26" s="45">
        <v>10</v>
      </c>
      <c r="AD26" s="45">
        <v>5</v>
      </c>
      <c r="AE26" s="45">
        <v>0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>
        <v>14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14.9</v>
      </c>
      <c r="AH27" s="48">
        <f t="shared" si="2"/>
        <v>14</v>
      </c>
      <c r="AI27" s="49">
        <f t="shared" si="3"/>
        <v>14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6.8</v>
      </c>
      <c r="C28" s="45">
        <v>6.8</v>
      </c>
      <c r="D28" s="45">
        <v>6.8</v>
      </c>
      <c r="E28" s="45">
        <v>6.8</v>
      </c>
      <c r="F28" s="45">
        <v>6.8</v>
      </c>
      <c r="G28" s="45">
        <v>6.8</v>
      </c>
      <c r="H28" s="45">
        <v>6.8</v>
      </c>
      <c r="I28" s="45">
        <v>6.8</v>
      </c>
      <c r="J28" s="45">
        <v>6.8</v>
      </c>
      <c r="K28" s="45">
        <v>6.8</v>
      </c>
      <c r="L28" s="45">
        <v>6.8</v>
      </c>
      <c r="M28" s="45">
        <v>6.8</v>
      </c>
      <c r="N28" s="45">
        <v>6.8</v>
      </c>
      <c r="O28" s="45">
        <v>6.8</v>
      </c>
      <c r="P28" s="45">
        <v>6.8</v>
      </c>
      <c r="Q28" s="45">
        <v>6.8</v>
      </c>
      <c r="R28" s="45">
        <v>6.8</v>
      </c>
      <c r="S28" s="45">
        <v>6.8</v>
      </c>
      <c r="T28" s="45">
        <v>6.8</v>
      </c>
      <c r="U28" s="45">
        <v>6.8</v>
      </c>
      <c r="V28" s="45">
        <v>6.8</v>
      </c>
      <c r="W28" s="45">
        <v>6.8</v>
      </c>
      <c r="X28" s="45">
        <v>6.8</v>
      </c>
      <c r="Y28" s="45">
        <v>6.8</v>
      </c>
      <c r="Z28" s="45">
        <v>6.8</v>
      </c>
      <c r="AA28" s="45">
        <v>6.8</v>
      </c>
      <c r="AB28" s="45">
        <v>6.8</v>
      </c>
      <c r="AC28" s="45">
        <v>6.8</v>
      </c>
      <c r="AD28" s="45">
        <v>6.8</v>
      </c>
      <c r="AE28" s="45">
        <v>6.8</v>
      </c>
      <c r="AF28" s="45">
        <v>6.8</v>
      </c>
      <c r="AG28" s="51">
        <v>13.6</v>
      </c>
      <c r="AH28" s="48">
        <f t="shared" si="2"/>
        <v>6.8</v>
      </c>
      <c r="AI28" s="49">
        <f t="shared" si="3"/>
        <v>6.8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12</v>
      </c>
      <c r="C29" s="45">
        <v>12</v>
      </c>
      <c r="D29" s="45">
        <v>12</v>
      </c>
      <c r="E29" s="45">
        <v>12</v>
      </c>
      <c r="F29" s="45">
        <v>12</v>
      </c>
      <c r="G29" s="45">
        <v>12</v>
      </c>
      <c r="H29" s="45">
        <v>12</v>
      </c>
      <c r="I29" s="45">
        <v>12</v>
      </c>
      <c r="J29" s="45">
        <v>12</v>
      </c>
      <c r="K29" s="45">
        <v>12</v>
      </c>
      <c r="L29" s="45">
        <v>12</v>
      </c>
      <c r="M29" s="45">
        <v>12</v>
      </c>
      <c r="N29" s="45">
        <v>12</v>
      </c>
      <c r="O29" s="45">
        <v>12</v>
      </c>
      <c r="P29" s="45">
        <v>12</v>
      </c>
      <c r="Q29" s="45">
        <v>12</v>
      </c>
      <c r="R29" s="45">
        <v>12</v>
      </c>
      <c r="S29" s="45">
        <v>12</v>
      </c>
      <c r="T29" s="45">
        <v>12</v>
      </c>
      <c r="U29" s="45">
        <v>12</v>
      </c>
      <c r="V29" s="45">
        <v>12</v>
      </c>
      <c r="W29" s="45">
        <v>12</v>
      </c>
      <c r="X29" s="45">
        <v>12</v>
      </c>
      <c r="Y29" s="45">
        <v>12</v>
      </c>
      <c r="Z29" s="45">
        <v>12</v>
      </c>
      <c r="AA29" s="45">
        <v>12</v>
      </c>
      <c r="AB29" s="45">
        <v>12</v>
      </c>
      <c r="AC29" s="45">
        <v>12</v>
      </c>
      <c r="AD29" s="45">
        <v>12</v>
      </c>
      <c r="AE29" s="45">
        <v>12</v>
      </c>
      <c r="AF29" s="45">
        <v>12</v>
      </c>
      <c r="AG29" s="51">
        <v>13</v>
      </c>
      <c r="AH29" s="48">
        <f t="shared" si="2"/>
        <v>12</v>
      </c>
      <c r="AI29" s="49">
        <f t="shared" si="3"/>
        <v>12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6</v>
      </c>
      <c r="K30" s="45">
        <v>12</v>
      </c>
      <c r="L30" s="45">
        <v>12</v>
      </c>
      <c r="M30" s="45">
        <v>12</v>
      </c>
      <c r="N30" s="45">
        <v>5</v>
      </c>
      <c r="O30" s="45">
        <v>5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12</v>
      </c>
      <c r="Z30" s="45">
        <v>12</v>
      </c>
      <c r="AA30" s="45">
        <v>12</v>
      </c>
      <c r="AB30" s="45">
        <v>12</v>
      </c>
      <c r="AC30" s="45">
        <v>12</v>
      </c>
      <c r="AD30" s="45">
        <v>5</v>
      </c>
      <c r="AE30" s="45">
        <v>0</v>
      </c>
      <c r="AF30" s="45">
        <v>0</v>
      </c>
      <c r="AG30" s="51">
        <v>12</v>
      </c>
      <c r="AH30" s="48">
        <f t="shared" si="2"/>
        <v>12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12</v>
      </c>
      <c r="C31" s="45">
        <v>12</v>
      </c>
      <c r="D31" s="45">
        <v>12</v>
      </c>
      <c r="E31" s="45">
        <v>12</v>
      </c>
      <c r="F31" s="45">
        <v>12</v>
      </c>
      <c r="G31" s="45">
        <v>12</v>
      </c>
      <c r="H31" s="45">
        <v>12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2"/>
        <v>12</v>
      </c>
      <c r="AI31" s="49">
        <f t="shared" si="3"/>
        <v>12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12</v>
      </c>
      <c r="C32" s="45">
        <v>12</v>
      </c>
      <c r="D32" s="45">
        <v>12</v>
      </c>
      <c r="E32" s="45">
        <v>12</v>
      </c>
      <c r="F32" s="45">
        <v>12</v>
      </c>
      <c r="G32" s="45">
        <v>12</v>
      </c>
      <c r="H32" s="45">
        <v>12</v>
      </c>
      <c r="I32" s="45">
        <v>12</v>
      </c>
      <c r="J32" s="45">
        <v>12</v>
      </c>
      <c r="K32" s="45">
        <v>12</v>
      </c>
      <c r="L32" s="45">
        <v>12</v>
      </c>
      <c r="M32" s="45">
        <v>12</v>
      </c>
      <c r="N32" s="45">
        <v>12</v>
      </c>
      <c r="O32" s="45">
        <v>12</v>
      </c>
      <c r="P32" s="45">
        <v>12</v>
      </c>
      <c r="Q32" s="45">
        <v>12</v>
      </c>
      <c r="R32" s="45">
        <v>12</v>
      </c>
      <c r="S32" s="45">
        <v>12</v>
      </c>
      <c r="T32" s="45">
        <v>12</v>
      </c>
      <c r="U32" s="45">
        <v>12</v>
      </c>
      <c r="V32" s="45">
        <v>12</v>
      </c>
      <c r="W32" s="45">
        <v>12</v>
      </c>
      <c r="X32" s="45">
        <v>12</v>
      </c>
      <c r="Y32" s="45">
        <v>12</v>
      </c>
      <c r="Z32" s="45">
        <v>12</v>
      </c>
      <c r="AA32" s="45">
        <v>12</v>
      </c>
      <c r="AB32" s="45">
        <v>12</v>
      </c>
      <c r="AC32" s="45">
        <v>12</v>
      </c>
      <c r="AD32" s="45">
        <v>12</v>
      </c>
      <c r="AE32" s="45">
        <v>6</v>
      </c>
      <c r="AF32" s="45">
        <v>6</v>
      </c>
      <c r="AG32" s="51">
        <v>12</v>
      </c>
      <c r="AH32" s="48">
        <f t="shared" si="2"/>
        <v>12</v>
      </c>
      <c r="AI32" s="49">
        <f t="shared" si="3"/>
        <v>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3">
        <v>22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12</v>
      </c>
      <c r="C34" s="45">
        <v>12</v>
      </c>
      <c r="D34" s="45">
        <v>12</v>
      </c>
      <c r="E34" s="45">
        <v>12</v>
      </c>
      <c r="F34" s="45">
        <v>12</v>
      </c>
      <c r="G34" s="45">
        <v>12</v>
      </c>
      <c r="H34" s="45">
        <v>12</v>
      </c>
      <c r="I34" s="45">
        <v>12</v>
      </c>
      <c r="J34" s="45">
        <v>12</v>
      </c>
      <c r="K34" s="45">
        <v>12</v>
      </c>
      <c r="L34" s="45">
        <v>12</v>
      </c>
      <c r="M34" s="45">
        <v>12</v>
      </c>
      <c r="N34" s="45">
        <v>12</v>
      </c>
      <c r="O34" s="45">
        <v>12</v>
      </c>
      <c r="P34" s="45">
        <v>12</v>
      </c>
      <c r="Q34" s="45">
        <v>12</v>
      </c>
      <c r="R34" s="45">
        <v>12</v>
      </c>
      <c r="S34" s="45">
        <v>12</v>
      </c>
      <c r="T34" s="45">
        <v>12</v>
      </c>
      <c r="U34" s="45">
        <v>12</v>
      </c>
      <c r="V34" s="45">
        <v>12</v>
      </c>
      <c r="W34" s="45">
        <v>12</v>
      </c>
      <c r="X34" s="45">
        <v>12</v>
      </c>
      <c r="Y34" s="45">
        <v>12</v>
      </c>
      <c r="Z34" s="45">
        <v>12</v>
      </c>
      <c r="AA34" s="45">
        <v>12</v>
      </c>
      <c r="AB34" s="45">
        <v>12</v>
      </c>
      <c r="AC34" s="45">
        <v>12</v>
      </c>
      <c r="AD34" s="45">
        <v>12</v>
      </c>
      <c r="AE34" s="45">
        <v>12</v>
      </c>
      <c r="AF34" s="45">
        <v>12</v>
      </c>
      <c r="AG34" s="52">
        <v>11.88</v>
      </c>
      <c r="AH34" s="48">
        <f t="shared" si="2"/>
        <v>12</v>
      </c>
      <c r="AI34" s="49">
        <f t="shared" si="3"/>
        <v>12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8</v>
      </c>
      <c r="C35" s="45">
        <v>8</v>
      </c>
      <c r="D35" s="45">
        <v>8</v>
      </c>
      <c r="E35" s="45">
        <v>8</v>
      </c>
      <c r="F35" s="45">
        <v>8</v>
      </c>
      <c r="G35" s="45">
        <v>8</v>
      </c>
      <c r="H35" s="45">
        <v>8</v>
      </c>
      <c r="I35" s="45">
        <v>8</v>
      </c>
      <c r="J35" s="45">
        <v>8</v>
      </c>
      <c r="K35" s="45">
        <v>8</v>
      </c>
      <c r="L35" s="45">
        <v>8</v>
      </c>
      <c r="M35" s="45">
        <v>8</v>
      </c>
      <c r="N35" s="45">
        <v>8</v>
      </c>
      <c r="O35" s="45">
        <v>8</v>
      </c>
      <c r="P35" s="45">
        <v>8</v>
      </c>
      <c r="Q35" s="45">
        <v>8</v>
      </c>
      <c r="R35" s="45">
        <v>8</v>
      </c>
      <c r="S35" s="45">
        <v>8</v>
      </c>
      <c r="T35" s="45">
        <v>8</v>
      </c>
      <c r="U35" s="45">
        <v>8</v>
      </c>
      <c r="V35" s="45">
        <v>8</v>
      </c>
      <c r="W35" s="45">
        <v>8</v>
      </c>
      <c r="X35" s="45">
        <v>8</v>
      </c>
      <c r="Y35" s="45">
        <v>8</v>
      </c>
      <c r="Z35" s="45">
        <v>8</v>
      </c>
      <c r="AA35" s="45">
        <v>8</v>
      </c>
      <c r="AB35" s="45">
        <v>8</v>
      </c>
      <c r="AC35" s="45">
        <v>8</v>
      </c>
      <c r="AD35" s="45">
        <v>8</v>
      </c>
      <c r="AE35" s="45">
        <v>8</v>
      </c>
      <c r="AF35" s="45">
        <v>8</v>
      </c>
      <c r="AG35" s="55">
        <v>11</v>
      </c>
      <c r="AH35" s="48">
        <f t="shared" si="2"/>
        <v>8</v>
      </c>
      <c r="AI35" s="49">
        <f t="shared" si="3"/>
        <v>8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9</v>
      </c>
      <c r="C36" s="45">
        <v>9</v>
      </c>
      <c r="D36" s="45">
        <v>9</v>
      </c>
      <c r="E36" s="45">
        <v>9</v>
      </c>
      <c r="F36" s="45">
        <v>9</v>
      </c>
      <c r="G36" s="45">
        <v>9</v>
      </c>
      <c r="H36" s="45">
        <v>9</v>
      </c>
      <c r="I36" s="45">
        <v>9</v>
      </c>
      <c r="J36" s="45">
        <v>9</v>
      </c>
      <c r="K36" s="45">
        <v>9</v>
      </c>
      <c r="L36" s="45">
        <v>9</v>
      </c>
      <c r="M36" s="45">
        <v>9</v>
      </c>
      <c r="N36" s="45">
        <v>9</v>
      </c>
      <c r="O36" s="45">
        <v>9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55">
        <v>10</v>
      </c>
      <c r="AH36" s="48">
        <f t="shared" si="2"/>
        <v>9</v>
      </c>
      <c r="AI36" s="49">
        <f t="shared" si="3"/>
        <v>0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0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300</v>
      </c>
      <c r="C38" s="57">
        <v>300</v>
      </c>
      <c r="D38" s="57">
        <v>300</v>
      </c>
      <c r="E38" s="57">
        <v>300</v>
      </c>
      <c r="F38" s="57">
        <v>300</v>
      </c>
      <c r="G38" s="57">
        <v>300</v>
      </c>
      <c r="H38" s="57">
        <v>300</v>
      </c>
      <c r="I38" s="57">
        <v>300</v>
      </c>
      <c r="J38" s="57">
        <v>300</v>
      </c>
      <c r="K38" s="57">
        <v>300</v>
      </c>
      <c r="L38" s="57">
        <v>300</v>
      </c>
      <c r="M38" s="57">
        <v>300</v>
      </c>
      <c r="N38" s="57">
        <v>300</v>
      </c>
      <c r="O38" s="57">
        <v>300</v>
      </c>
      <c r="P38" s="57">
        <v>300</v>
      </c>
      <c r="Q38" s="57">
        <v>300</v>
      </c>
      <c r="R38" s="57">
        <v>300</v>
      </c>
      <c r="S38" s="57">
        <v>300</v>
      </c>
      <c r="T38" s="57">
        <v>300</v>
      </c>
      <c r="U38" s="57">
        <v>300</v>
      </c>
      <c r="V38" s="57">
        <v>300</v>
      </c>
      <c r="W38" s="57">
        <v>300</v>
      </c>
      <c r="X38" s="57">
        <v>300</v>
      </c>
      <c r="Y38" s="57">
        <v>300</v>
      </c>
      <c r="Z38" s="57">
        <v>300</v>
      </c>
      <c r="AA38" s="57">
        <v>300</v>
      </c>
      <c r="AB38" s="57">
        <v>300</v>
      </c>
      <c r="AC38" s="57">
        <v>300</v>
      </c>
      <c r="AD38" s="57">
        <v>300</v>
      </c>
      <c r="AE38" s="57">
        <v>300</v>
      </c>
      <c r="AF38" s="57">
        <v>300</v>
      </c>
      <c r="AG38" s="55">
        <v>85</v>
      </c>
      <c r="AH38" s="48">
        <f t="shared" si="2"/>
        <v>300</v>
      </c>
      <c r="AI38" s="49">
        <f t="shared" si="3"/>
        <v>300</v>
      </c>
      <c r="AK38" s="50"/>
    </row>
    <row r="39" spans="1:88" ht="15.75" thickBot="1" x14ac:dyDescent="0.3">
      <c r="A39" s="58" t="s">
        <v>47</v>
      </c>
      <c r="B39" s="59">
        <v>160</v>
      </c>
      <c r="C39" s="59">
        <v>160</v>
      </c>
      <c r="D39" s="59">
        <v>160</v>
      </c>
      <c r="E39" s="59">
        <f>72.8+89.9</f>
        <v>162.69999999999999</v>
      </c>
      <c r="F39" s="59">
        <v>167</v>
      </c>
      <c r="G39" s="59">
        <f>71.6+90.2</f>
        <v>161.80000000000001</v>
      </c>
      <c r="H39" s="59">
        <f>71.2+90.5</f>
        <v>161.69999999999999</v>
      </c>
      <c r="I39" s="59">
        <f>71.8+90.2</f>
        <v>162</v>
      </c>
      <c r="J39" s="59">
        <f>75.8+90.3</f>
        <v>166.1</v>
      </c>
      <c r="K39" s="59">
        <f>75.4+90.6</f>
        <v>166</v>
      </c>
      <c r="L39" s="57">
        <f>17.7+95.2</f>
        <v>112.9</v>
      </c>
      <c r="M39" s="57">
        <v>120.2</v>
      </c>
      <c r="N39" s="57">
        <f>82.1+35.9</f>
        <v>118</v>
      </c>
      <c r="O39" s="57">
        <f>85.7+26.3</f>
        <v>112</v>
      </c>
      <c r="P39" s="57">
        <f>84+31.4</f>
        <v>115.4</v>
      </c>
      <c r="Q39" s="57">
        <f>86+37</f>
        <v>123</v>
      </c>
      <c r="R39" s="57">
        <f>94.3+41</f>
        <v>135.30000000000001</v>
      </c>
      <c r="S39" s="57">
        <f>38.4+95.6</f>
        <v>134</v>
      </c>
      <c r="T39" s="57">
        <f>38.4+95.6</f>
        <v>134</v>
      </c>
      <c r="U39" s="57">
        <v>132</v>
      </c>
      <c r="V39" s="57">
        <v>132</v>
      </c>
      <c r="W39" s="57">
        <f>37.1+89.9</f>
        <v>127</v>
      </c>
      <c r="X39" s="57">
        <f>37.1+89.9</f>
        <v>127</v>
      </c>
      <c r="Y39" s="59">
        <v>127.3</v>
      </c>
      <c r="Z39" s="59">
        <f>38.7+92.3</f>
        <v>131</v>
      </c>
      <c r="AA39" s="59">
        <f>38.5+92.5</f>
        <v>131</v>
      </c>
      <c r="AB39" s="59">
        <f>94.3+39</f>
        <v>133.30000000000001</v>
      </c>
      <c r="AC39" s="59">
        <f>94.5+38.5</f>
        <v>133</v>
      </c>
      <c r="AD39" s="59">
        <f>95.1+38.7</f>
        <v>133.80000000000001</v>
      </c>
      <c r="AE39" s="59">
        <f>92.8+39.1</f>
        <v>131.9</v>
      </c>
      <c r="AF39" s="59">
        <f>95.2+38.7</f>
        <v>133.9</v>
      </c>
      <c r="AG39" s="55">
        <v>240</v>
      </c>
      <c r="AH39" s="48">
        <f t="shared" si="2"/>
        <v>167</v>
      </c>
      <c r="AI39" s="49">
        <f t="shared" si="3"/>
        <v>112</v>
      </c>
      <c r="AK39" s="50"/>
    </row>
    <row r="40" spans="1:88" ht="15.75" thickBot="1" x14ac:dyDescent="0.3">
      <c r="A40" s="60" t="s">
        <v>48</v>
      </c>
      <c r="B40" s="61">
        <f t="shared" ref="B40:AG40" si="4">SUM(B11:B38)</f>
        <v>775.40000000000009</v>
      </c>
      <c r="C40" s="61">
        <f t="shared" si="4"/>
        <v>771.2</v>
      </c>
      <c r="D40" s="61">
        <f t="shared" si="4"/>
        <v>770.6</v>
      </c>
      <c r="E40" s="61">
        <f t="shared" si="4"/>
        <v>766.6</v>
      </c>
      <c r="F40" s="61">
        <f t="shared" si="4"/>
        <v>766.6</v>
      </c>
      <c r="G40" s="61">
        <f t="shared" si="4"/>
        <v>766.6</v>
      </c>
      <c r="H40" s="61">
        <f t="shared" si="4"/>
        <v>766.6</v>
      </c>
      <c r="I40" s="61">
        <f t="shared" si="4"/>
        <v>770.59999999999991</v>
      </c>
      <c r="J40" s="61">
        <f t="shared" si="4"/>
        <v>816.59999999999991</v>
      </c>
      <c r="K40" s="61">
        <f t="shared" si="4"/>
        <v>847.6</v>
      </c>
      <c r="L40" s="61">
        <f t="shared" si="4"/>
        <v>806.6</v>
      </c>
      <c r="M40" s="61">
        <f t="shared" si="4"/>
        <v>824.6</v>
      </c>
      <c r="N40" s="61">
        <f t="shared" si="4"/>
        <v>787.4</v>
      </c>
      <c r="O40" s="61">
        <f t="shared" si="4"/>
        <v>794.59999999999991</v>
      </c>
      <c r="P40" s="61">
        <f t="shared" si="4"/>
        <v>763</v>
      </c>
      <c r="Q40" s="61">
        <f t="shared" si="4"/>
        <v>763</v>
      </c>
      <c r="R40" s="61">
        <f t="shared" si="4"/>
        <v>763</v>
      </c>
      <c r="S40" s="61">
        <f t="shared" si="4"/>
        <v>785</v>
      </c>
      <c r="T40" s="61">
        <f t="shared" si="4"/>
        <v>781.09999999999991</v>
      </c>
      <c r="U40" s="61">
        <f t="shared" si="4"/>
        <v>781.09999999999991</v>
      </c>
      <c r="V40" s="61">
        <f t="shared" si="4"/>
        <v>781.09999999999991</v>
      </c>
      <c r="W40" s="61">
        <f t="shared" si="4"/>
        <v>781.09999999999991</v>
      </c>
      <c r="X40" s="61">
        <f t="shared" si="4"/>
        <v>786</v>
      </c>
      <c r="Y40" s="61">
        <v>820.3</v>
      </c>
      <c r="Z40" s="61">
        <f t="shared" si="4"/>
        <v>820.3</v>
      </c>
      <c r="AA40" s="61">
        <f t="shared" si="4"/>
        <v>817.3</v>
      </c>
      <c r="AB40" s="61">
        <f t="shared" si="4"/>
        <v>817.3</v>
      </c>
      <c r="AC40" s="61">
        <f t="shared" si="4"/>
        <v>804.09999999999991</v>
      </c>
      <c r="AD40" s="61">
        <f t="shared" si="4"/>
        <v>769.3</v>
      </c>
      <c r="AE40" s="61">
        <f t="shared" si="4"/>
        <v>728.5</v>
      </c>
      <c r="AF40" s="61">
        <f t="shared" si="4"/>
        <v>723.3</v>
      </c>
      <c r="AG40" s="62">
        <f t="shared" si="4"/>
        <v>707.78000000000009</v>
      </c>
      <c r="AH40" s="48">
        <f t="shared" si="2"/>
        <v>847.6</v>
      </c>
      <c r="AI40" s="49">
        <f t="shared" si="3"/>
        <v>723.3</v>
      </c>
      <c r="AK40" s="50"/>
    </row>
    <row r="41" spans="1:88" x14ac:dyDescent="0.25">
      <c r="A41" s="63" t="s">
        <v>49</v>
      </c>
      <c r="B41" s="45">
        <v>325</v>
      </c>
      <c r="C41" s="45">
        <v>295</v>
      </c>
      <c r="D41" s="45">
        <v>295</v>
      </c>
      <c r="E41" s="45">
        <v>320</v>
      </c>
      <c r="F41" s="45">
        <v>320</v>
      </c>
      <c r="G41" s="45">
        <v>320</v>
      </c>
      <c r="H41" s="45">
        <v>320</v>
      </c>
      <c r="I41" s="45">
        <v>320</v>
      </c>
      <c r="J41" s="45">
        <v>320</v>
      </c>
      <c r="K41" s="45">
        <v>350</v>
      </c>
      <c r="L41" s="45">
        <v>456</v>
      </c>
      <c r="M41" s="45">
        <v>456</v>
      </c>
      <c r="N41" s="45">
        <v>456</v>
      </c>
      <c r="O41" s="45">
        <v>456</v>
      </c>
      <c r="P41" s="45">
        <v>456</v>
      </c>
      <c r="Q41" s="45">
        <v>456</v>
      </c>
      <c r="R41" s="45">
        <v>456</v>
      </c>
      <c r="S41" s="45">
        <v>400</v>
      </c>
      <c r="T41" s="45">
        <v>380</v>
      </c>
      <c r="U41" s="45">
        <v>360</v>
      </c>
      <c r="V41" s="45">
        <v>340</v>
      </c>
      <c r="W41" s="45">
        <v>300</v>
      </c>
      <c r="X41" s="45">
        <v>400</v>
      </c>
      <c r="Y41" s="45">
        <v>400</v>
      </c>
      <c r="Z41" s="45">
        <v>456</v>
      </c>
      <c r="AA41" s="45">
        <v>400</v>
      </c>
      <c r="AB41" s="45">
        <v>400</v>
      </c>
      <c r="AC41" s="45">
        <v>360</v>
      </c>
      <c r="AD41" s="45">
        <v>330</v>
      </c>
      <c r="AE41" s="45">
        <v>280</v>
      </c>
      <c r="AF41" s="45">
        <v>320</v>
      </c>
      <c r="AG41" s="52">
        <v>456</v>
      </c>
      <c r="AH41" s="48">
        <f t="shared" si="2"/>
        <v>456</v>
      </c>
      <c r="AI41" s="49">
        <f t="shared" si="3"/>
        <v>280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22</v>
      </c>
      <c r="C43" s="67">
        <v>22</v>
      </c>
      <c r="D43" s="67">
        <v>22</v>
      </c>
      <c r="E43" s="67">
        <v>22</v>
      </c>
      <c r="F43" s="67">
        <v>22</v>
      </c>
      <c r="G43" s="67">
        <v>22</v>
      </c>
      <c r="H43" s="67">
        <v>22</v>
      </c>
      <c r="I43" s="67">
        <v>22</v>
      </c>
      <c r="J43" s="67">
        <v>22</v>
      </c>
      <c r="K43" s="67">
        <v>22</v>
      </c>
      <c r="L43" s="67">
        <v>22</v>
      </c>
      <c r="M43" s="67">
        <v>22</v>
      </c>
      <c r="N43" s="67">
        <v>22</v>
      </c>
      <c r="O43" s="67">
        <v>22</v>
      </c>
      <c r="P43" s="67">
        <v>22</v>
      </c>
      <c r="Q43" s="67">
        <v>22</v>
      </c>
      <c r="R43" s="67">
        <v>22</v>
      </c>
      <c r="S43" s="67">
        <v>22</v>
      </c>
      <c r="T43" s="67">
        <v>22</v>
      </c>
      <c r="U43" s="67">
        <v>22</v>
      </c>
      <c r="V43" s="67">
        <v>22</v>
      </c>
      <c r="W43" s="67">
        <v>22</v>
      </c>
      <c r="X43" s="67">
        <v>22</v>
      </c>
      <c r="Y43" s="67">
        <v>22</v>
      </c>
      <c r="Z43" s="67">
        <v>22</v>
      </c>
      <c r="AA43" s="67">
        <v>22</v>
      </c>
      <c r="AB43" s="67">
        <v>22</v>
      </c>
      <c r="AC43" s="67">
        <v>22</v>
      </c>
      <c r="AD43" s="67">
        <v>22</v>
      </c>
      <c r="AE43" s="67">
        <v>22</v>
      </c>
      <c r="AF43" s="67">
        <v>22</v>
      </c>
      <c r="AG43" s="68">
        <v>22.1</v>
      </c>
      <c r="AH43" s="48">
        <f t="shared" si="2"/>
        <v>22</v>
      </c>
      <c r="AI43" s="49">
        <f t="shared" si="3"/>
        <v>22</v>
      </c>
      <c r="AK43" s="50"/>
    </row>
    <row r="44" spans="1:88" ht="15.75" thickBot="1" x14ac:dyDescent="0.3">
      <c r="A44" s="69" t="s">
        <v>52</v>
      </c>
      <c r="B44" s="61">
        <f t="shared" ref="B44:AG44" si="5">SUM(B41:B43)</f>
        <v>407</v>
      </c>
      <c r="C44" s="61">
        <f t="shared" si="5"/>
        <v>377</v>
      </c>
      <c r="D44" s="61">
        <f t="shared" si="5"/>
        <v>377</v>
      </c>
      <c r="E44" s="61">
        <f t="shared" si="5"/>
        <v>402</v>
      </c>
      <c r="F44" s="61">
        <f t="shared" si="5"/>
        <v>402</v>
      </c>
      <c r="G44" s="61">
        <f t="shared" si="5"/>
        <v>402</v>
      </c>
      <c r="H44" s="61">
        <f t="shared" si="5"/>
        <v>402</v>
      </c>
      <c r="I44" s="61">
        <f t="shared" si="5"/>
        <v>402</v>
      </c>
      <c r="J44" s="61">
        <f t="shared" si="5"/>
        <v>402</v>
      </c>
      <c r="K44" s="61">
        <f t="shared" si="5"/>
        <v>432</v>
      </c>
      <c r="L44" s="61">
        <f t="shared" si="5"/>
        <v>538</v>
      </c>
      <c r="M44" s="61">
        <f t="shared" si="5"/>
        <v>538</v>
      </c>
      <c r="N44" s="61">
        <f t="shared" si="5"/>
        <v>538</v>
      </c>
      <c r="O44" s="61">
        <f t="shared" si="5"/>
        <v>538</v>
      </c>
      <c r="P44" s="61">
        <f t="shared" si="5"/>
        <v>538</v>
      </c>
      <c r="Q44" s="61">
        <f t="shared" si="5"/>
        <v>538</v>
      </c>
      <c r="R44" s="61">
        <f t="shared" si="5"/>
        <v>538</v>
      </c>
      <c r="S44" s="61">
        <f t="shared" si="5"/>
        <v>482</v>
      </c>
      <c r="T44" s="61">
        <f t="shared" si="5"/>
        <v>462</v>
      </c>
      <c r="U44" s="61">
        <f t="shared" si="5"/>
        <v>442</v>
      </c>
      <c r="V44" s="61">
        <f t="shared" si="5"/>
        <v>422</v>
      </c>
      <c r="W44" s="61">
        <f t="shared" si="5"/>
        <v>382</v>
      </c>
      <c r="X44" s="61">
        <f t="shared" si="5"/>
        <v>482</v>
      </c>
      <c r="Y44" s="61">
        <v>482</v>
      </c>
      <c r="Z44" s="61">
        <f t="shared" si="5"/>
        <v>538</v>
      </c>
      <c r="AA44" s="61">
        <f t="shared" si="5"/>
        <v>482</v>
      </c>
      <c r="AB44" s="61">
        <f t="shared" si="5"/>
        <v>482</v>
      </c>
      <c r="AC44" s="61">
        <f t="shared" si="5"/>
        <v>442</v>
      </c>
      <c r="AD44" s="61">
        <f t="shared" si="5"/>
        <v>412</v>
      </c>
      <c r="AE44" s="61">
        <f t="shared" si="5"/>
        <v>362</v>
      </c>
      <c r="AF44" s="61">
        <f t="shared" si="5"/>
        <v>402</v>
      </c>
      <c r="AG44" s="62">
        <f t="shared" si="5"/>
        <v>538.1</v>
      </c>
      <c r="AH44" s="48">
        <f t="shared" si="2"/>
        <v>538</v>
      </c>
      <c r="AI44" s="49">
        <f t="shared" si="3"/>
        <v>362</v>
      </c>
      <c r="AK44" s="50"/>
    </row>
    <row r="45" spans="1:88" x14ac:dyDescent="0.25">
      <c r="A45" s="44" t="s">
        <v>53</v>
      </c>
      <c r="B45" s="45">
        <v>91</v>
      </c>
      <c r="C45" s="45">
        <v>81</v>
      </c>
      <c r="D45" s="45">
        <v>71</v>
      </c>
      <c r="E45" s="45">
        <v>71</v>
      </c>
      <c r="F45" s="45">
        <v>71</v>
      </c>
      <c r="G45" s="45">
        <v>71</v>
      </c>
      <c r="H45" s="45">
        <v>92.4</v>
      </c>
      <c r="I45" s="45">
        <v>92.4</v>
      </c>
      <c r="J45" s="45">
        <v>92.4</v>
      </c>
      <c r="K45" s="45">
        <v>92.4</v>
      </c>
      <c r="L45" s="45">
        <v>92.4</v>
      </c>
      <c r="M45" s="45">
        <v>92.4</v>
      </c>
      <c r="N45" s="45">
        <v>92.1</v>
      </c>
      <c r="O45" s="45">
        <v>92.1</v>
      </c>
      <c r="P45" s="45">
        <v>92.1</v>
      </c>
      <c r="Q45" s="45">
        <v>92.1</v>
      </c>
      <c r="R45" s="45">
        <v>92.1</v>
      </c>
      <c r="S45" s="45">
        <v>92.2</v>
      </c>
      <c r="T45" s="45">
        <v>92.2</v>
      </c>
      <c r="U45" s="45">
        <v>91.9</v>
      </c>
      <c r="V45" s="45">
        <v>91.9</v>
      </c>
      <c r="W45" s="45">
        <v>91.9</v>
      </c>
      <c r="X45" s="45">
        <v>91.9</v>
      </c>
      <c r="Y45" s="45">
        <v>91.9</v>
      </c>
      <c r="Z45" s="45">
        <v>92.1</v>
      </c>
      <c r="AA45" s="45">
        <v>92.1</v>
      </c>
      <c r="AB45" s="45">
        <v>92.1</v>
      </c>
      <c r="AC45" s="45">
        <v>92.1</v>
      </c>
      <c r="AD45" s="45">
        <v>92.1</v>
      </c>
      <c r="AE45" s="45">
        <v>92.1</v>
      </c>
      <c r="AF45" s="45">
        <v>82</v>
      </c>
      <c r="AG45" s="52">
        <v>144</v>
      </c>
      <c r="AH45" s="48">
        <f t="shared" si="2"/>
        <v>92.4</v>
      </c>
      <c r="AI45" s="49">
        <f t="shared" si="3"/>
        <v>71</v>
      </c>
      <c r="AK45" s="50"/>
    </row>
    <row r="46" spans="1:88" x14ac:dyDescent="0.25">
      <c r="A46" s="54" t="s">
        <v>54</v>
      </c>
      <c r="B46" s="65">
        <v>71.400000000000006</v>
      </c>
      <c r="C46" s="65">
        <v>71.900000000000006</v>
      </c>
      <c r="D46" s="65">
        <v>61.6</v>
      </c>
      <c r="E46" s="65">
        <v>61.6</v>
      </c>
      <c r="F46" s="65">
        <v>61.6</v>
      </c>
      <c r="G46" s="65">
        <v>61.6</v>
      </c>
      <c r="H46" s="65">
        <v>71.5</v>
      </c>
      <c r="I46" s="65">
        <v>71.5</v>
      </c>
      <c r="J46" s="65">
        <v>71.5</v>
      </c>
      <c r="K46" s="65">
        <v>71.5</v>
      </c>
      <c r="L46" s="65">
        <v>71.5</v>
      </c>
      <c r="M46" s="65">
        <v>71.5</v>
      </c>
      <c r="N46" s="45">
        <v>69.7</v>
      </c>
      <c r="O46" s="45">
        <v>69.599999999999994</v>
      </c>
      <c r="P46" s="45">
        <v>69.599999999999994</v>
      </c>
      <c r="Q46" s="45">
        <v>69.599999999999994</v>
      </c>
      <c r="R46" s="45">
        <v>69.599999999999994</v>
      </c>
      <c r="S46" s="45">
        <v>71.099999999999994</v>
      </c>
      <c r="T46" s="45">
        <v>71.099999999999994</v>
      </c>
      <c r="U46" s="65">
        <v>71.8</v>
      </c>
      <c r="V46" s="65">
        <v>71.8</v>
      </c>
      <c r="W46" s="65">
        <v>71.8</v>
      </c>
      <c r="X46" s="65">
        <v>71.8</v>
      </c>
      <c r="Y46" s="65">
        <v>71.8</v>
      </c>
      <c r="Z46" s="65">
        <v>71.8</v>
      </c>
      <c r="AA46" s="65">
        <v>71.8</v>
      </c>
      <c r="AB46" s="65">
        <v>71.8</v>
      </c>
      <c r="AC46" s="65">
        <v>71.8</v>
      </c>
      <c r="AD46" s="65">
        <v>71.8</v>
      </c>
      <c r="AE46" s="65">
        <v>55</v>
      </c>
      <c r="AF46" s="65">
        <v>60</v>
      </c>
      <c r="AG46" s="55">
        <v>70</v>
      </c>
      <c r="AH46" s="48">
        <f t="shared" si="2"/>
        <v>71.900000000000006</v>
      </c>
      <c r="AI46" s="49">
        <f t="shared" si="3"/>
        <v>55</v>
      </c>
      <c r="AK46" s="50"/>
    </row>
    <row r="47" spans="1:88" x14ac:dyDescent="0.25">
      <c r="A47" s="54" t="s">
        <v>55</v>
      </c>
      <c r="B47" s="65">
        <v>41.3</v>
      </c>
      <c r="C47" s="65">
        <v>41.2</v>
      </c>
      <c r="D47" s="65">
        <v>41.9</v>
      </c>
      <c r="E47" s="65">
        <v>41.9</v>
      </c>
      <c r="F47" s="65">
        <v>41.9</v>
      </c>
      <c r="G47" s="65">
        <v>41.9</v>
      </c>
      <c r="H47" s="65">
        <v>41.9</v>
      </c>
      <c r="I47" s="65">
        <v>41.9</v>
      </c>
      <c r="J47" s="65">
        <v>41.9</v>
      </c>
      <c r="K47" s="65">
        <v>41.9</v>
      </c>
      <c r="L47" s="65">
        <v>41.9</v>
      </c>
      <c r="M47" s="65">
        <v>41.9</v>
      </c>
      <c r="N47" s="45">
        <v>41.5</v>
      </c>
      <c r="O47" s="45">
        <v>41.6</v>
      </c>
      <c r="P47" s="45">
        <v>41.6</v>
      </c>
      <c r="Q47" s="45">
        <v>41.6</v>
      </c>
      <c r="R47" s="45">
        <v>41.6</v>
      </c>
      <c r="S47" s="45">
        <v>40.700000000000003</v>
      </c>
      <c r="T47" s="45">
        <v>40.700000000000003</v>
      </c>
      <c r="U47" s="65">
        <v>40.9</v>
      </c>
      <c r="V47" s="65">
        <v>40.9</v>
      </c>
      <c r="W47" s="65">
        <v>40.9</v>
      </c>
      <c r="X47" s="65">
        <v>40.9</v>
      </c>
      <c r="Y47" s="65">
        <v>40.9</v>
      </c>
      <c r="Z47" s="65">
        <v>40.9</v>
      </c>
      <c r="AA47" s="65">
        <v>40.9</v>
      </c>
      <c r="AB47" s="65">
        <v>40.9</v>
      </c>
      <c r="AC47" s="65">
        <v>40.9</v>
      </c>
      <c r="AD47" s="65">
        <v>40.9</v>
      </c>
      <c r="AE47" s="65">
        <v>35.299999999999997</v>
      </c>
      <c r="AF47" s="65">
        <v>41.2</v>
      </c>
      <c r="AG47" s="55">
        <v>69</v>
      </c>
      <c r="AH47" s="48">
        <f t="shared" si="2"/>
        <v>41.9</v>
      </c>
      <c r="AI47" s="49">
        <f t="shared" si="3"/>
        <v>35.299999999999997</v>
      </c>
      <c r="AK47" s="50"/>
    </row>
    <row r="48" spans="1:88" x14ac:dyDescent="0.25">
      <c r="A48" s="54" t="s">
        <v>56</v>
      </c>
      <c r="B48" s="57">
        <v>60.9</v>
      </c>
      <c r="C48" s="57">
        <v>51.4</v>
      </c>
      <c r="D48" s="57">
        <v>41</v>
      </c>
      <c r="E48" s="57">
        <v>41</v>
      </c>
      <c r="F48" s="57">
        <v>41</v>
      </c>
      <c r="G48" s="57">
        <v>41</v>
      </c>
      <c r="H48" s="57">
        <v>41</v>
      </c>
      <c r="I48" s="57">
        <v>60</v>
      </c>
      <c r="J48" s="57">
        <v>60</v>
      </c>
      <c r="K48" s="57">
        <v>60</v>
      </c>
      <c r="L48" s="57">
        <v>60</v>
      </c>
      <c r="M48" s="57">
        <v>60</v>
      </c>
      <c r="N48" s="45">
        <v>0</v>
      </c>
      <c r="O48" s="45">
        <v>0</v>
      </c>
      <c r="P48" s="45">
        <v>0</v>
      </c>
      <c r="Q48" s="45">
        <v>0</v>
      </c>
      <c r="R48" s="45">
        <v>0</v>
      </c>
      <c r="S48" s="45">
        <v>0</v>
      </c>
      <c r="T48" s="45">
        <v>0</v>
      </c>
      <c r="U48" s="45">
        <v>0</v>
      </c>
      <c r="V48" s="45">
        <v>0</v>
      </c>
      <c r="W48" s="45">
        <v>0</v>
      </c>
      <c r="X48" s="45">
        <v>0</v>
      </c>
      <c r="Y48" s="65">
        <v>60.4</v>
      </c>
      <c r="Z48" s="65">
        <v>60.4</v>
      </c>
      <c r="AA48" s="65">
        <v>60.4</v>
      </c>
      <c r="AB48" s="65">
        <v>60.4</v>
      </c>
      <c r="AC48" s="65">
        <v>60.4</v>
      </c>
      <c r="AD48" s="65">
        <v>60.4</v>
      </c>
      <c r="AE48" s="65">
        <v>60.4</v>
      </c>
      <c r="AF48" s="65">
        <v>40</v>
      </c>
      <c r="AG48" s="55">
        <v>60</v>
      </c>
      <c r="AH48" s="48">
        <f t="shared" si="2"/>
        <v>60.9</v>
      </c>
      <c r="AI48" s="49">
        <f t="shared" si="3"/>
        <v>0</v>
      </c>
      <c r="AK48" s="50"/>
    </row>
    <row r="49" spans="1:41" x14ac:dyDescent="0.25">
      <c r="A49" s="54" t="s">
        <v>57</v>
      </c>
      <c r="B49" s="57">
        <v>0</v>
      </c>
      <c r="C49" s="57">
        <v>0</v>
      </c>
      <c r="D49" s="57">
        <v>0</v>
      </c>
      <c r="E49" s="57">
        <v>0</v>
      </c>
      <c r="F49" s="57">
        <v>0</v>
      </c>
      <c r="G49" s="57">
        <v>0</v>
      </c>
      <c r="H49" s="57">
        <v>0</v>
      </c>
      <c r="I49" s="57">
        <v>0</v>
      </c>
      <c r="J49" s="57">
        <v>0</v>
      </c>
      <c r="K49" s="57">
        <v>0</v>
      </c>
      <c r="L49" s="57">
        <v>0</v>
      </c>
      <c r="M49" s="57">
        <v>0</v>
      </c>
      <c r="N49" s="57">
        <v>0</v>
      </c>
      <c r="O49" s="45">
        <v>0</v>
      </c>
      <c r="P49" s="45">
        <v>0</v>
      </c>
      <c r="Q49" s="45">
        <v>0</v>
      </c>
      <c r="R49" s="45">
        <v>0</v>
      </c>
      <c r="S49" s="45">
        <v>0</v>
      </c>
      <c r="T49" s="45">
        <v>0</v>
      </c>
      <c r="U49" s="45">
        <v>0</v>
      </c>
      <c r="V49" s="45">
        <v>0</v>
      </c>
      <c r="W49" s="45">
        <v>0</v>
      </c>
      <c r="X49" s="4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28.9</v>
      </c>
      <c r="AE49" s="65">
        <v>26.1</v>
      </c>
      <c r="AF49" s="65">
        <v>26.1</v>
      </c>
      <c r="AG49" s="55">
        <v>30</v>
      </c>
      <c r="AH49" s="48">
        <f t="shared" si="2"/>
        <v>28.9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45">
        <v>0</v>
      </c>
      <c r="Z50" s="45">
        <v>0</v>
      </c>
      <c r="AA50" s="45">
        <v>0</v>
      </c>
      <c r="AB50" s="45">
        <v>0</v>
      </c>
      <c r="AC50" s="45">
        <v>0</v>
      </c>
      <c r="AD50" s="45">
        <v>0</v>
      </c>
      <c r="AE50" s="45">
        <v>0</v>
      </c>
      <c r="AF50" s="45">
        <v>0</v>
      </c>
      <c r="AG50" s="55">
        <v>25</v>
      </c>
      <c r="AH50" s="48">
        <f t="shared" si="2"/>
        <v>0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0</v>
      </c>
      <c r="C51" s="65">
        <v>0</v>
      </c>
      <c r="D51" s="65">
        <v>0</v>
      </c>
      <c r="E51" s="65">
        <v>0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0</v>
      </c>
      <c r="Y51" s="45">
        <v>0</v>
      </c>
      <c r="Z51" s="45">
        <v>0</v>
      </c>
      <c r="AA51" s="45">
        <v>0</v>
      </c>
      <c r="AB51" s="45">
        <v>0</v>
      </c>
      <c r="AC51" s="45">
        <v>0</v>
      </c>
      <c r="AD51" s="45">
        <v>0</v>
      </c>
      <c r="AE51" s="45">
        <v>0</v>
      </c>
      <c r="AF51" s="45">
        <v>0</v>
      </c>
      <c r="AG51" s="55">
        <v>24</v>
      </c>
      <c r="AH51" s="48">
        <f t="shared" si="2"/>
        <v>0</v>
      </c>
      <c r="AI51" s="49">
        <f t="shared" si="3"/>
        <v>0</v>
      </c>
      <c r="AK51" s="50"/>
    </row>
    <row r="52" spans="1:41" x14ac:dyDescent="0.25">
      <c r="A52" s="54" t="s">
        <v>60</v>
      </c>
      <c r="B52" s="65">
        <v>3</v>
      </c>
      <c r="C52" s="65">
        <v>3</v>
      </c>
      <c r="D52" s="65">
        <v>3</v>
      </c>
      <c r="E52" s="65">
        <v>3</v>
      </c>
      <c r="F52" s="65">
        <v>3</v>
      </c>
      <c r="G52" s="65">
        <v>3</v>
      </c>
      <c r="H52" s="65">
        <v>3</v>
      </c>
      <c r="I52" s="65">
        <v>3</v>
      </c>
      <c r="J52" s="65">
        <v>3</v>
      </c>
      <c r="K52" s="65">
        <v>3</v>
      </c>
      <c r="L52" s="65">
        <v>3</v>
      </c>
      <c r="M52" s="65">
        <v>3</v>
      </c>
      <c r="N52" s="65">
        <v>3</v>
      </c>
      <c r="O52" s="65">
        <v>3</v>
      </c>
      <c r="P52" s="65">
        <v>3</v>
      </c>
      <c r="Q52" s="65">
        <v>3</v>
      </c>
      <c r="R52" s="65">
        <v>3</v>
      </c>
      <c r="S52" s="65">
        <v>3</v>
      </c>
      <c r="T52" s="65">
        <v>3</v>
      </c>
      <c r="U52" s="65">
        <v>3</v>
      </c>
      <c r="V52" s="65">
        <v>3</v>
      </c>
      <c r="W52" s="65">
        <v>3</v>
      </c>
      <c r="X52" s="65">
        <v>3</v>
      </c>
      <c r="Y52" s="65">
        <v>3</v>
      </c>
      <c r="Z52" s="65">
        <v>3</v>
      </c>
      <c r="AA52" s="65">
        <v>3</v>
      </c>
      <c r="AB52" s="65">
        <v>3</v>
      </c>
      <c r="AC52" s="65">
        <v>3</v>
      </c>
      <c r="AD52" s="65">
        <v>3</v>
      </c>
      <c r="AE52" s="65">
        <v>3</v>
      </c>
      <c r="AF52" s="65">
        <v>3</v>
      </c>
      <c r="AG52" s="55">
        <v>15</v>
      </c>
      <c r="AH52" s="48">
        <f t="shared" si="2"/>
        <v>3</v>
      </c>
      <c r="AI52" s="49">
        <f t="shared" si="3"/>
        <v>3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0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  <c r="AG53" s="55">
        <v>14.1</v>
      </c>
      <c r="AH53" s="48">
        <f t="shared" si="2"/>
        <v>0</v>
      </c>
      <c r="AI53" s="49">
        <f t="shared" si="3"/>
        <v>0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14.4</v>
      </c>
      <c r="C54" s="65">
        <v>14.4</v>
      </c>
      <c r="D54" s="65">
        <v>14.4</v>
      </c>
      <c r="E54" s="65">
        <v>14.4</v>
      </c>
      <c r="F54" s="65">
        <v>7.3</v>
      </c>
      <c r="G54" s="65">
        <v>7.2</v>
      </c>
      <c r="H54" s="65">
        <v>7.2</v>
      </c>
      <c r="I54" s="65">
        <v>7.2</v>
      </c>
      <c r="J54" s="65">
        <v>7.2</v>
      </c>
      <c r="K54" s="65">
        <v>7.2</v>
      </c>
      <c r="L54" s="65">
        <v>7.2</v>
      </c>
      <c r="M54" s="65">
        <v>7.2</v>
      </c>
      <c r="N54" s="65">
        <v>7.2</v>
      </c>
      <c r="O54" s="65">
        <v>7.2</v>
      </c>
      <c r="P54" s="65">
        <v>7.2</v>
      </c>
      <c r="Q54" s="65">
        <v>7.2</v>
      </c>
      <c r="R54" s="65">
        <v>14.1</v>
      </c>
      <c r="S54" s="65">
        <v>14.1</v>
      </c>
      <c r="T54" s="65">
        <v>14.1</v>
      </c>
      <c r="U54" s="65">
        <v>14.1</v>
      </c>
      <c r="V54" s="65">
        <v>14.1</v>
      </c>
      <c r="W54" s="65">
        <v>14.1</v>
      </c>
      <c r="X54" s="65">
        <v>14.1</v>
      </c>
      <c r="Y54" s="65">
        <v>14.1</v>
      </c>
      <c r="Z54" s="65">
        <v>14.1</v>
      </c>
      <c r="AA54" s="65">
        <v>14.1</v>
      </c>
      <c r="AB54" s="65">
        <v>14.1</v>
      </c>
      <c r="AC54" s="65">
        <v>14.1</v>
      </c>
      <c r="AD54" s="65">
        <v>14.1</v>
      </c>
      <c r="AE54" s="65">
        <v>14.1</v>
      </c>
      <c r="AF54" s="65">
        <v>10</v>
      </c>
      <c r="AG54" s="55">
        <v>14</v>
      </c>
      <c r="AH54" s="48">
        <f t="shared" si="2"/>
        <v>14.4</v>
      </c>
      <c r="AI54" s="49">
        <f t="shared" si="3"/>
        <v>7.2</v>
      </c>
      <c r="AK54" s="50"/>
    </row>
    <row r="55" spans="1:41" x14ac:dyDescent="0.25">
      <c r="A55" s="54" t="s">
        <v>63</v>
      </c>
      <c r="B55" s="65">
        <v>6.88</v>
      </c>
      <c r="C55" s="65">
        <v>6.88</v>
      </c>
      <c r="D55" s="65">
        <v>6.88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9</v>
      </c>
      <c r="S55" s="65">
        <v>9</v>
      </c>
      <c r="T55" s="65">
        <v>9</v>
      </c>
      <c r="U55" s="65">
        <v>9</v>
      </c>
      <c r="V55" s="65">
        <v>9</v>
      </c>
      <c r="W55" s="65">
        <v>9</v>
      </c>
      <c r="X55" s="65">
        <v>9</v>
      </c>
      <c r="Y55" s="65">
        <v>9</v>
      </c>
      <c r="Z55" s="65">
        <v>9</v>
      </c>
      <c r="AA55" s="65">
        <v>9</v>
      </c>
      <c r="AB55" s="65">
        <v>9</v>
      </c>
      <c r="AC55" s="65">
        <v>9</v>
      </c>
      <c r="AD55" s="65">
        <v>9</v>
      </c>
      <c r="AE55" s="65">
        <v>9</v>
      </c>
      <c r="AF55" s="65">
        <v>9</v>
      </c>
      <c r="AG55" s="55">
        <v>10.050000000000001</v>
      </c>
      <c r="AH55" s="48">
        <f t="shared" si="2"/>
        <v>9</v>
      </c>
      <c r="AI55" s="49">
        <f t="shared" si="3"/>
        <v>6.88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:AG58" si="6">SUM(B45:B57)</f>
        <v>298.61999999999995</v>
      </c>
      <c r="C58" s="61">
        <f t="shared" si="6"/>
        <v>279.52000000000004</v>
      </c>
      <c r="D58" s="61">
        <f t="shared" si="6"/>
        <v>249.51999999999998</v>
      </c>
      <c r="E58" s="61">
        <f t="shared" si="6"/>
        <v>251.64</v>
      </c>
      <c r="F58" s="61">
        <f t="shared" si="6"/>
        <v>244.54</v>
      </c>
      <c r="G58" s="61">
        <f t="shared" si="6"/>
        <v>244.43999999999997</v>
      </c>
      <c r="H58" s="61">
        <f t="shared" si="6"/>
        <v>275.74</v>
      </c>
      <c r="I58" s="61">
        <f t="shared" si="6"/>
        <v>294.74</v>
      </c>
      <c r="J58" s="61">
        <f t="shared" si="6"/>
        <v>294.74</v>
      </c>
      <c r="K58" s="61">
        <f t="shared" si="6"/>
        <v>294.74</v>
      </c>
      <c r="L58" s="61">
        <f t="shared" si="6"/>
        <v>294.74</v>
      </c>
      <c r="M58" s="61">
        <f t="shared" si="6"/>
        <v>294.74</v>
      </c>
      <c r="N58" s="61">
        <f t="shared" si="6"/>
        <v>232.23999999999998</v>
      </c>
      <c r="O58" s="61">
        <f t="shared" si="6"/>
        <v>232.23999999999995</v>
      </c>
      <c r="P58" s="61">
        <f t="shared" si="6"/>
        <v>232.23999999999995</v>
      </c>
      <c r="Q58" s="61">
        <f t="shared" si="6"/>
        <v>232.23999999999995</v>
      </c>
      <c r="R58" s="61">
        <f t="shared" si="6"/>
        <v>239.13999999999996</v>
      </c>
      <c r="S58" s="61">
        <f t="shared" si="6"/>
        <v>239.83999999999997</v>
      </c>
      <c r="T58" s="61">
        <f t="shared" si="6"/>
        <v>239.83999999999997</v>
      </c>
      <c r="U58" s="61">
        <f t="shared" si="6"/>
        <v>240.43999999999997</v>
      </c>
      <c r="V58" s="61">
        <f t="shared" si="6"/>
        <v>240.43999999999997</v>
      </c>
      <c r="W58" s="61">
        <f t="shared" si="6"/>
        <v>240.43999999999997</v>
      </c>
      <c r="X58" s="61">
        <f t="shared" si="6"/>
        <v>240.43999999999997</v>
      </c>
      <c r="Y58" s="61">
        <v>300.84000000000003</v>
      </c>
      <c r="Z58" s="61">
        <f t="shared" si="6"/>
        <v>301.04000000000002</v>
      </c>
      <c r="AA58" s="61">
        <f t="shared" si="6"/>
        <v>301.04000000000002</v>
      </c>
      <c r="AB58" s="61">
        <f t="shared" si="6"/>
        <v>301.04000000000002</v>
      </c>
      <c r="AC58" s="61">
        <f t="shared" si="6"/>
        <v>301.04000000000002</v>
      </c>
      <c r="AD58" s="61">
        <f t="shared" si="6"/>
        <v>329.94</v>
      </c>
      <c r="AE58" s="61">
        <f t="shared" si="6"/>
        <v>304.74</v>
      </c>
      <c r="AF58" s="61">
        <f t="shared" si="6"/>
        <v>281.03999999999996</v>
      </c>
      <c r="AG58" s="62">
        <f t="shared" si="6"/>
        <v>489.91</v>
      </c>
      <c r="AH58" s="48">
        <f t="shared" si="2"/>
        <v>329.94</v>
      </c>
      <c r="AI58" s="49">
        <f t="shared" si="3"/>
        <v>232.23999999999995</v>
      </c>
      <c r="AK58" s="50"/>
    </row>
    <row r="59" spans="1:41" x14ac:dyDescent="0.25">
      <c r="A59" s="44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/>
      <c r="AC59" s="45"/>
      <c r="AD59" s="45"/>
      <c r="AE59" s="45"/>
      <c r="AF59" s="45"/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/>
      <c r="AC60" s="65"/>
      <c r="AD60" s="65"/>
      <c r="AE60" s="65"/>
      <c r="AF60" s="65"/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67">
        <v>0</v>
      </c>
      <c r="AB61" s="67"/>
      <c r="AC61" s="67"/>
      <c r="AD61" s="67"/>
      <c r="AE61" s="67"/>
      <c r="AF61" s="67"/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AG62" si="7">SUM(B59:B61)</f>
        <v>0</v>
      </c>
      <c r="C62" s="61">
        <f t="shared" si="7"/>
        <v>0</v>
      </c>
      <c r="D62" s="61">
        <f t="shared" si="7"/>
        <v>0</v>
      </c>
      <c r="E62" s="61">
        <f t="shared" si="7"/>
        <v>0</v>
      </c>
      <c r="F62" s="61">
        <f t="shared" si="7"/>
        <v>0</v>
      </c>
      <c r="G62" s="61">
        <f t="shared" si="7"/>
        <v>0</v>
      </c>
      <c r="H62" s="61">
        <f t="shared" si="7"/>
        <v>0</v>
      </c>
      <c r="I62" s="61">
        <f t="shared" si="7"/>
        <v>0</v>
      </c>
      <c r="J62" s="61">
        <f t="shared" si="7"/>
        <v>0</v>
      </c>
      <c r="K62" s="61">
        <f t="shared" si="7"/>
        <v>0</v>
      </c>
      <c r="L62" s="61">
        <f t="shared" si="7"/>
        <v>0</v>
      </c>
      <c r="M62" s="61">
        <f t="shared" si="7"/>
        <v>0</v>
      </c>
      <c r="N62" s="61">
        <f t="shared" si="7"/>
        <v>0</v>
      </c>
      <c r="O62" s="61">
        <f t="shared" si="7"/>
        <v>0</v>
      </c>
      <c r="P62" s="61">
        <f t="shared" si="7"/>
        <v>0</v>
      </c>
      <c r="Q62" s="61">
        <f t="shared" si="7"/>
        <v>0</v>
      </c>
      <c r="R62" s="61">
        <f t="shared" si="7"/>
        <v>0</v>
      </c>
      <c r="S62" s="61">
        <f t="shared" si="7"/>
        <v>0</v>
      </c>
      <c r="T62" s="61">
        <f t="shared" si="7"/>
        <v>0</v>
      </c>
      <c r="U62" s="61">
        <f t="shared" si="7"/>
        <v>0</v>
      </c>
      <c r="V62" s="61">
        <f t="shared" si="7"/>
        <v>0</v>
      </c>
      <c r="W62" s="61">
        <f t="shared" si="7"/>
        <v>0</v>
      </c>
      <c r="X62" s="61">
        <f t="shared" si="7"/>
        <v>0</v>
      </c>
      <c r="Y62" s="61">
        <v>0</v>
      </c>
      <c r="Z62" s="61">
        <f t="shared" si="7"/>
        <v>0</v>
      </c>
      <c r="AA62" s="61">
        <f t="shared" si="7"/>
        <v>0</v>
      </c>
      <c r="AB62" s="61">
        <f t="shared" si="7"/>
        <v>0</v>
      </c>
      <c r="AC62" s="61">
        <f t="shared" si="7"/>
        <v>0</v>
      </c>
      <c r="AD62" s="61">
        <f t="shared" si="7"/>
        <v>0</v>
      </c>
      <c r="AE62" s="61">
        <f t="shared" si="7"/>
        <v>0</v>
      </c>
      <c r="AF62" s="61">
        <f t="shared" si="7"/>
        <v>0</v>
      </c>
      <c r="AG62" s="62">
        <f t="shared" si="7"/>
        <v>106</v>
      </c>
      <c r="AH62" s="48">
        <f t="shared" si="2"/>
        <v>0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28</v>
      </c>
      <c r="O63" s="45">
        <v>18.600000000000001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40</v>
      </c>
      <c r="Y63" s="45">
        <v>49.2</v>
      </c>
      <c r="Z63" s="45">
        <v>43.1</v>
      </c>
      <c r="AA63" s="45">
        <v>38.9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49.2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-367</v>
      </c>
      <c r="C65" s="65">
        <v>-364</v>
      </c>
      <c r="D65" s="65">
        <v>-370</v>
      </c>
      <c r="E65" s="65">
        <v>-387.9</v>
      </c>
      <c r="F65" s="65">
        <v>-383</v>
      </c>
      <c r="G65" s="65">
        <v>-385.2</v>
      </c>
      <c r="H65" s="65">
        <v>-367</v>
      </c>
      <c r="I65" s="65">
        <v>-378.2</v>
      </c>
      <c r="J65" s="65">
        <v>-367</v>
      </c>
      <c r="K65" s="65">
        <v>-358</v>
      </c>
      <c r="L65" s="65">
        <v>-370</v>
      </c>
      <c r="M65" s="65">
        <v>-392</v>
      </c>
      <c r="N65" s="65">
        <v>-365</v>
      </c>
      <c r="O65" s="65">
        <v>-376.1</v>
      </c>
      <c r="P65" s="65">
        <v>-392.6</v>
      </c>
      <c r="Q65" s="65">
        <v>-402.2</v>
      </c>
      <c r="R65" s="65">
        <v>-383.1</v>
      </c>
      <c r="S65" s="65">
        <v>-351.7</v>
      </c>
      <c r="T65" s="65">
        <v>-306</v>
      </c>
      <c r="U65" s="65">
        <v>-308.60000000000002</v>
      </c>
      <c r="V65" s="65">
        <v>-217</v>
      </c>
      <c r="W65" s="65">
        <v>-200</v>
      </c>
      <c r="X65" s="65">
        <v>-250</v>
      </c>
      <c r="Y65" s="65">
        <v>-256</v>
      </c>
      <c r="Z65" s="65">
        <v>-381</v>
      </c>
      <c r="AA65" s="65">
        <v>-366</v>
      </c>
      <c r="AB65" s="65">
        <v>-373</v>
      </c>
      <c r="AC65" s="65">
        <v>-379</v>
      </c>
      <c r="AD65" s="65">
        <v>-398</v>
      </c>
      <c r="AE65" s="65">
        <v>-389</v>
      </c>
      <c r="AF65" s="65">
        <v>-381</v>
      </c>
      <c r="AG65" s="75"/>
      <c r="AH65" s="48">
        <f t="shared" si="2"/>
        <v>-200</v>
      </c>
      <c r="AI65" s="49">
        <f t="shared" si="3"/>
        <v>-402.2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>
        <v>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7">
        <v>0</v>
      </c>
      <c r="C70" s="77">
        <v>0</v>
      </c>
      <c r="D70" s="77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7">
        <v>0</v>
      </c>
      <c r="C71" s="77">
        <v>0</v>
      </c>
      <c r="D71" s="77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7">
        <v>0</v>
      </c>
      <c r="C72" s="77">
        <v>0</v>
      </c>
      <c r="D72" s="77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9"/>
      <c r="C73" s="79"/>
      <c r="D73" s="79"/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:AF74" si="8">SUMIF(B63:B73,"&gt;0")</f>
        <v>0</v>
      </c>
      <c r="C74" s="61">
        <f t="shared" si="8"/>
        <v>0</v>
      </c>
      <c r="D74" s="61">
        <f t="shared" si="8"/>
        <v>0</v>
      </c>
      <c r="E74" s="61">
        <f t="shared" si="8"/>
        <v>0</v>
      </c>
      <c r="F74" s="61">
        <f t="shared" si="8"/>
        <v>0</v>
      </c>
      <c r="G74" s="61">
        <f t="shared" si="8"/>
        <v>0</v>
      </c>
      <c r="H74" s="61">
        <f t="shared" si="8"/>
        <v>0</v>
      </c>
      <c r="I74" s="61">
        <f t="shared" si="8"/>
        <v>0</v>
      </c>
      <c r="J74" s="61">
        <f t="shared" si="8"/>
        <v>0</v>
      </c>
      <c r="K74" s="61">
        <f t="shared" si="8"/>
        <v>0</v>
      </c>
      <c r="L74" s="61">
        <f t="shared" si="8"/>
        <v>0</v>
      </c>
      <c r="M74" s="61">
        <f t="shared" si="8"/>
        <v>0</v>
      </c>
      <c r="N74" s="61">
        <f t="shared" si="8"/>
        <v>28</v>
      </c>
      <c r="O74" s="61">
        <f t="shared" si="8"/>
        <v>18.600000000000001</v>
      </c>
      <c r="P74" s="61">
        <f t="shared" si="8"/>
        <v>0</v>
      </c>
      <c r="Q74" s="61">
        <f t="shared" si="8"/>
        <v>0</v>
      </c>
      <c r="R74" s="61">
        <f t="shared" si="8"/>
        <v>0</v>
      </c>
      <c r="S74" s="61">
        <f t="shared" si="8"/>
        <v>0</v>
      </c>
      <c r="T74" s="61">
        <f t="shared" si="8"/>
        <v>0</v>
      </c>
      <c r="U74" s="61">
        <f t="shared" si="8"/>
        <v>0</v>
      </c>
      <c r="V74" s="61">
        <f t="shared" si="8"/>
        <v>0</v>
      </c>
      <c r="W74" s="61">
        <f t="shared" si="8"/>
        <v>0</v>
      </c>
      <c r="X74" s="61">
        <f t="shared" si="8"/>
        <v>40</v>
      </c>
      <c r="Y74" s="61">
        <v>49.2</v>
      </c>
      <c r="Z74" s="61">
        <f t="shared" si="8"/>
        <v>43.1</v>
      </c>
      <c r="AA74" s="61">
        <f t="shared" si="8"/>
        <v>38.9</v>
      </c>
      <c r="AB74" s="61">
        <f t="shared" si="8"/>
        <v>0</v>
      </c>
      <c r="AC74" s="61">
        <f t="shared" si="8"/>
        <v>0</v>
      </c>
      <c r="AD74" s="61">
        <f t="shared" si="8"/>
        <v>0</v>
      </c>
      <c r="AE74" s="61">
        <f t="shared" si="8"/>
        <v>0</v>
      </c>
      <c r="AF74" s="61">
        <f t="shared" si="8"/>
        <v>0</v>
      </c>
      <c r="AG74" s="81">
        <f>SUM(AG63:AG73)</f>
        <v>0</v>
      </c>
      <c r="AH74" s="48">
        <f t="shared" si="2"/>
        <v>49.2</v>
      </c>
      <c r="AI74" s="49">
        <f t="shared" si="3"/>
        <v>0</v>
      </c>
      <c r="AK74" s="50"/>
    </row>
    <row r="75" spans="1:37" x14ac:dyDescent="0.25">
      <c r="A75" s="44" t="s">
        <v>83</v>
      </c>
      <c r="B75" s="76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/>
      <c r="AC75" s="76"/>
      <c r="AD75" s="76"/>
      <c r="AE75" s="76"/>
      <c r="AF75" s="76"/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/>
      <c r="AC76" s="77"/>
      <c r="AD76" s="77"/>
      <c r="AE76" s="77"/>
      <c r="AF76" s="77"/>
      <c r="AG76" s="75">
        <v>14.4</v>
      </c>
      <c r="AH76" s="48">
        <f t="shared" ref="AH76:AH109" si="9">MAX(B76:AF76)</f>
        <v>0</v>
      </c>
      <c r="AI76" s="49">
        <f t="shared" ref="AI76:AI109" si="10">MIN(B76:AF76)</f>
        <v>0</v>
      </c>
      <c r="AK76" s="50"/>
    </row>
    <row r="77" spans="1:37" ht="15.75" thickBot="1" x14ac:dyDescent="0.3">
      <c r="A77" s="78" t="s">
        <v>85</v>
      </c>
      <c r="B77" s="79">
        <v>0</v>
      </c>
      <c r="C77" s="79">
        <v>0</v>
      </c>
      <c r="D77" s="79">
        <v>0</v>
      </c>
      <c r="E77" s="79">
        <v>0</v>
      </c>
      <c r="F77" s="79">
        <v>0</v>
      </c>
      <c r="G77" s="79">
        <v>0</v>
      </c>
      <c r="H77" s="79">
        <v>0</v>
      </c>
      <c r="I77" s="79">
        <v>0</v>
      </c>
      <c r="J77" s="79">
        <v>0</v>
      </c>
      <c r="K77" s="79">
        <v>0</v>
      </c>
      <c r="L77" s="79">
        <v>0</v>
      </c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>
        <v>0</v>
      </c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79"/>
      <c r="AC77" s="79"/>
      <c r="AD77" s="79"/>
      <c r="AE77" s="79"/>
      <c r="AF77" s="79"/>
      <c r="AG77" s="80">
        <v>2</v>
      </c>
      <c r="AH77" s="48">
        <f t="shared" si="9"/>
        <v>0</v>
      </c>
      <c r="AI77" s="49">
        <f t="shared" si="10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9"/>
        <v>0</v>
      </c>
      <c r="AI78" s="49">
        <f t="shared" si="10"/>
        <v>0</v>
      </c>
    </row>
    <row r="79" spans="1:37" ht="15.75" thickBot="1" x14ac:dyDescent="0.3">
      <c r="A79" s="74" t="s">
        <v>87</v>
      </c>
      <c r="B79" s="83">
        <f t="shared" ref="B79:AG79" si="11">B40+B44+B62+B58+B74+B78</f>
        <v>1481.02</v>
      </c>
      <c r="C79" s="83">
        <f t="shared" si="11"/>
        <v>1427.72</v>
      </c>
      <c r="D79" s="83">
        <f t="shared" si="11"/>
        <v>1397.12</v>
      </c>
      <c r="E79" s="83">
        <f t="shared" si="11"/>
        <v>1420.2399999999998</v>
      </c>
      <c r="F79" s="83">
        <f t="shared" si="11"/>
        <v>1413.1399999999999</v>
      </c>
      <c r="G79" s="83">
        <f t="shared" si="11"/>
        <v>1413.04</v>
      </c>
      <c r="H79" s="83">
        <f t="shared" si="11"/>
        <v>1444.34</v>
      </c>
      <c r="I79" s="83">
        <f t="shared" si="11"/>
        <v>1467.34</v>
      </c>
      <c r="J79" s="83">
        <f t="shared" si="11"/>
        <v>1513.34</v>
      </c>
      <c r="K79" s="83">
        <f t="shared" si="11"/>
        <v>1574.34</v>
      </c>
      <c r="L79" s="83">
        <f t="shared" si="11"/>
        <v>1639.34</v>
      </c>
      <c r="M79" s="83">
        <f t="shared" si="11"/>
        <v>1657.34</v>
      </c>
      <c r="N79" s="83">
        <f t="shared" si="11"/>
        <v>1585.64</v>
      </c>
      <c r="O79" s="83">
        <f t="shared" si="11"/>
        <v>1583.4399999999998</v>
      </c>
      <c r="P79" s="83">
        <f t="shared" si="11"/>
        <v>1533.24</v>
      </c>
      <c r="Q79" s="83">
        <f t="shared" si="11"/>
        <v>1533.24</v>
      </c>
      <c r="R79" s="83">
        <f t="shared" si="11"/>
        <v>1540.1399999999999</v>
      </c>
      <c r="S79" s="83">
        <f t="shared" si="11"/>
        <v>1506.84</v>
      </c>
      <c r="T79" s="83">
        <f t="shared" si="11"/>
        <v>1482.9399999999998</v>
      </c>
      <c r="U79" s="83">
        <f t="shared" si="11"/>
        <v>1463.54</v>
      </c>
      <c r="V79" s="83">
        <f t="shared" si="11"/>
        <v>1443.54</v>
      </c>
      <c r="W79" s="83">
        <f t="shared" si="11"/>
        <v>1403.54</v>
      </c>
      <c r="X79" s="83">
        <f t="shared" si="11"/>
        <v>1548.44</v>
      </c>
      <c r="Y79" s="83">
        <v>1652.34</v>
      </c>
      <c r="Z79" s="83">
        <f t="shared" si="11"/>
        <v>1702.4399999999998</v>
      </c>
      <c r="AA79" s="83">
        <f t="shared" si="11"/>
        <v>1639.24</v>
      </c>
      <c r="AB79" s="83">
        <f t="shared" si="11"/>
        <v>1600.34</v>
      </c>
      <c r="AC79" s="83">
        <f t="shared" si="11"/>
        <v>1547.1399999999999</v>
      </c>
      <c r="AD79" s="83">
        <f t="shared" si="11"/>
        <v>1511.24</v>
      </c>
      <c r="AE79" s="83">
        <f t="shared" si="11"/>
        <v>1395.24</v>
      </c>
      <c r="AF79" s="83">
        <f t="shared" si="11"/>
        <v>1406.34</v>
      </c>
      <c r="AG79" s="62">
        <f t="shared" si="11"/>
        <v>1897.1900000000003</v>
      </c>
      <c r="AH79" s="48">
        <f t="shared" si="9"/>
        <v>1702.4399999999998</v>
      </c>
      <c r="AI79" s="49">
        <f t="shared" si="10"/>
        <v>1395.24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9"/>
        <v>0</v>
      </c>
      <c r="AI80" s="49">
        <f t="shared" si="10"/>
        <v>0</v>
      </c>
    </row>
    <row r="81" spans="1:37" ht="15.75" thickBot="1" x14ac:dyDescent="0.3">
      <c r="A81" s="74" t="s">
        <v>89</v>
      </c>
      <c r="B81" s="83">
        <f t="shared" ref="B81:AF81" si="12">B79+B80</f>
        <v>1481.02</v>
      </c>
      <c r="C81" s="83">
        <f t="shared" si="12"/>
        <v>1427.72</v>
      </c>
      <c r="D81" s="83">
        <f t="shared" si="12"/>
        <v>1397.12</v>
      </c>
      <c r="E81" s="83">
        <f t="shared" si="12"/>
        <v>1420.2399999999998</v>
      </c>
      <c r="F81" s="83">
        <f t="shared" si="12"/>
        <v>1413.1399999999999</v>
      </c>
      <c r="G81" s="83">
        <f t="shared" si="12"/>
        <v>1413.04</v>
      </c>
      <c r="H81" s="83">
        <f t="shared" si="12"/>
        <v>1444.34</v>
      </c>
      <c r="I81" s="83">
        <f t="shared" si="12"/>
        <v>1467.34</v>
      </c>
      <c r="J81" s="83">
        <f t="shared" si="12"/>
        <v>1513.34</v>
      </c>
      <c r="K81" s="83">
        <f t="shared" si="12"/>
        <v>1574.34</v>
      </c>
      <c r="L81" s="83">
        <f t="shared" si="12"/>
        <v>1639.34</v>
      </c>
      <c r="M81" s="83">
        <f t="shared" si="12"/>
        <v>1657.34</v>
      </c>
      <c r="N81" s="83">
        <f t="shared" si="12"/>
        <v>1585.64</v>
      </c>
      <c r="O81" s="83">
        <f t="shared" si="12"/>
        <v>1583.4399999999998</v>
      </c>
      <c r="P81" s="83">
        <f t="shared" si="12"/>
        <v>1533.24</v>
      </c>
      <c r="Q81" s="83">
        <f t="shared" si="12"/>
        <v>1533.24</v>
      </c>
      <c r="R81" s="83">
        <f t="shared" si="12"/>
        <v>1540.1399999999999</v>
      </c>
      <c r="S81" s="83">
        <f t="shared" si="12"/>
        <v>1506.84</v>
      </c>
      <c r="T81" s="83">
        <f t="shared" si="12"/>
        <v>1482.9399999999998</v>
      </c>
      <c r="U81" s="83">
        <f t="shared" si="12"/>
        <v>1463.54</v>
      </c>
      <c r="V81" s="83">
        <f t="shared" si="12"/>
        <v>1443.54</v>
      </c>
      <c r="W81" s="83">
        <f t="shared" si="12"/>
        <v>1403.54</v>
      </c>
      <c r="X81" s="83">
        <f t="shared" si="12"/>
        <v>1548.44</v>
      </c>
      <c r="Y81" s="83">
        <v>1652.34</v>
      </c>
      <c r="Z81" s="83">
        <f t="shared" si="12"/>
        <v>1702.4399999999998</v>
      </c>
      <c r="AA81" s="83">
        <f t="shared" si="12"/>
        <v>1639.24</v>
      </c>
      <c r="AB81" s="83">
        <f t="shared" si="12"/>
        <v>1600.34</v>
      </c>
      <c r="AC81" s="83">
        <f t="shared" si="12"/>
        <v>1547.1399999999999</v>
      </c>
      <c r="AD81" s="83">
        <f t="shared" si="12"/>
        <v>1511.24</v>
      </c>
      <c r="AE81" s="83">
        <f t="shared" si="12"/>
        <v>1395.24</v>
      </c>
      <c r="AF81" s="83">
        <f t="shared" si="12"/>
        <v>1406.34</v>
      </c>
      <c r="AG81" s="81">
        <f>AG78+AG74+AG62+AG58+AG40+AG80</f>
        <v>1359.0900000000001</v>
      </c>
      <c r="AH81" s="48">
        <f t="shared" si="9"/>
        <v>1702.4399999999998</v>
      </c>
      <c r="AI81" s="49">
        <f t="shared" si="10"/>
        <v>1395.24</v>
      </c>
    </row>
    <row r="82" spans="1:37" ht="15.75" thickBot="1" x14ac:dyDescent="0.3">
      <c r="A82" s="74" t="s">
        <v>90</v>
      </c>
      <c r="B82" s="83">
        <f t="shared" ref="B82:AF82" si="13">B81-B89</f>
        <v>1114.02</v>
      </c>
      <c r="C82" s="83">
        <f t="shared" si="13"/>
        <v>1063.72</v>
      </c>
      <c r="D82" s="83">
        <f t="shared" si="13"/>
        <v>1027.1199999999999</v>
      </c>
      <c r="E82" s="83">
        <f t="shared" si="13"/>
        <v>1032.3399999999997</v>
      </c>
      <c r="F82" s="83">
        <f t="shared" si="13"/>
        <v>1030.1399999999999</v>
      </c>
      <c r="G82" s="83">
        <f t="shared" si="13"/>
        <v>1027.8399999999999</v>
      </c>
      <c r="H82" s="83">
        <f t="shared" si="13"/>
        <v>1077.3399999999999</v>
      </c>
      <c r="I82" s="83">
        <f t="shared" si="13"/>
        <v>1089.1399999999999</v>
      </c>
      <c r="J82" s="83">
        <f t="shared" si="13"/>
        <v>1146.3399999999999</v>
      </c>
      <c r="K82" s="83">
        <f t="shared" si="13"/>
        <v>1216.3399999999999</v>
      </c>
      <c r="L82" s="83">
        <f t="shared" si="13"/>
        <v>1269.3399999999999</v>
      </c>
      <c r="M82" s="83">
        <f t="shared" si="13"/>
        <v>1265.3399999999999</v>
      </c>
      <c r="N82" s="83">
        <f t="shared" si="13"/>
        <v>1220.6400000000001</v>
      </c>
      <c r="O82" s="83">
        <f t="shared" si="13"/>
        <v>1207.3399999999997</v>
      </c>
      <c r="P82" s="83">
        <f t="shared" si="13"/>
        <v>1140.6399999999999</v>
      </c>
      <c r="Q82" s="83">
        <f t="shared" si="13"/>
        <v>1131.04</v>
      </c>
      <c r="R82" s="83">
        <f t="shared" si="13"/>
        <v>1157.04</v>
      </c>
      <c r="S82" s="83">
        <f t="shared" si="13"/>
        <v>1155.1399999999999</v>
      </c>
      <c r="T82" s="83">
        <f t="shared" si="13"/>
        <v>1176.9399999999998</v>
      </c>
      <c r="U82" s="83">
        <f t="shared" si="13"/>
        <v>1154.94</v>
      </c>
      <c r="V82" s="83">
        <f t="shared" si="13"/>
        <v>1226.54</v>
      </c>
      <c r="W82" s="83">
        <f t="shared" si="13"/>
        <v>1203.54</v>
      </c>
      <c r="X82" s="83">
        <f t="shared" si="13"/>
        <v>1298.44</v>
      </c>
      <c r="Y82" s="83">
        <v>1396.34</v>
      </c>
      <c r="Z82" s="83">
        <f t="shared" si="13"/>
        <v>1321.4399999999998</v>
      </c>
      <c r="AA82" s="83">
        <f t="shared" si="13"/>
        <v>1273.24</v>
      </c>
      <c r="AB82" s="83">
        <f t="shared" si="13"/>
        <v>1227.3399999999999</v>
      </c>
      <c r="AC82" s="83">
        <f t="shared" si="13"/>
        <v>1168.1399999999999</v>
      </c>
      <c r="AD82" s="83">
        <f t="shared" si="13"/>
        <v>1113.24</v>
      </c>
      <c r="AE82" s="83">
        <f t="shared" si="13"/>
        <v>1006.24</v>
      </c>
      <c r="AF82" s="83">
        <f t="shared" si="13"/>
        <v>1025.3399999999999</v>
      </c>
      <c r="AG82" s="81"/>
      <c r="AH82" s="48">
        <f t="shared" si="9"/>
        <v>1396.34</v>
      </c>
      <c r="AI82" s="49">
        <f t="shared" si="10"/>
        <v>1006.24</v>
      </c>
    </row>
    <row r="83" spans="1:37" x14ac:dyDescent="0.25">
      <c r="A83" s="44" t="s">
        <v>74</v>
      </c>
      <c r="B83" s="76">
        <f t="shared" ref="B83:AF83" si="14">IF(B66&lt;0,B66*-1,0)</f>
        <v>0</v>
      </c>
      <c r="C83" s="76">
        <f t="shared" si="14"/>
        <v>0</v>
      </c>
      <c r="D83" s="76">
        <f t="shared" si="14"/>
        <v>0</v>
      </c>
      <c r="E83" s="76">
        <f t="shared" si="14"/>
        <v>0</v>
      </c>
      <c r="F83" s="76">
        <f t="shared" si="14"/>
        <v>0</v>
      </c>
      <c r="G83" s="76">
        <f t="shared" si="14"/>
        <v>0</v>
      </c>
      <c r="H83" s="76">
        <f t="shared" si="14"/>
        <v>0</v>
      </c>
      <c r="I83" s="76">
        <f t="shared" si="14"/>
        <v>0</v>
      </c>
      <c r="J83" s="76">
        <f t="shared" si="14"/>
        <v>0</v>
      </c>
      <c r="K83" s="76">
        <f t="shared" si="14"/>
        <v>0</v>
      </c>
      <c r="L83" s="76">
        <f t="shared" si="14"/>
        <v>0</v>
      </c>
      <c r="M83" s="76">
        <f t="shared" si="14"/>
        <v>0</v>
      </c>
      <c r="N83" s="76">
        <f t="shared" si="14"/>
        <v>0</v>
      </c>
      <c r="O83" s="76">
        <f t="shared" si="14"/>
        <v>0</v>
      </c>
      <c r="P83" s="76">
        <f t="shared" si="14"/>
        <v>0</v>
      </c>
      <c r="Q83" s="76">
        <f t="shared" si="14"/>
        <v>0</v>
      </c>
      <c r="R83" s="76">
        <f t="shared" si="14"/>
        <v>0</v>
      </c>
      <c r="S83" s="76">
        <f t="shared" si="14"/>
        <v>0</v>
      </c>
      <c r="T83" s="76">
        <f t="shared" si="14"/>
        <v>0</v>
      </c>
      <c r="U83" s="76">
        <f t="shared" si="14"/>
        <v>0</v>
      </c>
      <c r="V83" s="76">
        <f t="shared" si="14"/>
        <v>0</v>
      </c>
      <c r="W83" s="76">
        <f t="shared" si="14"/>
        <v>0</v>
      </c>
      <c r="X83" s="76">
        <f t="shared" si="14"/>
        <v>0</v>
      </c>
      <c r="Y83" s="76">
        <v>0</v>
      </c>
      <c r="Z83" s="76">
        <f t="shared" si="14"/>
        <v>0</v>
      </c>
      <c r="AA83" s="76">
        <f t="shared" si="14"/>
        <v>0</v>
      </c>
      <c r="AB83" s="76">
        <f t="shared" si="14"/>
        <v>0</v>
      </c>
      <c r="AC83" s="76">
        <f t="shared" si="14"/>
        <v>0</v>
      </c>
      <c r="AD83" s="76">
        <f t="shared" si="14"/>
        <v>0</v>
      </c>
      <c r="AE83" s="76">
        <f t="shared" si="14"/>
        <v>0</v>
      </c>
      <c r="AF83" s="76">
        <f t="shared" si="14"/>
        <v>0</v>
      </c>
      <c r="AG83" s="52"/>
      <c r="AH83" s="48">
        <f t="shared" si="9"/>
        <v>0</v>
      </c>
      <c r="AI83" s="49">
        <f t="shared" si="10"/>
        <v>0</v>
      </c>
    </row>
    <row r="84" spans="1:37" x14ac:dyDescent="0.25">
      <c r="A84" s="54" t="s">
        <v>72</v>
      </c>
      <c r="B84" s="76">
        <f t="shared" ref="B84:AF84" si="15">IF(B64&lt;0,B64*-1,0)</f>
        <v>0</v>
      </c>
      <c r="C84" s="76">
        <f t="shared" si="15"/>
        <v>0</v>
      </c>
      <c r="D84" s="76">
        <f t="shared" si="15"/>
        <v>0</v>
      </c>
      <c r="E84" s="76">
        <f t="shared" si="15"/>
        <v>0</v>
      </c>
      <c r="F84" s="76">
        <f t="shared" si="15"/>
        <v>0</v>
      </c>
      <c r="G84" s="76">
        <f t="shared" si="15"/>
        <v>0</v>
      </c>
      <c r="H84" s="76">
        <f t="shared" si="15"/>
        <v>0</v>
      </c>
      <c r="I84" s="76">
        <f t="shared" si="15"/>
        <v>0</v>
      </c>
      <c r="J84" s="76">
        <f t="shared" si="15"/>
        <v>0</v>
      </c>
      <c r="K84" s="76">
        <f t="shared" si="15"/>
        <v>0</v>
      </c>
      <c r="L84" s="76">
        <f t="shared" si="15"/>
        <v>0</v>
      </c>
      <c r="M84" s="76">
        <f t="shared" si="15"/>
        <v>0</v>
      </c>
      <c r="N84" s="76">
        <f t="shared" si="15"/>
        <v>0</v>
      </c>
      <c r="O84" s="76">
        <f t="shared" si="15"/>
        <v>0</v>
      </c>
      <c r="P84" s="76">
        <f t="shared" si="15"/>
        <v>0</v>
      </c>
      <c r="Q84" s="76">
        <f t="shared" si="15"/>
        <v>0</v>
      </c>
      <c r="R84" s="76">
        <f t="shared" si="15"/>
        <v>0</v>
      </c>
      <c r="S84" s="76">
        <f t="shared" si="15"/>
        <v>0</v>
      </c>
      <c r="T84" s="76">
        <f t="shared" si="15"/>
        <v>0</v>
      </c>
      <c r="U84" s="76">
        <f t="shared" si="15"/>
        <v>0</v>
      </c>
      <c r="V84" s="76">
        <f t="shared" si="15"/>
        <v>0</v>
      </c>
      <c r="W84" s="76">
        <f t="shared" si="15"/>
        <v>0</v>
      </c>
      <c r="X84" s="76">
        <f t="shared" si="15"/>
        <v>0</v>
      </c>
      <c r="Y84" s="76">
        <v>0</v>
      </c>
      <c r="Z84" s="76">
        <f t="shared" si="15"/>
        <v>0</v>
      </c>
      <c r="AA84" s="76">
        <f t="shared" si="15"/>
        <v>0</v>
      </c>
      <c r="AB84" s="76">
        <f t="shared" si="15"/>
        <v>0</v>
      </c>
      <c r="AC84" s="76">
        <f t="shared" si="15"/>
        <v>0</v>
      </c>
      <c r="AD84" s="76">
        <f t="shared" si="15"/>
        <v>0</v>
      </c>
      <c r="AE84" s="76">
        <f t="shared" si="15"/>
        <v>0</v>
      </c>
      <c r="AF84" s="76">
        <f t="shared" si="15"/>
        <v>0</v>
      </c>
      <c r="AG84" s="55"/>
      <c r="AH84" s="48">
        <f t="shared" si="9"/>
        <v>0</v>
      </c>
      <c r="AI84" s="49">
        <f t="shared" si="10"/>
        <v>0</v>
      </c>
    </row>
    <row r="85" spans="1:37" x14ac:dyDescent="0.25">
      <c r="A85" s="78" t="s">
        <v>91</v>
      </c>
      <c r="B85" s="76">
        <f t="shared" ref="B85:AF85" si="16">IF(B67&lt;0,B67*-1,0)</f>
        <v>0</v>
      </c>
      <c r="C85" s="76">
        <f t="shared" si="16"/>
        <v>0</v>
      </c>
      <c r="D85" s="76">
        <f t="shared" si="16"/>
        <v>0</v>
      </c>
      <c r="E85" s="76">
        <f t="shared" si="16"/>
        <v>0</v>
      </c>
      <c r="F85" s="76">
        <f t="shared" si="16"/>
        <v>0</v>
      </c>
      <c r="G85" s="76">
        <f t="shared" si="16"/>
        <v>0</v>
      </c>
      <c r="H85" s="76">
        <f t="shared" si="16"/>
        <v>0</v>
      </c>
      <c r="I85" s="76">
        <f t="shared" si="16"/>
        <v>0</v>
      </c>
      <c r="J85" s="76">
        <f t="shared" si="16"/>
        <v>0</v>
      </c>
      <c r="K85" s="76">
        <f t="shared" si="16"/>
        <v>0</v>
      </c>
      <c r="L85" s="76">
        <f t="shared" si="16"/>
        <v>0</v>
      </c>
      <c r="M85" s="76">
        <f t="shared" si="16"/>
        <v>0</v>
      </c>
      <c r="N85" s="76">
        <f t="shared" si="16"/>
        <v>0</v>
      </c>
      <c r="O85" s="76">
        <f t="shared" si="16"/>
        <v>0</v>
      </c>
      <c r="P85" s="76">
        <f t="shared" si="16"/>
        <v>0</v>
      </c>
      <c r="Q85" s="76">
        <f t="shared" si="16"/>
        <v>0</v>
      </c>
      <c r="R85" s="76">
        <f t="shared" si="16"/>
        <v>0</v>
      </c>
      <c r="S85" s="76">
        <f t="shared" si="16"/>
        <v>0</v>
      </c>
      <c r="T85" s="76">
        <f t="shared" si="16"/>
        <v>0</v>
      </c>
      <c r="U85" s="76">
        <f t="shared" si="16"/>
        <v>0</v>
      </c>
      <c r="V85" s="76">
        <f t="shared" si="16"/>
        <v>0</v>
      </c>
      <c r="W85" s="76">
        <f t="shared" si="16"/>
        <v>0</v>
      </c>
      <c r="X85" s="76">
        <f t="shared" si="16"/>
        <v>0</v>
      </c>
      <c r="Y85" s="76">
        <v>0</v>
      </c>
      <c r="Z85" s="76">
        <f t="shared" si="16"/>
        <v>0</v>
      </c>
      <c r="AA85" s="76">
        <f t="shared" si="16"/>
        <v>0</v>
      </c>
      <c r="AB85" s="76">
        <f t="shared" si="16"/>
        <v>0</v>
      </c>
      <c r="AC85" s="76">
        <f t="shared" si="16"/>
        <v>0</v>
      </c>
      <c r="AD85" s="76">
        <f t="shared" si="16"/>
        <v>0</v>
      </c>
      <c r="AE85" s="76">
        <f t="shared" si="16"/>
        <v>0</v>
      </c>
      <c r="AF85" s="76">
        <f t="shared" si="16"/>
        <v>0</v>
      </c>
      <c r="AG85" s="86"/>
      <c r="AH85" s="48">
        <f t="shared" si="9"/>
        <v>0</v>
      </c>
      <c r="AI85" s="49">
        <f t="shared" si="10"/>
        <v>0</v>
      </c>
    </row>
    <row r="86" spans="1:37" x14ac:dyDescent="0.25">
      <c r="A86" s="78" t="s">
        <v>92</v>
      </c>
      <c r="B86" s="76">
        <f t="shared" ref="B86:AF86" si="17">IF(B65&lt;0,B65*-1,0)</f>
        <v>367</v>
      </c>
      <c r="C86" s="76">
        <f t="shared" si="17"/>
        <v>364</v>
      </c>
      <c r="D86" s="76">
        <f t="shared" si="17"/>
        <v>370</v>
      </c>
      <c r="E86" s="76">
        <f t="shared" si="17"/>
        <v>387.9</v>
      </c>
      <c r="F86" s="76">
        <f t="shared" si="17"/>
        <v>383</v>
      </c>
      <c r="G86" s="76">
        <f t="shared" si="17"/>
        <v>385.2</v>
      </c>
      <c r="H86" s="76">
        <f t="shared" si="17"/>
        <v>367</v>
      </c>
      <c r="I86" s="76">
        <f t="shared" si="17"/>
        <v>378.2</v>
      </c>
      <c r="J86" s="76">
        <f t="shared" si="17"/>
        <v>367</v>
      </c>
      <c r="K86" s="76">
        <f t="shared" si="17"/>
        <v>358</v>
      </c>
      <c r="L86" s="76">
        <f t="shared" si="17"/>
        <v>370</v>
      </c>
      <c r="M86" s="76">
        <f t="shared" si="17"/>
        <v>392</v>
      </c>
      <c r="N86" s="76">
        <f t="shared" si="17"/>
        <v>365</v>
      </c>
      <c r="O86" s="76">
        <f t="shared" si="17"/>
        <v>376.1</v>
      </c>
      <c r="P86" s="76">
        <f t="shared" si="17"/>
        <v>392.6</v>
      </c>
      <c r="Q86" s="76">
        <f t="shared" si="17"/>
        <v>402.2</v>
      </c>
      <c r="R86" s="76">
        <f t="shared" si="17"/>
        <v>383.1</v>
      </c>
      <c r="S86" s="76">
        <f t="shared" si="17"/>
        <v>351.7</v>
      </c>
      <c r="T86" s="76">
        <f t="shared" si="17"/>
        <v>306</v>
      </c>
      <c r="U86" s="76">
        <f t="shared" si="17"/>
        <v>308.60000000000002</v>
      </c>
      <c r="V86" s="76">
        <f t="shared" si="17"/>
        <v>217</v>
      </c>
      <c r="W86" s="76">
        <f t="shared" si="17"/>
        <v>200</v>
      </c>
      <c r="X86" s="76">
        <f t="shared" si="17"/>
        <v>250</v>
      </c>
      <c r="Y86" s="76">
        <v>256</v>
      </c>
      <c r="Z86" s="76">
        <f t="shared" si="17"/>
        <v>381</v>
      </c>
      <c r="AA86" s="76">
        <f t="shared" si="17"/>
        <v>366</v>
      </c>
      <c r="AB86" s="76">
        <f t="shared" si="17"/>
        <v>373</v>
      </c>
      <c r="AC86" s="76">
        <f t="shared" si="17"/>
        <v>379</v>
      </c>
      <c r="AD86" s="76">
        <f t="shared" si="17"/>
        <v>398</v>
      </c>
      <c r="AE86" s="76">
        <f t="shared" si="17"/>
        <v>389</v>
      </c>
      <c r="AF86" s="76">
        <f t="shared" si="17"/>
        <v>381</v>
      </c>
      <c r="AG86" s="86"/>
      <c r="AH86" s="48">
        <f t="shared" si="9"/>
        <v>402.2</v>
      </c>
      <c r="AI86" s="49">
        <f t="shared" si="10"/>
        <v>200</v>
      </c>
    </row>
    <row r="87" spans="1:37" x14ac:dyDescent="0.25">
      <c r="A87" s="78" t="s">
        <v>71</v>
      </c>
      <c r="B87" s="76">
        <f t="shared" ref="B87:AF87" si="18">IF(B63&lt;0,B63*-1,0)</f>
        <v>0</v>
      </c>
      <c r="C87" s="76">
        <f t="shared" si="18"/>
        <v>0</v>
      </c>
      <c r="D87" s="76">
        <f t="shared" si="18"/>
        <v>0</v>
      </c>
      <c r="E87" s="76">
        <f t="shared" si="18"/>
        <v>0</v>
      </c>
      <c r="F87" s="76">
        <f t="shared" si="18"/>
        <v>0</v>
      </c>
      <c r="G87" s="76">
        <f t="shared" si="18"/>
        <v>0</v>
      </c>
      <c r="H87" s="76">
        <f t="shared" si="18"/>
        <v>0</v>
      </c>
      <c r="I87" s="76">
        <f t="shared" si="18"/>
        <v>0</v>
      </c>
      <c r="J87" s="76">
        <f t="shared" si="18"/>
        <v>0</v>
      </c>
      <c r="K87" s="76">
        <f t="shared" si="18"/>
        <v>0</v>
      </c>
      <c r="L87" s="76">
        <f t="shared" si="18"/>
        <v>0</v>
      </c>
      <c r="M87" s="76">
        <f t="shared" si="18"/>
        <v>0</v>
      </c>
      <c r="N87" s="76">
        <f t="shared" si="18"/>
        <v>0</v>
      </c>
      <c r="O87" s="76">
        <f t="shared" si="18"/>
        <v>0</v>
      </c>
      <c r="P87" s="76">
        <f t="shared" si="18"/>
        <v>0</v>
      </c>
      <c r="Q87" s="76">
        <f t="shared" si="18"/>
        <v>0</v>
      </c>
      <c r="R87" s="76">
        <f t="shared" si="18"/>
        <v>0</v>
      </c>
      <c r="S87" s="76">
        <f t="shared" si="18"/>
        <v>0</v>
      </c>
      <c r="T87" s="76">
        <f t="shared" si="18"/>
        <v>0</v>
      </c>
      <c r="U87" s="76">
        <f t="shared" si="18"/>
        <v>0</v>
      </c>
      <c r="V87" s="76">
        <f t="shared" si="18"/>
        <v>0</v>
      </c>
      <c r="W87" s="76">
        <f t="shared" si="18"/>
        <v>0</v>
      </c>
      <c r="X87" s="76">
        <f t="shared" si="18"/>
        <v>0</v>
      </c>
      <c r="Y87" s="76">
        <v>0</v>
      </c>
      <c r="Z87" s="76">
        <f t="shared" si="18"/>
        <v>0</v>
      </c>
      <c r="AA87" s="76">
        <f t="shared" si="18"/>
        <v>0</v>
      </c>
      <c r="AB87" s="76">
        <f t="shared" si="18"/>
        <v>0</v>
      </c>
      <c r="AC87" s="76">
        <f t="shared" si="18"/>
        <v>0</v>
      </c>
      <c r="AD87" s="76">
        <f t="shared" si="18"/>
        <v>0</v>
      </c>
      <c r="AE87" s="76">
        <f t="shared" si="18"/>
        <v>0</v>
      </c>
      <c r="AF87" s="76">
        <f t="shared" si="18"/>
        <v>0</v>
      </c>
      <c r="AG87" s="86"/>
      <c r="AH87" s="48">
        <f t="shared" si="9"/>
        <v>0</v>
      </c>
      <c r="AI87" s="49">
        <f t="shared" si="10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>
        <v>0</v>
      </c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9"/>
        <v>0</v>
      </c>
      <c r="AI88" s="49">
        <f t="shared" si="10"/>
        <v>0</v>
      </c>
    </row>
    <row r="89" spans="1:37" ht="15.75" thickBot="1" x14ac:dyDescent="0.3">
      <c r="A89" s="87" t="s">
        <v>94</v>
      </c>
      <c r="B89" s="61">
        <f t="shared" ref="B89:AF89" si="19">SUM(B83:B88)</f>
        <v>367</v>
      </c>
      <c r="C89" s="61">
        <f t="shared" si="19"/>
        <v>364</v>
      </c>
      <c r="D89" s="61">
        <f t="shared" si="19"/>
        <v>370</v>
      </c>
      <c r="E89" s="61">
        <f t="shared" si="19"/>
        <v>387.9</v>
      </c>
      <c r="F89" s="61">
        <f t="shared" si="19"/>
        <v>383</v>
      </c>
      <c r="G89" s="61">
        <f t="shared" si="19"/>
        <v>385.2</v>
      </c>
      <c r="H89" s="61">
        <f t="shared" si="19"/>
        <v>367</v>
      </c>
      <c r="I89" s="61">
        <f t="shared" si="19"/>
        <v>378.2</v>
      </c>
      <c r="J89" s="61">
        <f t="shared" si="19"/>
        <v>367</v>
      </c>
      <c r="K89" s="61">
        <f t="shared" si="19"/>
        <v>358</v>
      </c>
      <c r="L89" s="61">
        <f t="shared" si="19"/>
        <v>370</v>
      </c>
      <c r="M89" s="61">
        <f t="shared" si="19"/>
        <v>392</v>
      </c>
      <c r="N89" s="61">
        <f t="shared" si="19"/>
        <v>365</v>
      </c>
      <c r="O89" s="61">
        <f t="shared" si="19"/>
        <v>376.1</v>
      </c>
      <c r="P89" s="61">
        <f t="shared" si="19"/>
        <v>392.6</v>
      </c>
      <c r="Q89" s="61">
        <f t="shared" si="19"/>
        <v>402.2</v>
      </c>
      <c r="R89" s="61">
        <f t="shared" si="19"/>
        <v>383.1</v>
      </c>
      <c r="S89" s="61">
        <f t="shared" si="19"/>
        <v>351.7</v>
      </c>
      <c r="T89" s="61">
        <f t="shared" si="19"/>
        <v>306</v>
      </c>
      <c r="U89" s="61">
        <f t="shared" si="19"/>
        <v>308.60000000000002</v>
      </c>
      <c r="V89" s="61">
        <f t="shared" si="19"/>
        <v>217</v>
      </c>
      <c r="W89" s="61">
        <f t="shared" si="19"/>
        <v>200</v>
      </c>
      <c r="X89" s="61">
        <f t="shared" si="19"/>
        <v>250</v>
      </c>
      <c r="Y89" s="61">
        <v>256</v>
      </c>
      <c r="Z89" s="61">
        <f t="shared" si="19"/>
        <v>381</v>
      </c>
      <c r="AA89" s="61">
        <f t="shared" si="19"/>
        <v>366</v>
      </c>
      <c r="AB89" s="61">
        <f t="shared" si="19"/>
        <v>373</v>
      </c>
      <c r="AC89" s="61">
        <f t="shared" si="19"/>
        <v>379</v>
      </c>
      <c r="AD89" s="61">
        <f t="shared" si="19"/>
        <v>398</v>
      </c>
      <c r="AE89" s="61">
        <f t="shared" si="19"/>
        <v>389</v>
      </c>
      <c r="AF89" s="61">
        <f t="shared" si="19"/>
        <v>381</v>
      </c>
      <c r="AG89" s="81"/>
      <c r="AH89" s="48">
        <f t="shared" si="9"/>
        <v>402.2</v>
      </c>
      <c r="AI89" s="49">
        <f t="shared" si="10"/>
        <v>200</v>
      </c>
      <c r="AK89" s="50"/>
    </row>
    <row r="90" spans="1:37" ht="15.75" thickBot="1" x14ac:dyDescent="0.3">
      <c r="A90" s="74" t="s">
        <v>95</v>
      </c>
      <c r="B90" s="61">
        <f t="shared" ref="B90:AF90" si="20">B74-B89</f>
        <v>-367</v>
      </c>
      <c r="C90" s="61">
        <f t="shared" si="20"/>
        <v>-364</v>
      </c>
      <c r="D90" s="61">
        <f t="shared" si="20"/>
        <v>-370</v>
      </c>
      <c r="E90" s="61">
        <f t="shared" si="20"/>
        <v>-387.9</v>
      </c>
      <c r="F90" s="61">
        <f t="shared" si="20"/>
        <v>-383</v>
      </c>
      <c r="G90" s="61">
        <f t="shared" si="20"/>
        <v>-385.2</v>
      </c>
      <c r="H90" s="61">
        <f t="shared" si="20"/>
        <v>-367</v>
      </c>
      <c r="I90" s="61">
        <f t="shared" si="20"/>
        <v>-378.2</v>
      </c>
      <c r="J90" s="61">
        <f t="shared" si="20"/>
        <v>-367</v>
      </c>
      <c r="K90" s="61">
        <f t="shared" si="20"/>
        <v>-358</v>
      </c>
      <c r="L90" s="61">
        <f t="shared" si="20"/>
        <v>-370</v>
      </c>
      <c r="M90" s="61">
        <f t="shared" si="20"/>
        <v>-392</v>
      </c>
      <c r="N90" s="61">
        <f t="shared" si="20"/>
        <v>-337</v>
      </c>
      <c r="O90" s="61">
        <f t="shared" si="20"/>
        <v>-357.5</v>
      </c>
      <c r="P90" s="61">
        <f t="shared" si="20"/>
        <v>-392.6</v>
      </c>
      <c r="Q90" s="61">
        <f t="shared" si="20"/>
        <v>-402.2</v>
      </c>
      <c r="R90" s="61">
        <f t="shared" si="20"/>
        <v>-383.1</v>
      </c>
      <c r="S90" s="61">
        <f t="shared" si="20"/>
        <v>-351.7</v>
      </c>
      <c r="T90" s="61">
        <f t="shared" si="20"/>
        <v>-306</v>
      </c>
      <c r="U90" s="61">
        <f t="shared" si="20"/>
        <v>-308.60000000000002</v>
      </c>
      <c r="V90" s="61">
        <f t="shared" si="20"/>
        <v>-217</v>
      </c>
      <c r="W90" s="61">
        <f t="shared" si="20"/>
        <v>-200</v>
      </c>
      <c r="X90" s="61">
        <f t="shared" si="20"/>
        <v>-210</v>
      </c>
      <c r="Y90" s="61">
        <v>-206.8</v>
      </c>
      <c r="Z90" s="61">
        <f t="shared" si="20"/>
        <v>-337.9</v>
      </c>
      <c r="AA90" s="61">
        <f t="shared" si="20"/>
        <v>-327.10000000000002</v>
      </c>
      <c r="AB90" s="61">
        <f t="shared" si="20"/>
        <v>-373</v>
      </c>
      <c r="AC90" s="61">
        <f t="shared" si="20"/>
        <v>-379</v>
      </c>
      <c r="AD90" s="61">
        <f t="shared" si="20"/>
        <v>-398</v>
      </c>
      <c r="AE90" s="61">
        <f t="shared" si="20"/>
        <v>-389</v>
      </c>
      <c r="AF90" s="61">
        <f t="shared" si="20"/>
        <v>-381</v>
      </c>
      <c r="AG90" s="81"/>
      <c r="AH90" s="48">
        <f t="shared" si="9"/>
        <v>-200</v>
      </c>
      <c r="AI90" s="49">
        <f t="shared" si="10"/>
        <v>-402.2</v>
      </c>
    </row>
    <row r="91" spans="1:37" x14ac:dyDescent="0.25">
      <c r="A91" s="88" t="s">
        <v>96</v>
      </c>
      <c r="B91" s="89">
        <v>50.01</v>
      </c>
      <c r="C91" s="89">
        <v>50.03</v>
      </c>
      <c r="D91" s="89">
        <v>49.95</v>
      </c>
      <c r="E91" s="89">
        <v>49.987000000000002</v>
      </c>
      <c r="F91" s="89">
        <v>50.002000000000002</v>
      </c>
      <c r="G91" s="89">
        <v>50.027000000000001</v>
      </c>
      <c r="H91" s="89">
        <v>50.01</v>
      </c>
      <c r="I91" s="89">
        <v>50.024000000000001</v>
      </c>
      <c r="J91" s="89">
        <v>50.015000000000001</v>
      </c>
      <c r="K91" s="89">
        <v>50.027000000000001</v>
      </c>
      <c r="L91" s="89">
        <v>49.988999999999997</v>
      </c>
      <c r="M91" s="89">
        <v>50.015000000000001</v>
      </c>
      <c r="N91" s="89">
        <v>50.034999999999997</v>
      </c>
      <c r="O91" s="89">
        <v>50.045000000000002</v>
      </c>
      <c r="P91" s="89">
        <v>50.000999999999998</v>
      </c>
      <c r="Q91" s="89">
        <v>49.863999999999997</v>
      </c>
      <c r="R91" s="89">
        <v>49.966999999999999</v>
      </c>
      <c r="S91" s="89">
        <v>50.06</v>
      </c>
      <c r="T91" s="89">
        <v>50.05</v>
      </c>
      <c r="U91" s="89">
        <v>50.036999999999999</v>
      </c>
      <c r="V91" s="89">
        <v>50.02</v>
      </c>
      <c r="W91" s="89">
        <v>49.98</v>
      </c>
      <c r="X91" s="89">
        <v>49.99</v>
      </c>
      <c r="Y91" s="89">
        <v>49.99</v>
      </c>
      <c r="Z91" s="89">
        <v>50.02</v>
      </c>
      <c r="AA91" s="89">
        <v>50</v>
      </c>
      <c r="AB91" s="89">
        <v>50.055999999999997</v>
      </c>
      <c r="AC91" s="89">
        <v>50.003999999999998</v>
      </c>
      <c r="AD91" s="89">
        <v>50</v>
      </c>
      <c r="AE91" s="89">
        <v>50.058</v>
      </c>
      <c r="AF91" s="89">
        <v>49.982999999999997</v>
      </c>
      <c r="AG91" s="90"/>
      <c r="AH91" s="48">
        <f t="shared" si="9"/>
        <v>50.06</v>
      </c>
      <c r="AI91" s="49">
        <f t="shared" si="10"/>
        <v>49.863999999999997</v>
      </c>
    </row>
    <row r="92" spans="1:37" x14ac:dyDescent="0.25">
      <c r="A92" s="91" t="s">
        <v>97</v>
      </c>
      <c r="B92" s="65">
        <v>126</v>
      </c>
      <c r="C92" s="65">
        <v>127</v>
      </c>
      <c r="D92" s="65">
        <v>127</v>
      </c>
      <c r="E92" s="65">
        <v>126.6</v>
      </c>
      <c r="F92" s="65">
        <v>126.6</v>
      </c>
      <c r="G92" s="65">
        <v>127</v>
      </c>
      <c r="H92" s="65">
        <v>126</v>
      </c>
      <c r="I92" s="65">
        <v>125.5</v>
      </c>
      <c r="J92" s="65">
        <v>124.2</v>
      </c>
      <c r="K92" s="65">
        <v>123.1</v>
      </c>
      <c r="L92" s="65">
        <v>122</v>
      </c>
      <c r="M92" s="65">
        <v>121.1</v>
      </c>
      <c r="N92" s="65">
        <v>121.4</v>
      </c>
      <c r="O92" s="65">
        <v>121.2</v>
      </c>
      <c r="P92" s="65">
        <v>122</v>
      </c>
      <c r="Q92" s="65">
        <v>122.5</v>
      </c>
      <c r="R92" s="65">
        <v>123.4</v>
      </c>
      <c r="S92" s="65">
        <v>122</v>
      </c>
      <c r="T92" s="65">
        <v>121.9</v>
      </c>
      <c r="U92" s="65">
        <v>123.6</v>
      </c>
      <c r="V92" s="65">
        <v>125</v>
      </c>
      <c r="W92" s="65">
        <v>124</v>
      </c>
      <c r="X92" s="65">
        <v>123.6</v>
      </c>
      <c r="Y92" s="65">
        <v>124</v>
      </c>
      <c r="Z92" s="65">
        <v>125.6</v>
      </c>
      <c r="AA92" s="65">
        <v>125.6</v>
      </c>
      <c r="AB92" s="65">
        <v>126.6</v>
      </c>
      <c r="AC92" s="65">
        <v>126.6</v>
      </c>
      <c r="AD92" s="65">
        <v>126.3</v>
      </c>
      <c r="AE92" s="65">
        <v>127.3</v>
      </c>
      <c r="AF92" s="65">
        <v>125.6</v>
      </c>
      <c r="AG92" s="92"/>
      <c r="AH92" s="48">
        <f t="shared" si="9"/>
        <v>127.3</v>
      </c>
      <c r="AI92" s="49">
        <f t="shared" si="10"/>
        <v>121.1</v>
      </c>
    </row>
    <row r="93" spans="1:37" x14ac:dyDescent="0.25">
      <c r="A93" s="91" t="s">
        <v>98</v>
      </c>
      <c r="B93" s="65">
        <v>130.6</v>
      </c>
      <c r="C93" s="65">
        <v>132</v>
      </c>
      <c r="D93" s="65">
        <v>131</v>
      </c>
      <c r="E93" s="65">
        <v>131.19999999999999</v>
      </c>
      <c r="F93" s="65">
        <v>131.19999999999999</v>
      </c>
      <c r="G93" s="65">
        <v>131.9</v>
      </c>
      <c r="H93" s="65">
        <v>130</v>
      </c>
      <c r="I93" s="65">
        <v>129.69999999999999</v>
      </c>
      <c r="J93" s="65">
        <v>128</v>
      </c>
      <c r="K93" s="65">
        <v>127.2</v>
      </c>
      <c r="L93" s="65">
        <v>125.8</v>
      </c>
      <c r="M93" s="65">
        <v>123.6</v>
      </c>
      <c r="N93" s="65">
        <v>123.6</v>
      </c>
      <c r="O93" s="65">
        <v>123.6</v>
      </c>
      <c r="P93" s="65">
        <v>124.4</v>
      </c>
      <c r="Q93" s="65">
        <v>124.9</v>
      </c>
      <c r="R93" s="65">
        <v>125.7</v>
      </c>
      <c r="S93" s="65">
        <v>124.6</v>
      </c>
      <c r="T93" s="65">
        <v>124.9</v>
      </c>
      <c r="U93" s="65">
        <v>126</v>
      </c>
      <c r="V93" s="65">
        <v>128.1</v>
      </c>
      <c r="W93" s="65">
        <v>127.1</v>
      </c>
      <c r="X93" s="65">
        <v>126.7</v>
      </c>
      <c r="Y93" s="65">
        <v>126.8</v>
      </c>
      <c r="Z93" s="65">
        <v>129</v>
      </c>
      <c r="AA93" s="65">
        <v>129</v>
      </c>
      <c r="AB93" s="65">
        <v>130</v>
      </c>
      <c r="AC93" s="65">
        <v>130.69999999999999</v>
      </c>
      <c r="AD93" s="65">
        <v>130.30000000000001</v>
      </c>
      <c r="AE93" s="65">
        <v>131.4</v>
      </c>
      <c r="AF93" s="65">
        <v>130.30000000000001</v>
      </c>
      <c r="AG93" s="92"/>
      <c r="AH93" s="48">
        <f t="shared" si="9"/>
        <v>132</v>
      </c>
      <c r="AI93" s="49">
        <f t="shared" si="10"/>
        <v>123.6</v>
      </c>
    </row>
    <row r="94" spans="1:37" x14ac:dyDescent="0.25">
      <c r="A94" s="91" t="s">
        <v>99</v>
      </c>
      <c r="B94" s="65">
        <v>130</v>
      </c>
      <c r="C94" s="65">
        <v>133</v>
      </c>
      <c r="D94" s="65">
        <v>131</v>
      </c>
      <c r="E94" s="65">
        <v>131.1</v>
      </c>
      <c r="F94" s="65">
        <v>131.1</v>
      </c>
      <c r="G94" s="65">
        <v>129.5</v>
      </c>
      <c r="H94" s="65">
        <v>129.5</v>
      </c>
      <c r="I94" s="65">
        <v>128.80000000000001</v>
      </c>
      <c r="J94" s="65">
        <v>127.7</v>
      </c>
      <c r="K94" s="65">
        <v>129.4</v>
      </c>
      <c r="L94" s="65">
        <v>128.5</v>
      </c>
      <c r="M94" s="65">
        <v>131.1</v>
      </c>
      <c r="N94" s="65">
        <v>131.19999999999999</v>
      </c>
      <c r="O94" s="65">
        <v>130.69999999999999</v>
      </c>
      <c r="P94" s="65">
        <v>131.9</v>
      </c>
      <c r="Q94" s="65">
        <v>130.9</v>
      </c>
      <c r="R94" s="65">
        <v>130.69999999999999</v>
      </c>
      <c r="S94" s="65">
        <v>129.9</v>
      </c>
      <c r="T94" s="65">
        <v>131.80000000000001</v>
      </c>
      <c r="U94" s="65">
        <v>128</v>
      </c>
      <c r="V94" s="65">
        <v>128.5</v>
      </c>
      <c r="W94" s="65">
        <v>127.2</v>
      </c>
      <c r="X94" s="65">
        <v>129.4</v>
      </c>
      <c r="Y94" s="65">
        <v>131.1</v>
      </c>
      <c r="Z94" s="65">
        <v>131.30000000000001</v>
      </c>
      <c r="AA94" s="65">
        <v>131.30000000000001</v>
      </c>
      <c r="AB94" s="65">
        <v>132.30000000000001</v>
      </c>
      <c r="AC94" s="65">
        <v>130.69999999999999</v>
      </c>
      <c r="AD94" s="65">
        <v>131.30000000000001</v>
      </c>
      <c r="AE94" s="65">
        <v>130.69999999999999</v>
      </c>
      <c r="AF94" s="65">
        <v>129.4</v>
      </c>
      <c r="AG94" s="92"/>
      <c r="AH94" s="48">
        <f t="shared" si="9"/>
        <v>133</v>
      </c>
      <c r="AI94" s="49">
        <f t="shared" si="10"/>
        <v>127.2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9"/>
        <v>0</v>
      </c>
      <c r="AI95" s="49">
        <f t="shared" si="10"/>
        <v>0</v>
      </c>
    </row>
    <row r="96" spans="1:37" x14ac:dyDescent="0.25">
      <c r="A96" s="93" t="s">
        <v>101</v>
      </c>
      <c r="B96" s="94">
        <v>130.4</v>
      </c>
      <c r="C96" s="94">
        <v>134</v>
      </c>
      <c r="D96" s="94">
        <v>131</v>
      </c>
      <c r="E96" s="94">
        <v>130.69999999999999</v>
      </c>
      <c r="F96" s="94">
        <v>130.69999999999999</v>
      </c>
      <c r="G96" s="94">
        <v>132.69999999999999</v>
      </c>
      <c r="H96" s="94">
        <v>132.69999999999999</v>
      </c>
      <c r="I96" s="94">
        <v>133.4</v>
      </c>
      <c r="J96" s="94">
        <v>131.6</v>
      </c>
      <c r="K96" s="94">
        <v>130.4</v>
      </c>
      <c r="L96" s="94">
        <v>129.19999999999999</v>
      </c>
      <c r="M96" s="94">
        <v>130.69999999999999</v>
      </c>
      <c r="N96" s="94">
        <v>128.80000000000001</v>
      </c>
      <c r="O96" s="94">
        <v>132.5</v>
      </c>
      <c r="P96" s="94">
        <v>131.5</v>
      </c>
      <c r="Q96" s="94">
        <v>130.5</v>
      </c>
      <c r="R96" s="94">
        <v>132.4</v>
      </c>
      <c r="S96" s="94">
        <v>127.2</v>
      </c>
      <c r="T96" s="94">
        <v>128.80000000000001</v>
      </c>
      <c r="U96" s="94">
        <v>134.6</v>
      </c>
      <c r="V96" s="94">
        <v>92</v>
      </c>
      <c r="W96" s="94">
        <v>92.1</v>
      </c>
      <c r="X96" s="94">
        <v>129.30000000000001</v>
      </c>
      <c r="Y96" s="94">
        <v>131.30000000000001</v>
      </c>
      <c r="Z96" s="94">
        <v>131.1</v>
      </c>
      <c r="AA96" s="94">
        <v>131.1</v>
      </c>
      <c r="AB96" s="94">
        <v>131.6</v>
      </c>
      <c r="AC96" s="94">
        <v>135.69999999999999</v>
      </c>
      <c r="AD96" s="94">
        <v>134.4</v>
      </c>
      <c r="AE96" s="94">
        <v>133.4</v>
      </c>
      <c r="AF96" s="94">
        <v>133.1</v>
      </c>
      <c r="AG96" s="95"/>
      <c r="AH96" s="48">
        <f t="shared" si="9"/>
        <v>135.69999999999999</v>
      </c>
      <c r="AI96" s="49">
        <f t="shared" si="10"/>
        <v>92</v>
      </c>
    </row>
    <row r="97" spans="1:37" x14ac:dyDescent="0.25">
      <c r="A97" s="91" t="s">
        <v>102</v>
      </c>
      <c r="B97" s="65">
        <v>128</v>
      </c>
      <c r="C97" s="65">
        <v>133</v>
      </c>
      <c r="D97" s="65">
        <v>129</v>
      </c>
      <c r="E97" s="65">
        <v>127.6</v>
      </c>
      <c r="F97" s="65">
        <v>127.6</v>
      </c>
      <c r="G97" s="65">
        <v>128.9</v>
      </c>
      <c r="H97" s="65">
        <v>128.9</v>
      </c>
      <c r="I97" s="65">
        <v>129.1</v>
      </c>
      <c r="J97" s="65">
        <v>127.6</v>
      </c>
      <c r="K97" s="65">
        <v>125.6</v>
      </c>
      <c r="L97" s="65">
        <v>126.1</v>
      </c>
      <c r="M97" s="65">
        <v>130.19999999999999</v>
      </c>
      <c r="N97" s="65">
        <v>126.2</v>
      </c>
      <c r="O97" s="65">
        <v>135</v>
      </c>
      <c r="P97" s="65">
        <v>132.9</v>
      </c>
      <c r="Q97" s="65">
        <v>132.19999999999999</v>
      </c>
      <c r="R97" s="65">
        <v>133.4</v>
      </c>
      <c r="S97" s="65">
        <v>123.4</v>
      </c>
      <c r="T97" s="65">
        <v>127.4</v>
      </c>
      <c r="U97" s="65">
        <v>133</v>
      </c>
      <c r="V97" s="65">
        <v>133</v>
      </c>
      <c r="W97" s="65">
        <v>130.19999999999999</v>
      </c>
      <c r="X97" s="65">
        <v>126.7</v>
      </c>
      <c r="Y97" s="65">
        <v>130.9</v>
      </c>
      <c r="Z97" s="65">
        <v>128.19999999999999</v>
      </c>
      <c r="AA97" s="65">
        <v>128.19999999999999</v>
      </c>
      <c r="AB97" s="65">
        <v>130.6</v>
      </c>
      <c r="AC97" s="65">
        <v>138.9</v>
      </c>
      <c r="AD97" s="65">
        <v>133</v>
      </c>
      <c r="AE97" s="65">
        <v>132</v>
      </c>
      <c r="AF97" s="65">
        <v>132.30000000000001</v>
      </c>
      <c r="AG97" s="92"/>
      <c r="AH97" s="48">
        <f t="shared" si="9"/>
        <v>138.9</v>
      </c>
      <c r="AI97" s="49">
        <f t="shared" si="10"/>
        <v>123.4</v>
      </c>
    </row>
    <row r="98" spans="1:37" ht="15.75" thickBot="1" x14ac:dyDescent="0.3">
      <c r="A98" s="91" t="s">
        <v>103</v>
      </c>
      <c r="B98" s="96">
        <v>66.099999999999994</v>
      </c>
      <c r="C98" s="96">
        <v>66.7</v>
      </c>
      <c r="D98" s="96">
        <v>66.599999999999994</v>
      </c>
      <c r="E98" s="96">
        <v>66.3</v>
      </c>
      <c r="F98" s="96">
        <v>66.3</v>
      </c>
      <c r="G98" s="96">
        <v>66.5</v>
      </c>
      <c r="H98" s="96">
        <v>66.5</v>
      </c>
      <c r="I98" s="96">
        <v>65.3</v>
      </c>
      <c r="J98" s="96">
        <v>64.3</v>
      </c>
      <c r="K98" s="96">
        <v>64.2</v>
      </c>
      <c r="L98" s="96">
        <v>63.4</v>
      </c>
      <c r="M98" s="96">
        <v>62.8</v>
      </c>
      <c r="N98" s="96">
        <v>62.8</v>
      </c>
      <c r="O98" s="96">
        <v>62.8</v>
      </c>
      <c r="P98" s="96">
        <v>63</v>
      </c>
      <c r="Q98" s="96">
        <v>63.4</v>
      </c>
      <c r="R98" s="96">
        <v>63.8</v>
      </c>
      <c r="S98" s="96">
        <v>63.3</v>
      </c>
      <c r="T98" s="96">
        <v>63.1</v>
      </c>
      <c r="U98" s="96">
        <v>63.9</v>
      </c>
      <c r="V98" s="96">
        <v>63.9</v>
      </c>
      <c r="W98" s="96">
        <v>64.3</v>
      </c>
      <c r="X98" s="96">
        <v>64</v>
      </c>
      <c r="Y98" s="96">
        <v>64.2</v>
      </c>
      <c r="Z98" s="96">
        <v>65.400000000000006</v>
      </c>
      <c r="AA98" s="96">
        <v>65.400000000000006</v>
      </c>
      <c r="AB98" s="96">
        <v>65.900000000000006</v>
      </c>
      <c r="AC98" s="96">
        <v>65.7</v>
      </c>
      <c r="AD98" s="96">
        <v>65.8</v>
      </c>
      <c r="AE98" s="96">
        <v>66.400000000000006</v>
      </c>
      <c r="AF98" s="96">
        <v>65.900000000000006</v>
      </c>
      <c r="AG98" s="97"/>
      <c r="AH98" s="48">
        <f t="shared" si="9"/>
        <v>66.7</v>
      </c>
      <c r="AI98" s="49">
        <f t="shared" si="10"/>
        <v>62.8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 t="s">
        <v>243</v>
      </c>
      <c r="Z99" s="96"/>
      <c r="AA99" s="96"/>
      <c r="AB99" s="96"/>
      <c r="AC99" s="96"/>
      <c r="AD99" s="96"/>
      <c r="AE99" s="96"/>
      <c r="AF99" s="96"/>
      <c r="AG99" s="97"/>
      <c r="AH99" s="48">
        <f t="shared" si="9"/>
        <v>0</v>
      </c>
      <c r="AI99" s="49">
        <f t="shared" si="10"/>
        <v>0</v>
      </c>
    </row>
    <row r="100" spans="1:37" ht="15.75" thickBot="1" x14ac:dyDescent="0.3">
      <c r="A100" s="99" t="s">
        <v>104</v>
      </c>
      <c r="B100" s="100">
        <f t="shared" ref="B100:AF100" si="21">SUM(B15,B20,B22:B23,B48,B50:B51,B53,B55,B101:B105,B127,B133,B139,B148,B150,B162,B169,B172:B173,B180,B182,B184,B188:B190,B192:B194,B199,B205:B206,B208:B210,B218,B223)</f>
        <v>40.78</v>
      </c>
      <c r="C100" s="100">
        <f t="shared" si="21"/>
        <v>39.72</v>
      </c>
      <c r="D100" s="100">
        <f t="shared" si="21"/>
        <v>31.819999999999997</v>
      </c>
      <c r="E100" s="100">
        <f t="shared" si="21"/>
        <v>34.439999999999976</v>
      </c>
      <c r="F100" s="100">
        <f t="shared" si="21"/>
        <v>34.439999999999976</v>
      </c>
      <c r="G100" s="100">
        <f t="shared" si="21"/>
        <v>50.739999999999988</v>
      </c>
      <c r="H100" s="100">
        <f t="shared" si="21"/>
        <v>50.739999999999988</v>
      </c>
      <c r="I100" s="100">
        <f t="shared" si="21"/>
        <v>89.94</v>
      </c>
      <c r="J100" s="100">
        <f t="shared" si="21"/>
        <v>154.24</v>
      </c>
      <c r="K100" s="100">
        <f t="shared" si="21"/>
        <v>193.64</v>
      </c>
      <c r="L100" s="100">
        <f t="shared" si="21"/>
        <v>197.73999999999998</v>
      </c>
      <c r="M100" s="100">
        <f t="shared" si="21"/>
        <v>217.64000000000001</v>
      </c>
      <c r="N100" s="100">
        <f t="shared" si="21"/>
        <v>154.44</v>
      </c>
      <c r="O100" s="100">
        <f t="shared" si="21"/>
        <v>178.64</v>
      </c>
      <c r="P100" s="100">
        <f t="shared" si="21"/>
        <v>153.13999999999999</v>
      </c>
      <c r="Q100" s="100">
        <f t="shared" si="21"/>
        <v>144.19999999999999</v>
      </c>
      <c r="R100" s="100">
        <f t="shared" si="21"/>
        <v>144.5</v>
      </c>
      <c r="S100" s="100">
        <f t="shared" si="21"/>
        <v>145.80000000000001</v>
      </c>
      <c r="T100" s="100">
        <f t="shared" si="21"/>
        <v>165.6</v>
      </c>
      <c r="U100" s="100">
        <f t="shared" si="21"/>
        <v>164.39999999999998</v>
      </c>
      <c r="V100" s="100">
        <f t="shared" si="21"/>
        <v>108.5</v>
      </c>
      <c r="W100" s="100">
        <f t="shared" si="21"/>
        <v>184.39999999999998</v>
      </c>
      <c r="X100" s="100">
        <f t="shared" si="21"/>
        <v>204.39999999999998</v>
      </c>
      <c r="Y100" s="100">
        <v>300.39708333333328</v>
      </c>
      <c r="Z100" s="100">
        <f t="shared" si="21"/>
        <v>147.80000000000001</v>
      </c>
      <c r="AA100" s="100">
        <f t="shared" si="21"/>
        <v>214.3</v>
      </c>
      <c r="AB100" s="100">
        <f t="shared" si="21"/>
        <v>184.7</v>
      </c>
      <c r="AC100" s="100">
        <f t="shared" si="21"/>
        <v>156.80000000000001</v>
      </c>
      <c r="AD100" s="100">
        <f t="shared" si="21"/>
        <v>129.9</v>
      </c>
      <c r="AE100" s="100">
        <f t="shared" si="21"/>
        <v>87.300000000000011</v>
      </c>
      <c r="AF100" s="100">
        <f t="shared" si="21"/>
        <v>55.299999999999976</v>
      </c>
      <c r="AG100" s="101"/>
      <c r="AH100" s="48">
        <f t="shared" si="9"/>
        <v>300.39708333333328</v>
      </c>
      <c r="AI100" s="49">
        <f t="shared" si="10"/>
        <v>31.819999999999997</v>
      </c>
    </row>
    <row r="101" spans="1:37" x14ac:dyDescent="0.25">
      <c r="A101" s="88" t="s">
        <v>105</v>
      </c>
      <c r="B101" s="102">
        <v>14</v>
      </c>
      <c r="C101" s="102">
        <v>13.5</v>
      </c>
      <c r="D101" s="102">
        <v>13</v>
      </c>
      <c r="E101" s="102">
        <v>12.7</v>
      </c>
      <c r="F101" s="102">
        <v>12.7</v>
      </c>
      <c r="G101" s="102">
        <v>10</v>
      </c>
      <c r="H101" s="102">
        <v>10</v>
      </c>
      <c r="I101" s="102">
        <v>17</v>
      </c>
      <c r="J101" s="102">
        <v>26.1</v>
      </c>
      <c r="K101" s="102">
        <v>29.7</v>
      </c>
      <c r="L101" s="102">
        <v>28.1</v>
      </c>
      <c r="M101" s="102">
        <v>30</v>
      </c>
      <c r="N101" s="102">
        <v>29</v>
      </c>
      <c r="O101" s="102">
        <v>65</v>
      </c>
      <c r="P101" s="102">
        <v>47.8</v>
      </c>
      <c r="Q101" s="102">
        <v>47.8</v>
      </c>
      <c r="R101" s="102">
        <v>39.299999999999997</v>
      </c>
      <c r="S101" s="102">
        <v>56.9</v>
      </c>
      <c r="T101" s="102">
        <v>47.6</v>
      </c>
      <c r="U101" s="102">
        <v>56.9</v>
      </c>
      <c r="V101" s="102">
        <v>26.2</v>
      </c>
      <c r="W101" s="102">
        <v>33.4</v>
      </c>
      <c r="X101" s="102">
        <v>28.1</v>
      </c>
      <c r="Y101" s="102">
        <v>28</v>
      </c>
      <c r="Z101" s="102">
        <v>29.9</v>
      </c>
      <c r="AA101" s="102">
        <v>37.9</v>
      </c>
      <c r="AB101" s="102">
        <v>28.2</v>
      </c>
      <c r="AC101" s="102">
        <v>34.5</v>
      </c>
      <c r="AD101" s="102">
        <v>34.9</v>
      </c>
      <c r="AE101" s="102">
        <v>27.4</v>
      </c>
      <c r="AF101" s="102">
        <v>22.2</v>
      </c>
      <c r="AG101" s="103">
        <v>75</v>
      </c>
      <c r="AH101" s="48">
        <f t="shared" si="9"/>
        <v>65</v>
      </c>
      <c r="AI101" s="49">
        <f t="shared" si="10"/>
        <v>10</v>
      </c>
    </row>
    <row r="102" spans="1:37" x14ac:dyDescent="0.25">
      <c r="A102" s="91" t="s">
        <v>106</v>
      </c>
      <c r="B102" s="104">
        <v>33</v>
      </c>
      <c r="C102" s="104">
        <v>32</v>
      </c>
      <c r="D102" s="104">
        <v>32</v>
      </c>
      <c r="E102" s="104">
        <v>31.2</v>
      </c>
      <c r="F102" s="104">
        <v>31.2</v>
      </c>
      <c r="G102" s="104">
        <v>27.7</v>
      </c>
      <c r="H102" s="104">
        <v>27.7</v>
      </c>
      <c r="I102" s="104">
        <v>36.5</v>
      </c>
      <c r="J102" s="104">
        <v>49.2</v>
      </c>
      <c r="K102" s="104">
        <v>57.6</v>
      </c>
      <c r="L102" s="104">
        <v>51.5</v>
      </c>
      <c r="M102" s="104">
        <v>51</v>
      </c>
      <c r="N102" s="104">
        <v>0</v>
      </c>
      <c r="O102" s="104">
        <v>0</v>
      </c>
      <c r="P102" s="104">
        <v>0</v>
      </c>
      <c r="Q102" s="104">
        <v>0</v>
      </c>
      <c r="R102" s="104">
        <v>0</v>
      </c>
      <c r="S102" s="104">
        <v>0</v>
      </c>
      <c r="T102" s="104">
        <v>0</v>
      </c>
      <c r="U102" s="104">
        <v>0</v>
      </c>
      <c r="V102" s="104">
        <v>0</v>
      </c>
      <c r="W102" s="104">
        <v>53.7</v>
      </c>
      <c r="X102" s="104">
        <v>46.6</v>
      </c>
      <c r="Y102" s="104">
        <v>-54</v>
      </c>
      <c r="Z102" s="104">
        <v>-49.8</v>
      </c>
      <c r="AA102" s="104">
        <v>59.6</v>
      </c>
      <c r="AB102" s="104">
        <v>47.6</v>
      </c>
      <c r="AC102" s="104">
        <v>55.4</v>
      </c>
      <c r="AD102" s="104">
        <v>57.4</v>
      </c>
      <c r="AE102" s="104">
        <v>44.5</v>
      </c>
      <c r="AF102" s="104">
        <v>43.1</v>
      </c>
      <c r="AG102" s="103">
        <v>240</v>
      </c>
      <c r="AH102" s="48">
        <f t="shared" si="9"/>
        <v>59.6</v>
      </c>
      <c r="AI102" s="49">
        <f t="shared" si="10"/>
        <v>-54</v>
      </c>
    </row>
    <row r="103" spans="1:37" x14ac:dyDescent="0.25">
      <c r="A103" s="91" t="s">
        <v>107</v>
      </c>
      <c r="B103" s="104">
        <v>-128</v>
      </c>
      <c r="C103" s="104">
        <v>-132</v>
      </c>
      <c r="D103" s="104">
        <v>-130</v>
      </c>
      <c r="E103" s="104">
        <v>-128</v>
      </c>
      <c r="F103" s="104">
        <v>-128</v>
      </c>
      <c r="G103" s="104">
        <v>-108</v>
      </c>
      <c r="H103" s="104">
        <v>-108</v>
      </c>
      <c r="I103" s="104">
        <v>-107</v>
      </c>
      <c r="J103" s="104">
        <v>-79</v>
      </c>
      <c r="K103" s="104">
        <v>-75</v>
      </c>
      <c r="L103" s="104">
        <v>-65</v>
      </c>
      <c r="M103" s="104">
        <v>-48.2</v>
      </c>
      <c r="N103" s="104">
        <v>-43</v>
      </c>
      <c r="O103" s="104">
        <f>-26-28</f>
        <v>-54</v>
      </c>
      <c r="P103" s="104">
        <f>-25-28</f>
        <v>-53</v>
      </c>
      <c r="Q103" s="104">
        <f>-28-30</f>
        <v>-58</v>
      </c>
      <c r="R103" s="104">
        <f>-27-28</f>
        <v>-55</v>
      </c>
      <c r="S103" s="104">
        <f>-30.2-33</f>
        <v>-63.2</v>
      </c>
      <c r="T103" s="104">
        <f>-23.8-25.8</f>
        <v>-49.6</v>
      </c>
      <c r="U103" s="104">
        <v>-51.9</v>
      </c>
      <c r="V103" s="104">
        <f>-36.1-39</f>
        <v>-75.099999999999994</v>
      </c>
      <c r="W103" s="104">
        <f>-33.9-36.5</f>
        <v>-70.400000000000006</v>
      </c>
      <c r="X103" s="104">
        <f>-31.1-33.6</f>
        <v>-64.7</v>
      </c>
      <c r="Y103" s="104">
        <v>19.2</v>
      </c>
      <c r="Z103" s="104">
        <f>-41.7-45</f>
        <v>-86.7</v>
      </c>
      <c r="AA103" s="104">
        <v>-88</v>
      </c>
      <c r="AB103" s="104">
        <f>-42.1-46.1</f>
        <v>-88.2</v>
      </c>
      <c r="AC103" s="104">
        <f>-51-55</f>
        <v>-106</v>
      </c>
      <c r="AD103" s="104">
        <f>-54.8-58.8</f>
        <v>-113.6</v>
      </c>
      <c r="AE103" s="104">
        <f>-60.5-64.6</f>
        <v>-125.1</v>
      </c>
      <c r="AF103" s="104">
        <f>-61.4-66</f>
        <v>-127.4</v>
      </c>
      <c r="AG103" s="103">
        <v>240</v>
      </c>
      <c r="AH103" s="48">
        <f t="shared" si="9"/>
        <v>19.2</v>
      </c>
      <c r="AI103" s="49">
        <f t="shared" si="10"/>
        <v>-132</v>
      </c>
    </row>
    <row r="104" spans="1:37" x14ac:dyDescent="0.25">
      <c r="A104" s="91" t="s">
        <v>108</v>
      </c>
      <c r="B104" s="104">
        <v>-12</v>
      </c>
      <c r="C104" s="104">
        <v>1</v>
      </c>
      <c r="D104" s="104">
        <v>2</v>
      </c>
      <c r="E104" s="104">
        <v>1.6</v>
      </c>
      <c r="F104" s="104">
        <v>1.6</v>
      </c>
      <c r="G104" s="104">
        <v>4.0999999999999996</v>
      </c>
      <c r="H104" s="104">
        <v>4.0999999999999996</v>
      </c>
      <c r="I104" s="104">
        <v>7.5</v>
      </c>
      <c r="J104" s="104">
        <v>12</v>
      </c>
      <c r="K104" s="104">
        <v>14.4</v>
      </c>
      <c r="L104" s="104">
        <v>16.2</v>
      </c>
      <c r="M104" s="104">
        <v>17.899999999999999</v>
      </c>
      <c r="N104" s="104">
        <v>17.100000000000001</v>
      </c>
      <c r="O104" s="104">
        <v>15.8</v>
      </c>
      <c r="P104" s="104">
        <v>16.399999999999999</v>
      </c>
      <c r="Q104" s="104">
        <v>15.8</v>
      </c>
      <c r="R104" s="104">
        <v>16</v>
      </c>
      <c r="S104" s="104">
        <v>12.9</v>
      </c>
      <c r="T104" s="104">
        <v>15.7</v>
      </c>
      <c r="U104" s="104">
        <v>15.6</v>
      </c>
      <c r="V104" s="104">
        <v>13.6</v>
      </c>
      <c r="W104" s="104">
        <v>16.8</v>
      </c>
      <c r="X104" s="104">
        <v>17.5</v>
      </c>
      <c r="Y104" s="104">
        <v>83.5</v>
      </c>
      <c r="Z104" s="104">
        <v>14.3</v>
      </c>
      <c r="AA104" s="104">
        <v>14.4</v>
      </c>
      <c r="AB104" s="104">
        <v>13.1</v>
      </c>
      <c r="AC104" s="104">
        <v>10.5</v>
      </c>
      <c r="AD104" s="104">
        <v>9.1999999999999993</v>
      </c>
      <c r="AE104" s="104">
        <v>4.0999999999999996</v>
      </c>
      <c r="AF104" s="104">
        <v>1.4</v>
      </c>
      <c r="AG104" s="103">
        <v>60</v>
      </c>
      <c r="AH104" s="48">
        <f t="shared" si="9"/>
        <v>83.5</v>
      </c>
      <c r="AI104" s="49">
        <f t="shared" si="10"/>
        <v>-12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64.400000000000006</v>
      </c>
      <c r="O105" s="106">
        <v>64.900000000000006</v>
      </c>
      <c r="P105" s="106">
        <v>65</v>
      </c>
      <c r="Q105" s="106">
        <v>62.6</v>
      </c>
      <c r="R105" s="106">
        <v>68.2</v>
      </c>
      <c r="S105" s="106">
        <v>49.2</v>
      </c>
      <c r="T105" s="106">
        <v>65.8</v>
      </c>
      <c r="U105" s="106">
        <v>57.7</v>
      </c>
      <c r="V105" s="106">
        <v>57.7</v>
      </c>
      <c r="W105" s="106">
        <v>64.8</v>
      </c>
      <c r="X105" s="106">
        <v>85.9</v>
      </c>
      <c r="Y105" s="106">
        <v>65</v>
      </c>
      <c r="Z105" s="106">
        <v>83.4</v>
      </c>
      <c r="AA105" s="106">
        <v>38.799999999999997</v>
      </c>
      <c r="AB105" s="106">
        <v>32.4</v>
      </c>
      <c r="AC105" s="106">
        <v>10.8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9"/>
        <v>85.9</v>
      </c>
      <c r="AI105" s="49">
        <f t="shared" si="10"/>
        <v>0</v>
      </c>
    </row>
    <row r="106" spans="1:37" x14ac:dyDescent="0.25">
      <c r="A106" s="105" t="s">
        <v>110</v>
      </c>
      <c r="B106" s="106">
        <v>18</v>
      </c>
      <c r="C106" s="106">
        <v>14</v>
      </c>
      <c r="D106" s="106">
        <v>9</v>
      </c>
      <c r="E106" s="106">
        <v>13</v>
      </c>
      <c r="F106" s="106">
        <v>13</v>
      </c>
      <c r="G106" s="106">
        <v>19.3</v>
      </c>
      <c r="H106" s="106">
        <v>19.3</v>
      </c>
      <c r="I106" s="106">
        <v>24.2</v>
      </c>
      <c r="J106" s="106">
        <v>45.2</v>
      </c>
      <c r="K106" s="106">
        <v>41.4</v>
      </c>
      <c r="L106" s="106">
        <v>63.3</v>
      </c>
      <c r="M106" s="106">
        <v>55.3</v>
      </c>
      <c r="N106" s="106">
        <v>50.3</v>
      </c>
      <c r="O106" s="106">
        <v>45</v>
      </c>
      <c r="P106" s="106">
        <v>44</v>
      </c>
      <c r="Q106" s="106">
        <v>44.7</v>
      </c>
      <c r="R106" s="106">
        <v>54</v>
      </c>
      <c r="S106" s="106">
        <v>38.6</v>
      </c>
      <c r="T106" s="106">
        <v>54.9</v>
      </c>
      <c r="U106" s="106">
        <v>44</v>
      </c>
      <c r="V106" s="106">
        <v>44</v>
      </c>
      <c r="W106" s="106">
        <v>41.7</v>
      </c>
      <c r="X106" s="106">
        <v>50.6</v>
      </c>
      <c r="Y106" s="106">
        <v>60</v>
      </c>
      <c r="Z106" s="106">
        <v>23.8</v>
      </c>
      <c r="AA106" s="106">
        <v>15.9</v>
      </c>
      <c r="AB106" s="106">
        <v>21.8</v>
      </c>
      <c r="AC106" s="106">
        <v>7.6</v>
      </c>
      <c r="AD106" s="106">
        <v>-2.6</v>
      </c>
      <c r="AE106" s="106">
        <v>-10.4</v>
      </c>
      <c r="AF106" s="106">
        <v>8.1</v>
      </c>
      <c r="AG106" s="107"/>
      <c r="AH106" s="48">
        <f t="shared" si="9"/>
        <v>63.3</v>
      </c>
      <c r="AI106" s="49">
        <f t="shared" si="10"/>
        <v>-10.4</v>
      </c>
    </row>
    <row r="107" spans="1:37" x14ac:dyDescent="0.25">
      <c r="A107" s="105" t="s">
        <v>111</v>
      </c>
      <c r="B107" s="106">
        <v>42</v>
      </c>
      <c r="C107" s="106">
        <v>30</v>
      </c>
      <c r="D107" s="106">
        <v>38</v>
      </c>
      <c r="E107" s="106">
        <v>35.9</v>
      </c>
      <c r="F107" s="106">
        <v>35.9</v>
      </c>
      <c r="G107" s="106">
        <v>45.5</v>
      </c>
      <c r="H107" s="106">
        <v>45.5</v>
      </c>
      <c r="I107" s="106">
        <v>38.799999999999997</v>
      </c>
      <c r="J107" s="106">
        <v>36.6</v>
      </c>
      <c r="K107" s="106">
        <v>40.700000000000003</v>
      </c>
      <c r="L107" s="106">
        <v>37.799999999999997</v>
      </c>
      <c r="M107" s="106">
        <v>40</v>
      </c>
      <c r="N107" s="106">
        <v>13.1</v>
      </c>
      <c r="O107" s="106">
        <v>1.2</v>
      </c>
      <c r="P107" s="106">
        <v>15.4</v>
      </c>
      <c r="Q107" s="106">
        <v>24.9</v>
      </c>
      <c r="R107" s="106">
        <v>32</v>
      </c>
      <c r="S107" s="106">
        <v>14</v>
      </c>
      <c r="T107" s="106">
        <v>30.5</v>
      </c>
      <c r="U107" s="106">
        <v>14.4</v>
      </c>
      <c r="V107" s="106">
        <v>14.4</v>
      </c>
      <c r="W107" s="106">
        <v>16.3</v>
      </c>
      <c r="X107" s="106">
        <v>39.5</v>
      </c>
      <c r="Y107" s="106">
        <v>35.299999999999997</v>
      </c>
      <c r="Z107" s="106">
        <v>39</v>
      </c>
      <c r="AA107" s="106">
        <v>16.8</v>
      </c>
      <c r="AB107" s="106">
        <v>57.7</v>
      </c>
      <c r="AC107" s="106">
        <v>26.8</v>
      </c>
      <c r="AD107" s="106">
        <v>-13.3</v>
      </c>
      <c r="AE107" s="106">
        <v>-24.3</v>
      </c>
      <c r="AF107" s="106">
        <v>-4.4000000000000004</v>
      </c>
      <c r="AG107" s="108"/>
      <c r="AH107" s="48">
        <f t="shared" si="9"/>
        <v>57.7</v>
      </c>
      <c r="AI107" s="49">
        <f t="shared" si="10"/>
        <v>-24.3</v>
      </c>
    </row>
    <row r="108" spans="1:37" x14ac:dyDescent="0.25">
      <c r="A108" s="109" t="s">
        <v>112</v>
      </c>
      <c r="B108" s="94">
        <v>113</v>
      </c>
      <c r="C108" s="94">
        <v>113</v>
      </c>
      <c r="D108" s="94">
        <v>116</v>
      </c>
      <c r="E108" s="94">
        <v>117.8</v>
      </c>
      <c r="F108" s="94">
        <v>117.8</v>
      </c>
      <c r="G108" s="94">
        <v>118.2</v>
      </c>
      <c r="H108" s="94">
        <v>118.2</v>
      </c>
      <c r="I108" s="94">
        <v>113.1</v>
      </c>
      <c r="J108" s="94">
        <v>113.9</v>
      </c>
      <c r="K108" s="94">
        <v>112.5</v>
      </c>
      <c r="L108" s="94">
        <v>51.5</v>
      </c>
      <c r="M108" s="94">
        <v>79</v>
      </c>
      <c r="N108" s="94">
        <v>60.3</v>
      </c>
      <c r="O108" s="94">
        <v>53.5</v>
      </c>
      <c r="P108" s="94">
        <v>58.6</v>
      </c>
      <c r="Q108" s="94">
        <v>69.599999999999994</v>
      </c>
      <c r="R108" s="94">
        <v>75.7</v>
      </c>
      <c r="S108" s="94">
        <v>72.3</v>
      </c>
      <c r="T108" s="94">
        <v>80.7</v>
      </c>
      <c r="U108" s="94">
        <v>71.900000000000006</v>
      </c>
      <c r="V108" s="94">
        <v>71.900000000000006</v>
      </c>
      <c r="W108" s="94">
        <v>53.9</v>
      </c>
      <c r="X108" s="94">
        <v>51.1</v>
      </c>
      <c r="Y108" s="94">
        <v>56</v>
      </c>
      <c r="Z108" s="94">
        <v>67</v>
      </c>
      <c r="AA108" s="94">
        <v>70.8</v>
      </c>
      <c r="AB108" s="94">
        <v>76.400000000000006</v>
      </c>
      <c r="AC108" s="94">
        <v>78.5</v>
      </c>
      <c r="AD108" s="94">
        <v>82.2</v>
      </c>
      <c r="AE108" s="94">
        <v>85.5</v>
      </c>
      <c r="AF108" s="94">
        <v>88.5</v>
      </c>
      <c r="AG108" s="108"/>
      <c r="AH108" s="48">
        <f t="shared" si="9"/>
        <v>118.2</v>
      </c>
      <c r="AI108" s="49">
        <f t="shared" si="10"/>
        <v>51.1</v>
      </c>
    </row>
    <row r="109" spans="1:37" ht="15.75" thickBot="1" x14ac:dyDescent="0.3">
      <c r="A109" s="109" t="s">
        <v>113</v>
      </c>
      <c r="B109" s="94">
        <v>85</v>
      </c>
      <c r="C109" s="94">
        <v>96</v>
      </c>
      <c r="D109" s="94">
        <v>94</v>
      </c>
      <c r="E109" s="94">
        <v>90.3</v>
      </c>
      <c r="F109" s="94">
        <v>90.3</v>
      </c>
      <c r="G109" s="94">
        <v>71.8</v>
      </c>
      <c r="H109" s="94">
        <v>71.8</v>
      </c>
      <c r="I109" s="94">
        <v>78.3</v>
      </c>
      <c r="J109" s="94">
        <v>61.3</v>
      </c>
      <c r="K109" s="94">
        <v>49.6</v>
      </c>
      <c r="L109" s="94">
        <v>50.6</v>
      </c>
      <c r="M109" s="94">
        <v>54.3</v>
      </c>
      <c r="N109" s="94">
        <v>50.6</v>
      </c>
      <c r="O109" s="94">
        <v>61.3</v>
      </c>
      <c r="P109" s="94">
        <v>55.3</v>
      </c>
      <c r="Q109" s="94">
        <v>59.1</v>
      </c>
      <c r="R109" s="94">
        <v>51.6</v>
      </c>
      <c r="S109" s="94">
        <v>61.6</v>
      </c>
      <c r="T109" s="94">
        <v>50.9</v>
      </c>
      <c r="U109" s="94">
        <v>54.1</v>
      </c>
      <c r="V109" s="94">
        <v>47.9</v>
      </c>
      <c r="W109" s="94">
        <v>49.7</v>
      </c>
      <c r="X109" s="94">
        <v>42.2</v>
      </c>
      <c r="Y109" s="94">
        <v>44</v>
      </c>
      <c r="Z109" s="94">
        <v>61.3</v>
      </c>
      <c r="AA109" s="94">
        <v>66.7</v>
      </c>
      <c r="AB109" s="94">
        <v>61.9</v>
      </c>
      <c r="AC109" s="94">
        <v>78.099999999999994</v>
      </c>
      <c r="AD109" s="94">
        <v>84.6</v>
      </c>
      <c r="AE109" s="94">
        <v>93.4</v>
      </c>
      <c r="AF109" s="94">
        <v>93.8</v>
      </c>
      <c r="AG109" s="108"/>
      <c r="AH109" s="48">
        <f t="shared" si="9"/>
        <v>96</v>
      </c>
      <c r="AI109" s="49">
        <f t="shared" si="10"/>
        <v>42.2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22">SUM(B111:B215)</f>
        <v>0</v>
      </c>
      <c r="C216" s="125">
        <f t="shared" si="22"/>
        <v>0</v>
      </c>
      <c r="D216" s="125">
        <f t="shared" si="22"/>
        <v>0</v>
      </c>
      <c r="E216" s="125">
        <f t="shared" si="22"/>
        <v>0</v>
      </c>
      <c r="F216" s="125">
        <f t="shared" si="22"/>
        <v>0</v>
      </c>
      <c r="G216" s="125">
        <f t="shared" si="22"/>
        <v>0</v>
      </c>
      <c r="H216" s="125">
        <f t="shared" si="22"/>
        <v>0</v>
      </c>
      <c r="I216" s="125">
        <f t="shared" si="22"/>
        <v>0</v>
      </c>
      <c r="J216" s="125">
        <f t="shared" si="22"/>
        <v>0</v>
      </c>
      <c r="K216" s="125">
        <f t="shared" si="22"/>
        <v>0</v>
      </c>
      <c r="L216" s="125">
        <f t="shared" si="22"/>
        <v>0</v>
      </c>
      <c r="M216" s="125">
        <f t="shared" si="22"/>
        <v>0</v>
      </c>
      <c r="N216" s="125">
        <f t="shared" si="22"/>
        <v>0</v>
      </c>
      <c r="O216" s="125">
        <f t="shared" si="22"/>
        <v>0</v>
      </c>
      <c r="P216" s="125">
        <f t="shared" si="22"/>
        <v>0</v>
      </c>
      <c r="Q216" s="125">
        <f t="shared" si="22"/>
        <v>0</v>
      </c>
      <c r="R216" s="125">
        <f t="shared" si="22"/>
        <v>0</v>
      </c>
      <c r="S216" s="125">
        <f t="shared" si="22"/>
        <v>0</v>
      </c>
      <c r="T216" s="125">
        <f t="shared" si="22"/>
        <v>0</v>
      </c>
      <c r="U216" s="125">
        <f t="shared" si="22"/>
        <v>0</v>
      </c>
      <c r="V216" s="125">
        <f t="shared" si="22"/>
        <v>0</v>
      </c>
      <c r="W216" s="125">
        <f t="shared" si="22"/>
        <v>0</v>
      </c>
      <c r="X216" s="125">
        <f t="shared" si="22"/>
        <v>0</v>
      </c>
      <c r="Y216" s="125">
        <f t="shared" si="22"/>
        <v>0</v>
      </c>
      <c r="Z216" s="125">
        <f t="shared" si="22"/>
        <v>0</v>
      </c>
      <c r="AA216" s="125">
        <f t="shared" si="22"/>
        <v>0</v>
      </c>
      <c r="AB216" s="125">
        <f t="shared" si="22"/>
        <v>0</v>
      </c>
      <c r="AC216" s="125">
        <f t="shared" si="22"/>
        <v>0</v>
      </c>
      <c r="AD216" s="125">
        <f t="shared" si="22"/>
        <v>0</v>
      </c>
      <c r="AE216" s="125">
        <f t="shared" si="22"/>
        <v>0</v>
      </c>
      <c r="AF216" s="126">
        <f t="shared" si="22"/>
        <v>0</v>
      </c>
      <c r="AG216" s="127">
        <f t="shared" si="22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23">AF218</f>
        <v>0</v>
      </c>
      <c r="C218" s="129">
        <v>0.3</v>
      </c>
      <c r="D218" s="129">
        <f t="shared" ref="D218:P223" si="24">C218</f>
        <v>0.3</v>
      </c>
      <c r="E218" s="129">
        <f t="shared" si="24"/>
        <v>0.3</v>
      </c>
      <c r="F218" s="129">
        <f t="shared" si="24"/>
        <v>0.3</v>
      </c>
      <c r="G218" s="129">
        <f t="shared" si="24"/>
        <v>0.3</v>
      </c>
      <c r="H218" s="129">
        <f t="shared" si="24"/>
        <v>0.3</v>
      </c>
      <c r="I218" s="129">
        <f t="shared" si="24"/>
        <v>0.3</v>
      </c>
      <c r="J218" s="129">
        <f t="shared" si="24"/>
        <v>0.3</v>
      </c>
      <c r="K218" s="129">
        <f t="shared" si="24"/>
        <v>0.3</v>
      </c>
      <c r="L218" s="129">
        <f t="shared" si="24"/>
        <v>0.3</v>
      </c>
      <c r="M218" s="129">
        <f t="shared" si="24"/>
        <v>0.3</v>
      </c>
      <c r="N218" s="129">
        <f t="shared" si="24"/>
        <v>0.3</v>
      </c>
      <c r="O218" s="129">
        <f t="shared" si="24"/>
        <v>0.3</v>
      </c>
      <c r="P218" s="129">
        <f t="shared" si="24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23"/>
        <v>0</v>
      </c>
      <c r="C219" s="117">
        <v>0.4</v>
      </c>
      <c r="D219" s="117">
        <f t="shared" si="24"/>
        <v>0.4</v>
      </c>
      <c r="E219" s="117">
        <f t="shared" si="24"/>
        <v>0.4</v>
      </c>
      <c r="F219" s="117">
        <f t="shared" si="24"/>
        <v>0.4</v>
      </c>
      <c r="G219" s="117">
        <f t="shared" si="24"/>
        <v>0.4</v>
      </c>
      <c r="H219" s="117">
        <f t="shared" si="24"/>
        <v>0.4</v>
      </c>
      <c r="I219" s="117">
        <f t="shared" si="24"/>
        <v>0.4</v>
      </c>
      <c r="J219" s="117">
        <f t="shared" si="24"/>
        <v>0.4</v>
      </c>
      <c r="K219" s="117">
        <f t="shared" si="24"/>
        <v>0.4</v>
      </c>
      <c r="L219" s="117">
        <f t="shared" si="24"/>
        <v>0.4</v>
      </c>
      <c r="M219" s="117">
        <f t="shared" si="24"/>
        <v>0.4</v>
      </c>
      <c r="N219" s="117">
        <f t="shared" si="24"/>
        <v>0.4</v>
      </c>
      <c r="O219" s="117">
        <f t="shared" si="24"/>
        <v>0.4</v>
      </c>
      <c r="P219" s="117">
        <f t="shared" si="24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23"/>
        <v>0</v>
      </c>
      <c r="C220" s="117">
        <v>1.5</v>
      </c>
      <c r="D220" s="117">
        <f t="shared" si="24"/>
        <v>1.5</v>
      </c>
      <c r="E220" s="117">
        <f t="shared" si="24"/>
        <v>1.5</v>
      </c>
      <c r="F220" s="117">
        <f t="shared" si="24"/>
        <v>1.5</v>
      </c>
      <c r="G220" s="117">
        <f t="shared" si="24"/>
        <v>1.5</v>
      </c>
      <c r="H220" s="117">
        <f t="shared" si="24"/>
        <v>1.5</v>
      </c>
      <c r="I220" s="117">
        <f t="shared" si="24"/>
        <v>1.5</v>
      </c>
      <c r="J220" s="117">
        <f t="shared" si="24"/>
        <v>1.5</v>
      </c>
      <c r="K220" s="117">
        <f t="shared" si="24"/>
        <v>1.5</v>
      </c>
      <c r="L220" s="117">
        <f t="shared" si="24"/>
        <v>1.5</v>
      </c>
      <c r="M220" s="117">
        <f t="shared" si="24"/>
        <v>1.5</v>
      </c>
      <c r="N220" s="117">
        <f t="shared" si="24"/>
        <v>1.5</v>
      </c>
      <c r="O220" s="117">
        <f t="shared" si="24"/>
        <v>1.5</v>
      </c>
      <c r="P220" s="117">
        <f t="shared" si="24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23"/>
        <v>0</v>
      </c>
      <c r="C221" s="117">
        <v>0.3</v>
      </c>
      <c r="D221" s="117">
        <f t="shared" si="24"/>
        <v>0.3</v>
      </c>
      <c r="E221" s="117">
        <f t="shared" si="24"/>
        <v>0.3</v>
      </c>
      <c r="F221" s="117">
        <f t="shared" si="24"/>
        <v>0.3</v>
      </c>
      <c r="G221" s="117">
        <f t="shared" si="24"/>
        <v>0.3</v>
      </c>
      <c r="H221" s="117">
        <f t="shared" si="24"/>
        <v>0.3</v>
      </c>
      <c r="I221" s="117">
        <f t="shared" si="24"/>
        <v>0.3</v>
      </c>
      <c r="J221" s="117">
        <f t="shared" si="24"/>
        <v>0.3</v>
      </c>
      <c r="K221" s="117">
        <f t="shared" si="24"/>
        <v>0.3</v>
      </c>
      <c r="L221" s="117">
        <f t="shared" si="24"/>
        <v>0.3</v>
      </c>
      <c r="M221" s="117">
        <f t="shared" si="24"/>
        <v>0.3</v>
      </c>
      <c r="N221" s="117">
        <f t="shared" si="24"/>
        <v>0.3</v>
      </c>
      <c r="O221" s="117">
        <f t="shared" si="24"/>
        <v>0.3</v>
      </c>
      <c r="P221" s="117">
        <f t="shared" si="24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23"/>
        <v>0</v>
      </c>
      <c r="C222" s="117">
        <v>0.4</v>
      </c>
      <c r="D222" s="117">
        <f t="shared" si="24"/>
        <v>0.4</v>
      </c>
      <c r="E222" s="117">
        <f t="shared" si="24"/>
        <v>0.4</v>
      </c>
      <c r="F222" s="117">
        <f t="shared" si="24"/>
        <v>0.4</v>
      </c>
      <c r="G222" s="117">
        <f t="shared" si="24"/>
        <v>0.4</v>
      </c>
      <c r="H222" s="117">
        <f t="shared" si="24"/>
        <v>0.4</v>
      </c>
      <c r="I222" s="117">
        <f t="shared" si="24"/>
        <v>0.4</v>
      </c>
      <c r="J222" s="117">
        <f t="shared" si="24"/>
        <v>0.4</v>
      </c>
      <c r="K222" s="117">
        <f t="shared" si="24"/>
        <v>0.4</v>
      </c>
      <c r="L222" s="117">
        <f t="shared" si="24"/>
        <v>0.4</v>
      </c>
      <c r="M222" s="117">
        <f t="shared" si="24"/>
        <v>0.4</v>
      </c>
      <c r="N222" s="117">
        <f t="shared" si="24"/>
        <v>0.4</v>
      </c>
      <c r="O222" s="117">
        <f t="shared" si="24"/>
        <v>0.4</v>
      </c>
      <c r="P222" s="117">
        <f t="shared" si="24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23"/>
        <v>0</v>
      </c>
      <c r="C223" s="121">
        <v>0.64</v>
      </c>
      <c r="D223" s="121">
        <f t="shared" si="24"/>
        <v>0.64</v>
      </c>
      <c r="E223" s="121">
        <f t="shared" si="24"/>
        <v>0.64</v>
      </c>
      <c r="F223" s="121">
        <f t="shared" si="24"/>
        <v>0.64</v>
      </c>
      <c r="G223" s="121">
        <f t="shared" si="24"/>
        <v>0.64</v>
      </c>
      <c r="H223" s="121">
        <f t="shared" si="24"/>
        <v>0.64</v>
      </c>
      <c r="I223" s="121">
        <f t="shared" si="24"/>
        <v>0.64</v>
      </c>
      <c r="J223" s="121">
        <f t="shared" si="24"/>
        <v>0.64</v>
      </c>
      <c r="K223" s="121">
        <f t="shared" si="24"/>
        <v>0.64</v>
      </c>
      <c r="L223" s="121">
        <f t="shared" si="24"/>
        <v>0.64</v>
      </c>
      <c r="M223" s="121">
        <f t="shared" si="24"/>
        <v>0.64</v>
      </c>
      <c r="N223" s="121">
        <f t="shared" si="24"/>
        <v>0.64</v>
      </c>
      <c r="O223" s="121">
        <f t="shared" si="24"/>
        <v>0.64</v>
      </c>
      <c r="P223" s="121">
        <f t="shared" si="24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5">SUM(B218:B223)</f>
        <v>0</v>
      </c>
      <c r="C224" s="125">
        <f t="shared" si="25"/>
        <v>3.54</v>
      </c>
      <c r="D224" s="125">
        <f t="shared" si="25"/>
        <v>3.54</v>
      </c>
      <c r="E224" s="125">
        <f t="shared" si="25"/>
        <v>3.54</v>
      </c>
      <c r="F224" s="125">
        <f t="shared" si="25"/>
        <v>3.54</v>
      </c>
      <c r="G224" s="125">
        <f t="shared" si="25"/>
        <v>3.54</v>
      </c>
      <c r="H224" s="125">
        <f t="shared" si="25"/>
        <v>3.54</v>
      </c>
      <c r="I224" s="125">
        <f t="shared" si="25"/>
        <v>3.54</v>
      </c>
      <c r="J224" s="125">
        <f t="shared" si="25"/>
        <v>3.54</v>
      </c>
      <c r="K224" s="125">
        <f t="shared" si="25"/>
        <v>3.54</v>
      </c>
      <c r="L224" s="125">
        <f t="shared" si="25"/>
        <v>3.54</v>
      </c>
      <c r="M224" s="125">
        <f t="shared" si="25"/>
        <v>3.54</v>
      </c>
      <c r="N224" s="125">
        <f t="shared" si="25"/>
        <v>3.54</v>
      </c>
      <c r="O224" s="125">
        <f t="shared" si="25"/>
        <v>3.54</v>
      </c>
      <c r="P224" s="125">
        <f t="shared" si="25"/>
        <v>3.54</v>
      </c>
      <c r="Q224" s="125">
        <f t="shared" si="25"/>
        <v>0</v>
      </c>
      <c r="R224" s="125">
        <f t="shared" si="25"/>
        <v>0</v>
      </c>
      <c r="S224" s="125">
        <f t="shared" si="25"/>
        <v>0</v>
      </c>
      <c r="T224" s="125">
        <f t="shared" si="25"/>
        <v>0</v>
      </c>
      <c r="U224" s="125">
        <f t="shared" si="25"/>
        <v>0</v>
      </c>
      <c r="V224" s="125">
        <f t="shared" si="25"/>
        <v>0</v>
      </c>
      <c r="W224" s="125">
        <f t="shared" si="25"/>
        <v>0</v>
      </c>
      <c r="X224" s="125">
        <f t="shared" si="25"/>
        <v>0</v>
      </c>
      <c r="Y224" s="125">
        <f t="shared" si="25"/>
        <v>0</v>
      </c>
      <c r="Z224" s="125">
        <f t="shared" si="25"/>
        <v>0</v>
      </c>
      <c r="AA224" s="125">
        <f t="shared" si="25"/>
        <v>0</v>
      </c>
      <c r="AB224" s="125">
        <f t="shared" si="25"/>
        <v>0</v>
      </c>
      <c r="AC224" s="125">
        <f t="shared" si="25"/>
        <v>0</v>
      </c>
      <c r="AD224" s="125">
        <f t="shared" si="25"/>
        <v>0</v>
      </c>
      <c r="AE224" s="125">
        <f t="shared" si="25"/>
        <v>0</v>
      </c>
      <c r="AF224" s="125">
        <f t="shared" si="25"/>
        <v>0</v>
      </c>
      <c r="AG224" s="134">
        <f t="shared" si="25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1657.34</v>
      </c>
      <c r="C233" s="150">
        <f>INDEX(G9:N9,1,MATCH(MAX(G81:N81),G81:N81,0))</f>
        <v>0.33333333333333331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1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2079/06/1)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2079/06/1)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26">B81</f>
        <v>1481.02</v>
      </c>
      <c r="U238" s="159">
        <f t="shared" si="26"/>
        <v>1427.72</v>
      </c>
      <c r="V238" s="159">
        <f t="shared" si="26"/>
        <v>1397.12</v>
      </c>
      <c r="W238" s="159">
        <f t="shared" si="26"/>
        <v>1420.2399999999998</v>
      </c>
      <c r="X238" s="159">
        <f t="shared" si="26"/>
        <v>1413.1399999999999</v>
      </c>
      <c r="Y238" s="159">
        <f t="shared" si="26"/>
        <v>1413.04</v>
      </c>
      <c r="Z238" s="159">
        <f t="shared" si="26"/>
        <v>1444.34</v>
      </c>
      <c r="AA238" s="159">
        <f t="shared" si="26"/>
        <v>1467.34</v>
      </c>
      <c r="AB238" s="159">
        <f t="shared" si="26"/>
        <v>1513.34</v>
      </c>
      <c r="AC238" s="159">
        <f t="shared" si="26"/>
        <v>1574.34</v>
      </c>
      <c r="AD238" s="159">
        <f t="shared" si="26"/>
        <v>1639.34</v>
      </c>
      <c r="AE238" s="159">
        <f t="shared" si="26"/>
        <v>1657.34</v>
      </c>
      <c r="AF238" s="159">
        <f t="shared" si="26"/>
        <v>1585.64</v>
      </c>
      <c r="AG238" s="159">
        <f t="shared" si="26"/>
        <v>1583.4399999999998</v>
      </c>
      <c r="AH238" s="159">
        <f t="shared" si="26"/>
        <v>1533.24</v>
      </c>
      <c r="AI238" s="159">
        <f t="shared" si="26"/>
        <v>1533.24</v>
      </c>
      <c r="AJ238" s="159">
        <f t="shared" si="26"/>
        <v>1540.1399999999999</v>
      </c>
      <c r="AK238" s="159">
        <f t="shared" si="26"/>
        <v>1506.84</v>
      </c>
      <c r="AL238" s="159">
        <f t="shared" si="26"/>
        <v>1482.9399999999998</v>
      </c>
      <c r="AM238" s="159">
        <f t="shared" si="26"/>
        <v>1463.54</v>
      </c>
      <c r="AN238" s="159">
        <f t="shared" si="26"/>
        <v>1443.54</v>
      </c>
      <c r="AO238" s="159">
        <f t="shared" si="26"/>
        <v>1403.54</v>
      </c>
      <c r="AP238" s="159">
        <f t="shared" si="26"/>
        <v>1548.44</v>
      </c>
      <c r="AQ238" s="159">
        <f t="shared" si="26"/>
        <v>1652.34</v>
      </c>
      <c r="AR238" s="159">
        <f t="shared" si="26"/>
        <v>1702.4399999999998</v>
      </c>
      <c r="AS238" s="159">
        <f t="shared" si="26"/>
        <v>1639.24</v>
      </c>
      <c r="AT238" s="159">
        <f t="shared" si="26"/>
        <v>1600.34</v>
      </c>
      <c r="AU238" s="159">
        <f t="shared" si="26"/>
        <v>1547.1399999999999</v>
      </c>
      <c r="AV238" s="159">
        <f t="shared" si="26"/>
        <v>1511.24</v>
      </c>
      <c r="AW238" s="159">
        <f t="shared" si="26"/>
        <v>1395.24</v>
      </c>
      <c r="AX238" s="159">
        <f t="shared" si="26"/>
        <v>1406.34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27">C223</f>
        <v>0.64</v>
      </c>
      <c r="C259" s="162">
        <f t="shared" si="27"/>
        <v>0.64</v>
      </c>
      <c r="D259" s="162">
        <f t="shared" si="27"/>
        <v>0.64</v>
      </c>
      <c r="E259" s="162">
        <f t="shared" si="27"/>
        <v>0.64</v>
      </c>
      <c r="F259" s="162">
        <f t="shared" si="27"/>
        <v>0.64</v>
      </c>
      <c r="G259" s="162">
        <f t="shared" si="27"/>
        <v>0.64</v>
      </c>
      <c r="H259" s="162">
        <f t="shared" si="27"/>
        <v>0.64</v>
      </c>
      <c r="I259" s="162">
        <f t="shared" si="27"/>
        <v>0.64</v>
      </c>
      <c r="J259" s="162">
        <f t="shared" si="27"/>
        <v>0.64</v>
      </c>
      <c r="K259" s="162">
        <f t="shared" si="27"/>
        <v>0.64</v>
      </c>
      <c r="L259" s="162">
        <f t="shared" si="27"/>
        <v>0.64</v>
      </c>
      <c r="M259" s="162">
        <f t="shared" si="27"/>
        <v>0.64</v>
      </c>
      <c r="N259" s="162">
        <f t="shared" si="27"/>
        <v>0.64</v>
      </c>
      <c r="O259" s="162">
        <f t="shared" si="27"/>
        <v>0.64</v>
      </c>
      <c r="P259" s="162">
        <f t="shared" si="27"/>
        <v>0</v>
      </c>
      <c r="Q259" s="162">
        <f t="shared" si="27"/>
        <v>0</v>
      </c>
      <c r="R259" s="162">
        <f t="shared" si="27"/>
        <v>0</v>
      </c>
      <c r="S259" s="162">
        <f t="shared" si="27"/>
        <v>0</v>
      </c>
      <c r="T259" s="162">
        <f t="shared" si="27"/>
        <v>0</v>
      </c>
      <c r="U259" s="162">
        <f t="shared" si="27"/>
        <v>0</v>
      </c>
      <c r="V259" s="162">
        <f t="shared" si="27"/>
        <v>0</v>
      </c>
      <c r="W259" s="162">
        <f t="shared" si="27"/>
        <v>0</v>
      </c>
      <c r="X259" s="162">
        <f t="shared" si="27"/>
        <v>0</v>
      </c>
      <c r="Y259" s="162">
        <f t="shared" si="27"/>
        <v>0</v>
      </c>
      <c r="Z259" s="162">
        <f t="shared" si="27"/>
        <v>0</v>
      </c>
      <c r="AA259" s="162">
        <f t="shared" si="27"/>
        <v>0</v>
      </c>
      <c r="AB259" s="162">
        <f t="shared" si="27"/>
        <v>0</v>
      </c>
      <c r="AC259" s="162">
        <f t="shared" si="27"/>
        <v>0</v>
      </c>
      <c r="AD259" s="162">
        <f t="shared" si="27"/>
        <v>0</v>
      </c>
      <c r="AE259" s="162">
        <f t="shared" si="27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28">IF(B227&lt;100,"",B227-520)</f>
        <v/>
      </c>
      <c r="C260" s="163" t="str">
        <f t="shared" si="28"/>
        <v/>
      </c>
      <c r="D260" s="163" t="str">
        <f t="shared" si="28"/>
        <v/>
      </c>
      <c r="E260" s="163" t="str">
        <f t="shared" si="28"/>
        <v/>
      </c>
      <c r="F260" s="163" t="str">
        <f t="shared" si="28"/>
        <v/>
      </c>
      <c r="G260" s="163" t="str">
        <f t="shared" si="28"/>
        <v/>
      </c>
      <c r="H260" s="163" t="str">
        <f t="shared" si="28"/>
        <v/>
      </c>
      <c r="I260" s="163" t="str">
        <f t="shared" si="28"/>
        <v/>
      </c>
      <c r="J260" s="163" t="str">
        <f t="shared" si="28"/>
        <v/>
      </c>
      <c r="K260" s="163" t="str">
        <f t="shared" si="28"/>
        <v/>
      </c>
      <c r="L260" s="163" t="str">
        <f t="shared" si="28"/>
        <v/>
      </c>
      <c r="M260" s="163" t="str">
        <f t="shared" si="28"/>
        <v/>
      </c>
      <c r="N260" s="163" t="str">
        <f t="shared" si="28"/>
        <v/>
      </c>
      <c r="O260" s="163" t="str">
        <f t="shared" si="28"/>
        <v/>
      </c>
      <c r="P260" s="163" t="str">
        <f t="shared" si="28"/>
        <v/>
      </c>
      <c r="Q260" s="163" t="str">
        <f t="shared" si="28"/>
        <v/>
      </c>
      <c r="R260" s="163" t="str">
        <f t="shared" si="28"/>
        <v/>
      </c>
      <c r="S260" s="163" t="str">
        <f t="shared" si="28"/>
        <v/>
      </c>
      <c r="T260" s="163" t="str">
        <f t="shared" si="28"/>
        <v/>
      </c>
      <c r="U260" s="163" t="str">
        <f t="shared" si="28"/>
        <v/>
      </c>
      <c r="V260" s="163" t="str">
        <f t="shared" si="28"/>
        <v/>
      </c>
      <c r="W260" s="163" t="str">
        <f t="shared" si="28"/>
        <v/>
      </c>
      <c r="X260" s="163" t="str">
        <f t="shared" si="28"/>
        <v/>
      </c>
      <c r="Y260" s="163" t="str">
        <f t="shared" si="28"/>
        <v/>
      </c>
      <c r="Z260" s="163" t="str">
        <f t="shared" si="28"/>
        <v/>
      </c>
      <c r="AA260" s="163" t="str">
        <f t="shared" si="28"/>
        <v/>
      </c>
      <c r="AB260" s="163" t="str">
        <f t="shared" si="28"/>
        <v/>
      </c>
      <c r="AC260" s="163" t="str">
        <f t="shared" si="28"/>
        <v/>
      </c>
      <c r="AD260" s="163" t="str">
        <f t="shared" si="28"/>
        <v/>
      </c>
      <c r="AE260" s="163" t="str">
        <f t="shared" si="28"/>
        <v/>
      </c>
      <c r="AF260" s="163" t="str">
        <f t="shared" si="28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29">IF(B228&lt;100,"",B228-620)</f>
        <v/>
      </c>
      <c r="C261" s="163" t="str">
        <f t="shared" si="29"/>
        <v/>
      </c>
      <c r="D261" s="163" t="str">
        <f t="shared" si="29"/>
        <v/>
      </c>
      <c r="E261" s="163" t="str">
        <f t="shared" si="29"/>
        <v/>
      </c>
      <c r="F261" s="163" t="str">
        <f t="shared" si="29"/>
        <v/>
      </c>
      <c r="G261" s="163" t="str">
        <f t="shared" si="29"/>
        <v/>
      </c>
      <c r="H261" s="163" t="str">
        <f t="shared" si="29"/>
        <v/>
      </c>
      <c r="I261" s="163" t="str">
        <f t="shared" si="29"/>
        <v/>
      </c>
      <c r="J261" s="163" t="str">
        <f t="shared" si="29"/>
        <v/>
      </c>
      <c r="K261" s="163" t="str">
        <f t="shared" si="29"/>
        <v/>
      </c>
      <c r="L261" s="163" t="str">
        <f t="shared" si="29"/>
        <v/>
      </c>
      <c r="M261" s="163" t="str">
        <f t="shared" si="29"/>
        <v/>
      </c>
      <c r="N261" s="163" t="str">
        <f t="shared" si="29"/>
        <v/>
      </c>
      <c r="O261" s="163" t="str">
        <f t="shared" si="29"/>
        <v/>
      </c>
      <c r="P261" s="163" t="str">
        <f t="shared" si="29"/>
        <v/>
      </c>
      <c r="Q261" s="163" t="str">
        <f t="shared" si="29"/>
        <v/>
      </c>
      <c r="R261" s="163" t="str">
        <f t="shared" si="29"/>
        <v/>
      </c>
      <c r="S261" s="163" t="str">
        <f t="shared" si="29"/>
        <v/>
      </c>
      <c r="T261" s="163" t="str">
        <f t="shared" si="29"/>
        <v/>
      </c>
      <c r="U261" s="163" t="str">
        <f t="shared" si="29"/>
        <v/>
      </c>
      <c r="V261" s="163" t="str">
        <f t="shared" si="29"/>
        <v/>
      </c>
      <c r="W261" s="163" t="str">
        <f t="shared" si="29"/>
        <v/>
      </c>
      <c r="X261" s="163" t="str">
        <f t="shared" si="29"/>
        <v/>
      </c>
      <c r="Y261" s="163" t="str">
        <f t="shared" si="29"/>
        <v/>
      </c>
      <c r="Z261" s="163" t="str">
        <f t="shared" si="29"/>
        <v/>
      </c>
      <c r="AA261" s="163" t="str">
        <f t="shared" si="29"/>
        <v/>
      </c>
      <c r="AB261" s="163" t="str">
        <f t="shared" si="29"/>
        <v/>
      </c>
      <c r="AC261" s="163" t="str">
        <f t="shared" si="29"/>
        <v/>
      </c>
      <c r="AD261" s="163" t="str">
        <f t="shared" si="29"/>
        <v/>
      </c>
      <c r="AE261" s="163" t="str">
        <f t="shared" si="29"/>
        <v/>
      </c>
      <c r="AF261" s="163" t="str">
        <f t="shared" si="29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0">IF(B229&lt;100,"",B229-330)</f>
        <v/>
      </c>
      <c r="C262" s="163" t="str">
        <f t="shared" si="30"/>
        <v/>
      </c>
      <c r="D262" s="163" t="str">
        <f t="shared" si="30"/>
        <v/>
      </c>
      <c r="E262" s="163" t="str">
        <f t="shared" si="30"/>
        <v/>
      </c>
      <c r="F262" s="163" t="str">
        <f t="shared" si="30"/>
        <v/>
      </c>
      <c r="G262" s="163" t="str">
        <f t="shared" si="30"/>
        <v/>
      </c>
      <c r="H262" s="163" t="str">
        <f t="shared" si="30"/>
        <v/>
      </c>
      <c r="I262" s="163" t="str">
        <f t="shared" si="30"/>
        <v/>
      </c>
      <c r="J262" s="163" t="str">
        <f t="shared" si="30"/>
        <v/>
      </c>
      <c r="K262" s="163" t="str">
        <f t="shared" si="30"/>
        <v/>
      </c>
      <c r="L262" s="163" t="str">
        <f t="shared" si="30"/>
        <v/>
      </c>
      <c r="M262" s="163" t="str">
        <f t="shared" si="30"/>
        <v/>
      </c>
      <c r="N262" s="163" t="str">
        <f t="shared" si="30"/>
        <v/>
      </c>
      <c r="O262" s="163" t="str">
        <f t="shared" si="30"/>
        <v/>
      </c>
      <c r="P262" s="163" t="str">
        <f t="shared" si="30"/>
        <v/>
      </c>
      <c r="Q262" s="163" t="str">
        <f t="shared" si="30"/>
        <v/>
      </c>
      <c r="R262" s="163" t="str">
        <f t="shared" si="30"/>
        <v/>
      </c>
      <c r="S262" s="163" t="str">
        <f t="shared" si="30"/>
        <v/>
      </c>
      <c r="T262" s="163" t="str">
        <f t="shared" si="30"/>
        <v/>
      </c>
      <c r="U262" s="163" t="str">
        <f t="shared" si="30"/>
        <v/>
      </c>
      <c r="V262" s="163" t="str">
        <f t="shared" si="30"/>
        <v/>
      </c>
      <c r="W262" s="163" t="str">
        <f t="shared" si="30"/>
        <v/>
      </c>
      <c r="X262" s="163" t="str">
        <f t="shared" si="30"/>
        <v/>
      </c>
      <c r="Y262" s="163" t="str">
        <f t="shared" si="30"/>
        <v/>
      </c>
      <c r="Z262" s="163" t="str">
        <f t="shared" si="30"/>
        <v/>
      </c>
      <c r="AA262" s="163" t="str">
        <f t="shared" si="30"/>
        <v/>
      </c>
      <c r="AB262" s="163" t="str">
        <f t="shared" si="30"/>
        <v/>
      </c>
      <c r="AC262" s="163" t="str">
        <f t="shared" si="30"/>
        <v/>
      </c>
      <c r="AD262" s="163" t="str">
        <f t="shared" si="30"/>
        <v/>
      </c>
      <c r="AE262" s="163" t="str">
        <f t="shared" si="30"/>
        <v/>
      </c>
      <c r="AF262" s="163" t="str">
        <f t="shared" si="30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1">IF(B230&lt;100,"",B230-1500)</f>
        <v/>
      </c>
      <c r="C263" s="163" t="str">
        <f t="shared" si="31"/>
        <v/>
      </c>
      <c r="D263" s="163" t="str">
        <f t="shared" si="31"/>
        <v/>
      </c>
      <c r="E263" s="163" t="str">
        <f t="shared" si="31"/>
        <v/>
      </c>
      <c r="F263" s="163" t="str">
        <f t="shared" si="31"/>
        <v/>
      </c>
      <c r="G263" s="163" t="str">
        <f t="shared" si="31"/>
        <v/>
      </c>
      <c r="H263" s="163" t="str">
        <f t="shared" si="31"/>
        <v/>
      </c>
      <c r="I263" s="163" t="str">
        <f t="shared" si="31"/>
        <v/>
      </c>
      <c r="J263" s="163" t="str">
        <f t="shared" si="31"/>
        <v/>
      </c>
      <c r="K263" s="163" t="str">
        <f t="shared" si="31"/>
        <v/>
      </c>
      <c r="L263" s="163" t="str">
        <f t="shared" si="31"/>
        <v/>
      </c>
      <c r="M263" s="163" t="str">
        <f t="shared" si="31"/>
        <v/>
      </c>
      <c r="N263" s="163" t="str">
        <f t="shared" si="31"/>
        <v/>
      </c>
      <c r="O263" s="163" t="str">
        <f t="shared" si="31"/>
        <v/>
      </c>
      <c r="P263" s="163" t="str">
        <f t="shared" si="31"/>
        <v/>
      </c>
      <c r="Q263" s="163" t="str">
        <f t="shared" si="31"/>
        <v/>
      </c>
      <c r="R263" s="163" t="str">
        <f t="shared" si="31"/>
        <v/>
      </c>
      <c r="S263" s="163" t="str">
        <f t="shared" si="31"/>
        <v/>
      </c>
      <c r="T263" s="163" t="str">
        <f t="shared" si="31"/>
        <v/>
      </c>
      <c r="U263" s="163" t="str">
        <f t="shared" si="31"/>
        <v/>
      </c>
      <c r="V263" s="163" t="str">
        <f t="shared" si="31"/>
        <v/>
      </c>
      <c r="W263" s="163" t="str">
        <f t="shared" si="31"/>
        <v/>
      </c>
      <c r="X263" s="163" t="str">
        <f t="shared" si="31"/>
        <v/>
      </c>
      <c r="Y263" s="163" t="str">
        <f t="shared" si="31"/>
        <v/>
      </c>
      <c r="Z263" s="163" t="str">
        <f t="shared" si="31"/>
        <v/>
      </c>
      <c r="AA263" s="163" t="str">
        <f t="shared" si="31"/>
        <v/>
      </c>
      <c r="AB263" s="163" t="str">
        <f t="shared" si="31"/>
        <v/>
      </c>
      <c r="AC263" s="163" t="str">
        <f t="shared" si="31"/>
        <v/>
      </c>
      <c r="AD263" s="163" t="str">
        <f t="shared" si="31"/>
        <v/>
      </c>
      <c r="AE263" s="163" t="str">
        <f t="shared" si="31"/>
        <v/>
      </c>
      <c r="AF263" s="163" t="str">
        <f t="shared" si="31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A11:A225">
    <cfRule type="expression" dxfId="2222" priority="16">
      <formula>$AH11=0</formula>
    </cfRule>
  </conditionalFormatting>
  <conditionalFormatting sqref="B8 M8 S8 AB8">
    <cfRule type="expression" dxfId="2221" priority="247">
      <formula>AND(C$9&gt;=8/24,C$9&lt;14/24)</formula>
    </cfRule>
    <cfRule type="expression" dxfId="2220" priority="246">
      <formula>AND(C$9&gt;=14/24,C$9&lt;20/24)</formula>
    </cfRule>
    <cfRule type="expression" dxfId="2219" priority="248">
      <formula>C$9&lt;8/24</formula>
    </cfRule>
  </conditionalFormatting>
  <conditionalFormatting sqref="B41:B44 C44:AG44">
    <cfRule type="expression" dxfId="2218" priority="72">
      <formula>B$9&lt;8/24</formula>
    </cfRule>
    <cfRule type="expression" dxfId="2217" priority="68">
      <formula>B41&gt;$AG41</formula>
    </cfRule>
    <cfRule type="expression" dxfId="2216" priority="71">
      <formula>AND(B$9&gt;=8/24,B$9&lt;14/24)</formula>
    </cfRule>
    <cfRule type="expression" dxfId="2215" priority="70">
      <formula>AND(B$9&gt;=14/24,B$9&lt;20/24)</formula>
    </cfRule>
    <cfRule type="expression" dxfId="2214" priority="69">
      <formula>B$9&gt;=20/24</formula>
    </cfRule>
  </conditionalFormatting>
  <conditionalFormatting sqref="B45:M47">
    <cfRule type="expression" dxfId="2213" priority="126">
      <formula>AND(B$9&gt;=8/24,B$9&lt;14/24)</formula>
    </cfRule>
    <cfRule type="expression" dxfId="2212" priority="125">
      <formula>AND(B$9&gt;=14/24,B$9&lt;20/24)</formula>
    </cfRule>
    <cfRule type="expression" dxfId="2211" priority="127">
      <formula>B$9&lt;8/24</formula>
    </cfRule>
    <cfRule type="expression" dxfId="2210" priority="124">
      <formula>B$9&gt;=20/24</formula>
    </cfRule>
  </conditionalFormatting>
  <conditionalFormatting sqref="B30:X37">
    <cfRule type="expression" dxfId="2209" priority="2">
      <formula>B$9&gt;=20/24</formula>
    </cfRule>
    <cfRule type="expression" dxfId="2208" priority="3">
      <formula>AND(B$9&gt;=14/24,B$9&lt;20/24)</formula>
    </cfRule>
    <cfRule type="expression" dxfId="2207" priority="4">
      <formula>AND(B$9&gt;=8/24,B$9&lt;14/24)</formula>
    </cfRule>
    <cfRule type="expression" dxfId="2206" priority="5">
      <formula>B$9&lt;8/24</formula>
    </cfRule>
  </conditionalFormatting>
  <conditionalFormatting sqref="B38:X39">
    <cfRule type="expression" dxfId="2205" priority="130">
      <formula>AND(B$9&gt;=8/24,B$9&lt;14/24)</formula>
    </cfRule>
    <cfRule type="expression" dxfId="2204" priority="129">
      <formula>AND(B$9&gt;=14/24,B$9&lt;20/24)</formula>
    </cfRule>
    <cfRule type="expression" dxfId="2203" priority="128">
      <formula>B$9&gt;=20/24</formula>
    </cfRule>
    <cfRule type="expression" dxfId="2202" priority="131">
      <formula>B$9&lt;8/24</formula>
    </cfRule>
  </conditionalFormatting>
  <conditionalFormatting sqref="B50:X56">
    <cfRule type="expression" dxfId="2201" priority="96">
      <formula>B50&gt;$AG50</formula>
    </cfRule>
    <cfRule type="expression" dxfId="2200" priority="97">
      <formula>B$9&gt;=20/24</formula>
    </cfRule>
    <cfRule type="expression" dxfId="2199" priority="98">
      <formula>AND(B$9&gt;=14/24,B$9&lt;20/24)</formula>
    </cfRule>
    <cfRule type="expression" dxfId="2198" priority="99">
      <formula>AND(B$9&gt;=8/24,B$9&lt;14/24)</formula>
    </cfRule>
    <cfRule type="expression" dxfId="2197" priority="100">
      <formula>B$9&lt;8/24</formula>
    </cfRule>
  </conditionalFormatting>
  <conditionalFormatting sqref="B9:AF11">
    <cfRule type="expression" dxfId="2196" priority="143">
      <formula>AND(B$9&gt;=8/24,B$9&lt;14/24)</formula>
    </cfRule>
    <cfRule type="expression" dxfId="2195" priority="142">
      <formula>AND(B$9&gt;=14/24,B$9&lt;20/24)</formula>
    </cfRule>
    <cfRule type="expression" dxfId="2194" priority="144">
      <formula>B$9&lt;8/24</formula>
    </cfRule>
    <cfRule type="expression" dxfId="2193" priority="141">
      <formula>B$9&gt;=20/24</formula>
    </cfRule>
  </conditionalFormatting>
  <conditionalFormatting sqref="B11:AF16">
    <cfRule type="expression" dxfId="2192" priority="136">
      <formula>B11&gt;$AG11</formula>
    </cfRule>
  </conditionalFormatting>
  <conditionalFormatting sqref="B12:AF15">
    <cfRule type="expression" dxfId="2191" priority="107">
      <formula>AND(B$9&gt;=14/24,B$9&lt;20/24)</formula>
    </cfRule>
    <cfRule type="expression" dxfId="2190" priority="108">
      <formula>AND(B$9&gt;=8/24,B$9&lt;14/24)</formula>
    </cfRule>
    <cfRule type="expression" dxfId="2189" priority="106">
      <formula>B$9&gt;=20/24</formula>
    </cfRule>
    <cfRule type="expression" dxfId="2188" priority="109">
      <formula>B$9&lt;8/24</formula>
    </cfRule>
  </conditionalFormatting>
  <conditionalFormatting sqref="B16:AF16 B216:AF216 B218:B224 D218:AF224 U237:AF237">
    <cfRule type="expression" dxfId="2187" priority="241">
      <formula>AND(B$9&gt;=8/24,B$9&lt;14/24)</formula>
    </cfRule>
    <cfRule type="expression" dxfId="2186" priority="239">
      <formula>B$9&gt;=20/24</formula>
    </cfRule>
    <cfRule type="expression" dxfId="2185" priority="242">
      <formula>B$9&lt;8/24</formula>
    </cfRule>
    <cfRule type="expression" dxfId="2184" priority="240">
      <formula>AND(B$9&gt;=14/24,B$9&lt;20/24)</formula>
    </cfRule>
  </conditionalFormatting>
  <conditionalFormatting sqref="B17:AF17">
    <cfRule type="expression" dxfId="2183" priority="18">
      <formula>B$9&gt;=20/24</formula>
    </cfRule>
    <cfRule type="expression" dxfId="2182" priority="19">
      <formula>AND(B$9&gt;=14/24,B$9&lt;20/24)</formula>
    </cfRule>
    <cfRule type="expression" dxfId="2181" priority="27">
      <formula>B17&gt;$AG17</formula>
    </cfRule>
    <cfRule type="expression" dxfId="2180" priority="21">
      <formula>B$9&lt;8/24</formula>
    </cfRule>
    <cfRule type="expression" dxfId="2179" priority="20">
      <formula>AND(B$9&gt;=8/24,B$9&lt;14/24)</formula>
    </cfRule>
  </conditionalFormatting>
  <conditionalFormatting sqref="B18:AF24">
    <cfRule type="expression" dxfId="2178" priority="91">
      <formula>B$9&lt;8/24</formula>
    </cfRule>
    <cfRule type="expression" dxfId="2177" priority="88">
      <formula>B$9&gt;=20/24</formula>
    </cfRule>
    <cfRule type="expression" dxfId="2176" priority="89">
      <formula>AND(B$9&gt;=14/24,B$9&lt;20/24)</formula>
    </cfRule>
    <cfRule type="expression" dxfId="2175" priority="90">
      <formula>AND(B$9&gt;=8/24,B$9&lt;14/24)</formula>
    </cfRule>
  </conditionalFormatting>
  <conditionalFormatting sqref="B19:AF24">
    <cfRule type="expression" dxfId="2174" priority="87">
      <formula>B19&gt;$AG19</formula>
    </cfRule>
  </conditionalFormatting>
  <conditionalFormatting sqref="B25:AF27 B29:AF29 C59:AF61 B59:B62 C62:AG62 C75:AF78 B75:B79 C79:AG79 B80:AF81">
    <cfRule type="expression" dxfId="2173" priority="119">
      <formula>B$9&gt;=20/24</formula>
    </cfRule>
    <cfRule type="expression" dxfId="2172" priority="122">
      <formula>B$9&lt;8/24</formula>
    </cfRule>
    <cfRule type="expression" dxfId="2171" priority="120">
      <formula>AND(B$9&gt;=14/24,B$9&lt;20/24)</formula>
    </cfRule>
    <cfRule type="expression" dxfId="2170" priority="121">
      <formula>AND(B$9&gt;=8/24,B$9&lt;14/24)</formula>
    </cfRule>
  </conditionalFormatting>
  <conditionalFormatting sqref="B25:AF29 B40:AG40 B45:T49 C57:AG58 B57:B62 C59:AF61 C62:AG62">
    <cfRule type="expression" dxfId="2169" priority="114">
      <formula>B25&gt;$AG25</formula>
    </cfRule>
  </conditionalFormatting>
  <conditionalFormatting sqref="B28:AF28">
    <cfRule type="expression" dxfId="2168" priority="95">
      <formula>B$9&lt;8/24</formula>
    </cfRule>
    <cfRule type="expression" dxfId="2167" priority="94">
      <formula>AND(B$9&gt;=8/24,B$9&lt;14/24)</formula>
    </cfRule>
    <cfRule type="expression" dxfId="2166" priority="92">
      <formula>B$9&gt;=20/24</formula>
    </cfRule>
    <cfRule type="expression" dxfId="2165" priority="93">
      <formula>AND(B$9&gt;=14/24,B$9&lt;20/24)</formula>
    </cfRule>
  </conditionalFormatting>
  <conditionalFormatting sqref="B30:AF36">
    <cfRule type="expression" dxfId="2164" priority="1">
      <formula>B30&gt;$AG30</formula>
    </cfRule>
  </conditionalFormatting>
  <conditionalFormatting sqref="B37:AF37 B18:AF18">
    <cfRule type="expression" dxfId="2163" priority="233">
      <formula>B18&gt;$AG18</formula>
    </cfRule>
  </conditionalFormatting>
  <conditionalFormatting sqref="B38:AF39">
    <cfRule type="expression" dxfId="2162" priority="123">
      <formula>B38&gt;$AG38</formula>
    </cfRule>
  </conditionalFormatting>
  <conditionalFormatting sqref="B63:AF74">
    <cfRule type="expression" dxfId="2161" priority="83">
      <formula>AND(B$9&gt;=14/24,B$9&lt;20/24)</formula>
    </cfRule>
    <cfRule type="expression" dxfId="2160" priority="82">
      <formula>B$9&gt;=20/24</formula>
    </cfRule>
    <cfRule type="expression" dxfId="2159" priority="85">
      <formula>B$9&lt;8/24</formula>
    </cfRule>
    <cfRule type="expression" dxfId="2158" priority="84">
      <formula>AND(B$9&gt;=8/24,B$9&lt;14/24)</formula>
    </cfRule>
  </conditionalFormatting>
  <conditionalFormatting sqref="B83:AF99">
    <cfRule type="expression" dxfId="2153" priority="62">
      <formula>AND(B$9&gt;=8/24,B$9&lt;14/24)</formula>
    </cfRule>
    <cfRule type="expression" dxfId="2152" priority="61">
      <formula>AND(B$9&gt;=14/24,B$9&lt;20/24)</formula>
    </cfRule>
    <cfRule type="expression" dxfId="2151" priority="60">
      <formula>B$9&gt;=20/24</formula>
    </cfRule>
    <cfRule type="expression" dxfId="2150" priority="63">
      <formula>B$9&lt;8/24</formula>
    </cfRule>
  </conditionalFormatting>
  <conditionalFormatting sqref="B101:AF108">
    <cfRule type="expression" dxfId="2149" priority="37">
      <formula>B$9&lt;8/24</formula>
    </cfRule>
    <cfRule type="expression" dxfId="2148" priority="36">
      <formula>AND(B$9&gt;=8/24,B$9&lt;14/24)</formula>
    </cfRule>
    <cfRule type="expression" dxfId="2147" priority="35">
      <formula>AND(B$9&gt;=14/24,B$9&lt;20/24)</formula>
    </cfRule>
    <cfRule type="expression" dxfId="2146" priority="34">
      <formula>B$9&gt;=20/24</formula>
    </cfRule>
  </conditionalFormatting>
  <conditionalFormatting sqref="C41:AF43">
    <cfRule type="expression" dxfId="2141" priority="77">
      <formula>C$9&lt;8/24</formula>
    </cfRule>
    <cfRule type="expression" dxfId="2140" priority="76">
      <formula>AND(C$9&gt;=8/24,C$9&lt;14/24)</formula>
    </cfRule>
    <cfRule type="expression" dxfId="2139" priority="75">
      <formula>AND(C$9&gt;=14/24,C$9&lt;20/24)</formula>
    </cfRule>
    <cfRule type="expression" dxfId="2138" priority="74">
      <formula>C$9&gt;=20/24</formula>
    </cfRule>
    <cfRule type="expression" dxfId="2137" priority="73">
      <formula>C41&gt;$AG41</formula>
    </cfRule>
  </conditionalFormatting>
  <conditionalFormatting sqref="N45:O48 P45:T49 U48:X49 O49">
    <cfRule type="expression" dxfId="2136" priority="170">
      <formula>AND(N$9&gt;=14/24,N$9&lt;20/24)</formula>
    </cfRule>
    <cfRule type="expression" dxfId="2135" priority="171">
      <formula>AND(N$9&gt;=8/24,N$9&lt;14/24)</formula>
    </cfRule>
    <cfRule type="expression" dxfId="2134" priority="172">
      <formula>N$9&lt;8/24</formula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133" priority="245">
      <formula>C$9&gt;=20/24</formula>
    </cfRule>
  </conditionalFormatting>
  <conditionalFormatting sqref="S8">
    <cfRule type="expression" dxfId="2132" priority="217">
      <formula>U$9&lt;8/24</formula>
    </cfRule>
    <cfRule type="expression" dxfId="2131" priority="214">
      <formula>U$9&gt;=20/24</formula>
    </cfRule>
    <cfRule type="expression" dxfId="2130" priority="215">
      <formula>AND(U$9&gt;=14/24,U$9&lt;20/24)</formula>
    </cfRule>
    <cfRule type="expression" dxfId="2129" priority="216">
      <formula>AND(U$9&gt;=8/24,U$9&lt;14/24)</formula>
    </cfRule>
  </conditionalFormatting>
  <conditionalFormatting sqref="T237">
    <cfRule type="expression" dxfId="2128" priority="258">
      <formula>AX$9&gt;=20/24</formula>
    </cfRule>
    <cfRule type="expression" dxfId="2127" priority="259">
      <formula>AND(AX$9&gt;=14/24,AX$9&lt;20/24)</formula>
    </cfRule>
    <cfRule type="expression" dxfId="2126" priority="260">
      <formula>AND(AX$9&gt;=8/24,AX$9&lt;14/24)</formula>
    </cfRule>
    <cfRule type="expression" dxfId="2125" priority="261">
      <formula>AX$9&lt;8/24</formula>
    </cfRule>
  </conditionalFormatting>
  <conditionalFormatting sqref="U48:X49 N45:O48 P45:T49 O49">
    <cfRule type="expression" dxfId="2124" priority="169">
      <formula>N$9&gt;=20/24</formula>
    </cfRule>
  </conditionalFormatting>
  <conditionalFormatting sqref="U48:X49">
    <cfRule type="expression" dxfId="2123" priority="168">
      <formula>U48&gt;$AG48</formula>
    </cfRule>
  </conditionalFormatting>
  <conditionalFormatting sqref="U45:AF47">
    <cfRule type="expression" dxfId="2122" priority="204">
      <formula>U$9&lt;8/24</formula>
    </cfRule>
    <cfRule type="expression" dxfId="2121" priority="200">
      <formula>U45&gt;$AG45</formula>
    </cfRule>
    <cfRule type="expression" dxfId="2120" priority="201">
      <formula>U$9&gt;=20/24</formula>
    </cfRule>
    <cfRule type="expression" dxfId="2119" priority="202">
      <formula>AND(U$9&gt;=14/24,U$9&lt;20/24)</formula>
    </cfRule>
    <cfRule type="expression" dxfId="2118" priority="203">
      <formula>AND(U$9&gt;=8/24,U$9&lt;14/24)</formula>
    </cfRule>
  </conditionalFormatting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Y30:AF30">
    <cfRule type="expression" dxfId="2117" priority="15">
      <formula>Y$9&lt;8/24</formula>
    </cfRule>
    <cfRule type="expression" dxfId="2116" priority="14">
      <formula>AND(Y$9&gt;=8/24,Y$9&lt;14/24)</formula>
    </cfRule>
    <cfRule type="expression" dxfId="2115" priority="13">
      <formula>AND(Y$9&gt;=14/24,Y$9&lt;20/24)</formula>
    </cfRule>
    <cfRule type="expression" dxfId="2114" priority="12">
      <formula>Y$9&gt;=20/24</formula>
    </cfRule>
  </conditionalFormatting>
  <conditionalFormatting sqref="Y31:AF39">
    <cfRule type="expression" dxfId="2113" priority="180">
      <formula>AND(Y$9&gt;=14/24,Y$9&lt;20/24)</formula>
    </cfRule>
    <cfRule type="expression" dxfId="2112" priority="181">
      <formula>AND(Y$9&gt;=8/24,Y$9&lt;14/24)</formula>
    </cfRule>
    <cfRule type="expression" dxfId="2111" priority="182">
      <formula>Y$9&lt;8/24</formula>
    </cfRule>
    <cfRule type="expression" dxfId="2110" priority="179">
      <formula>Y$9&gt;=20/24</formula>
    </cfRule>
  </conditionalFormatting>
  <conditionalFormatting sqref="Y48:AF56">
    <cfRule type="expression" dxfId="2109" priority="30">
      <formula>Y$9&gt;=20/24</formula>
    </cfRule>
    <cfRule type="expression" dxfId="2108" priority="31">
      <formula>AND(Y$9&gt;=14/24,Y$9&lt;20/24)</formula>
    </cfRule>
    <cfRule type="expression" dxfId="2107" priority="32">
      <formula>AND(Y$9&gt;=8/24,Y$9&lt;14/24)</formula>
    </cfRule>
    <cfRule type="expression" dxfId="2106" priority="33">
      <formula>Y$9&lt;8/24</formula>
    </cfRule>
    <cfRule type="expression" dxfId="2105" priority="29">
      <formula>Y48&gt;$AG48</formula>
    </cfRule>
  </conditionalFormatting>
  <conditionalFormatting sqref="AB8">
    <cfRule type="expression" dxfId="2104" priority="211">
      <formula>AND(AD$9&gt;=14/24,AD$9&lt;20/24)</formula>
    </cfRule>
    <cfRule type="expression" dxfId="2103" priority="210">
      <formula>AD$9&gt;=20/24</formula>
    </cfRule>
    <cfRule type="expression" dxfId="2102" priority="212">
      <formula>AND(AD$9&gt;=8/24,AD$9&lt;14/24)</formula>
    </cfRule>
    <cfRule type="expression" dxfId="2101" priority="213">
      <formula>AD$9&lt;8/24</formula>
    </cfRule>
  </conditionalFormatting>
  <conditionalFormatting sqref="AG237">
    <cfRule type="expression" dxfId="2100" priority="250">
      <formula>B$9&gt;=20/24</formula>
    </cfRule>
    <cfRule type="expression" dxfId="2099" priority="251">
      <formula>AND(B$9&gt;=14/24,B$9&lt;20/24)</formula>
    </cfRule>
    <cfRule type="expression" dxfId="2098" priority="252">
      <formula>AND(B$9&gt;=8/24,B$9&lt;14/24)</formula>
    </cfRule>
    <cfRule type="expression" dxfId="2097" priority="253">
      <formula>B$9&lt;8/24</formula>
    </cfRule>
  </conditionalFormatting>
  <conditionalFormatting sqref="AH237:AX237">
    <cfRule type="expression" dxfId="2096" priority="254">
      <formula>AG$9&gt;=20/24</formula>
    </cfRule>
    <cfRule type="expression" dxfId="2095" priority="255">
      <formula>AND(AG$9&gt;=14/24,AG$9&lt;20/24)</formula>
    </cfRule>
    <cfRule type="expression" dxfId="2094" priority="256">
      <formula>AND(AG$9&gt;=8/24,AG$9&lt;14/24)</formula>
    </cfRule>
    <cfRule type="expression" dxfId="2093" priority="257">
      <formula>AG$9&lt;8/24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6" id="{13E0AD73-761A-412F-BD2E-73A61C38A6E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8" id="{EF787C6A-623C-48E0-AE56-1B85748C4777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57" id="{3FE593C0-A2AE-4966-ADA0-9C6470CF58E0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5" id="{87A1C605-0087-4419-88E0-FE90C4C3CDE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7" id="{AA769D43-2E3D-494D-9F42-77A135E8958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46" id="{363C7E66-EB34-4E81-B4FE-3748427DD445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5" id="{1D806121-F9D0-4EE5-A324-281A592C1FD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4" id="{982D8D1A-2205-4179-A3AB-49FDF41F65E7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m:sqref>B109:AF109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270"/>
  <sheetViews>
    <sheetView zoomScale="90" zoomScaleNormal="90" workbookViewId="0">
      <pane xSplit="1" ySplit="10" topLeftCell="B41" activePane="bottomRight" state="frozen"/>
      <selection activeCell="AF88" sqref="AF88"/>
      <selection pane="topRight" activeCell="AF88" sqref="AF88"/>
      <selection pane="bottomLeft" activeCell="AF88" sqref="AF88"/>
      <selection pane="bottomRight" activeCell="J30" sqref="J3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2079/06/2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40</v>
      </c>
      <c r="X5" s="30">
        <f t="shared" si="0"/>
        <v>56</v>
      </c>
      <c r="Y5" s="30">
        <f t="shared" si="0"/>
        <v>56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1606MW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Load=1333</v>
      </c>
      <c r="B7" s="35">
        <f t="shared" ref="B7:AF7" si="1">B81</f>
        <v>1392.24</v>
      </c>
      <c r="C7" s="35">
        <f t="shared" si="1"/>
        <v>1386.04</v>
      </c>
      <c r="D7" s="35">
        <f t="shared" si="1"/>
        <v>1347.64</v>
      </c>
      <c r="E7" s="35">
        <f t="shared" si="1"/>
        <v>1341.3400000000001</v>
      </c>
      <c r="F7" s="35">
        <f t="shared" si="1"/>
        <v>1333.14</v>
      </c>
      <c r="G7" s="35">
        <f t="shared" si="1"/>
        <v>1337.94</v>
      </c>
      <c r="H7" s="35">
        <f t="shared" si="1"/>
        <v>1430.14</v>
      </c>
      <c r="I7" s="35">
        <f t="shared" si="1"/>
        <v>1453.14</v>
      </c>
      <c r="J7" s="35">
        <f t="shared" si="1"/>
        <v>1453.04</v>
      </c>
      <c r="K7" s="35">
        <f t="shared" si="1"/>
        <v>1546.04</v>
      </c>
      <c r="L7" s="35">
        <f t="shared" si="1"/>
        <v>1606.04</v>
      </c>
      <c r="M7" s="35">
        <f t="shared" si="1"/>
        <v>1575.64</v>
      </c>
      <c r="N7" s="35">
        <f t="shared" si="1"/>
        <v>1568.14</v>
      </c>
      <c r="O7" s="35">
        <f t="shared" si="1"/>
        <v>1546.64</v>
      </c>
      <c r="P7" s="35">
        <f t="shared" si="1"/>
        <v>1521.64</v>
      </c>
      <c r="Q7" s="35">
        <f t="shared" si="1"/>
        <v>1521.64</v>
      </c>
      <c r="R7" s="35">
        <f t="shared" si="1"/>
        <v>1471.64</v>
      </c>
      <c r="S7" s="35">
        <f t="shared" si="1"/>
        <v>1480.94</v>
      </c>
      <c r="T7" s="35">
        <f t="shared" si="1"/>
        <v>1491.94</v>
      </c>
      <c r="U7" s="35">
        <f t="shared" si="1"/>
        <v>1552.94</v>
      </c>
      <c r="V7" s="35">
        <f t="shared" si="1"/>
        <v>1515.94</v>
      </c>
      <c r="W7" s="35">
        <f t="shared" si="1"/>
        <v>1547.1399999999999</v>
      </c>
      <c r="X7" s="35">
        <f t="shared" si="1"/>
        <v>1637.1399999999999</v>
      </c>
      <c r="Y7" s="35">
        <f t="shared" si="1"/>
        <v>1663.1399999999999</v>
      </c>
      <c r="Z7" s="35">
        <f t="shared" si="1"/>
        <v>1663.1399999999999</v>
      </c>
      <c r="AA7" s="35">
        <f t="shared" si="1"/>
        <v>1612.1399999999999</v>
      </c>
      <c r="AB7" s="35">
        <f t="shared" si="1"/>
        <v>1592.7399999999998</v>
      </c>
      <c r="AC7" s="35">
        <f t="shared" si="1"/>
        <v>1557.64</v>
      </c>
      <c r="AD7" s="35">
        <f t="shared" si="1"/>
        <v>1527.64</v>
      </c>
      <c r="AE7" s="35">
        <f t="shared" si="1"/>
        <v>1405.74</v>
      </c>
      <c r="AF7" s="35">
        <f t="shared" si="1"/>
        <v>1410.8400000000001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53.5</v>
      </c>
      <c r="C11" s="45">
        <v>53.5</v>
      </c>
      <c r="D11" s="45">
        <v>53.5</v>
      </c>
      <c r="E11" s="45">
        <v>53.5</v>
      </c>
      <c r="F11" s="45">
        <v>53.5</v>
      </c>
      <c r="G11" s="45">
        <v>53.5</v>
      </c>
      <c r="H11" s="45">
        <v>53.5</v>
      </c>
      <c r="I11" s="45">
        <v>53.5</v>
      </c>
      <c r="J11" s="45">
        <v>53.5</v>
      </c>
      <c r="K11" s="45">
        <v>53.5</v>
      </c>
      <c r="L11" s="45">
        <v>53.5</v>
      </c>
      <c r="M11" s="45">
        <v>53.5</v>
      </c>
      <c r="N11" s="45">
        <v>53.5</v>
      </c>
      <c r="O11" s="45">
        <v>53.5</v>
      </c>
      <c r="P11" s="45">
        <v>53.5</v>
      </c>
      <c r="Q11" s="45">
        <v>53.5</v>
      </c>
      <c r="R11" s="45">
        <v>53.5</v>
      </c>
      <c r="S11" s="45">
        <v>53.5</v>
      </c>
      <c r="T11" s="45">
        <v>53.5</v>
      </c>
      <c r="U11" s="45">
        <v>53.5</v>
      </c>
      <c r="V11" s="45">
        <v>53.5</v>
      </c>
      <c r="W11" s="45">
        <v>53.5</v>
      </c>
      <c r="X11" s="45">
        <v>53.5</v>
      </c>
      <c r="Y11" s="45">
        <v>53.5</v>
      </c>
      <c r="Z11" s="45">
        <v>53.5</v>
      </c>
      <c r="AA11" s="45">
        <v>53.5</v>
      </c>
      <c r="AB11" s="45">
        <v>53.5</v>
      </c>
      <c r="AC11" s="45">
        <v>53.5</v>
      </c>
      <c r="AD11" s="45">
        <v>53.5</v>
      </c>
      <c r="AE11" s="45">
        <v>53.5</v>
      </c>
      <c r="AF11" s="45">
        <v>53.5</v>
      </c>
      <c r="AG11" s="47">
        <v>52.4</v>
      </c>
      <c r="AH11" s="48">
        <f>MAX(B11:AF11)</f>
        <v>53.5</v>
      </c>
      <c r="AI11" s="49">
        <f>MIN(B11:AF11)</f>
        <v>53.5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50.4</v>
      </c>
      <c r="C12" s="45">
        <v>50.4</v>
      </c>
      <c r="D12" s="45">
        <v>50.4</v>
      </c>
      <c r="E12" s="45">
        <v>50.4</v>
      </c>
      <c r="F12" s="45">
        <v>50.4</v>
      </c>
      <c r="G12" s="45">
        <v>50.4</v>
      </c>
      <c r="H12" s="45">
        <v>50.4</v>
      </c>
      <c r="I12" s="45">
        <v>50.4</v>
      </c>
      <c r="J12" s="45">
        <v>50.4</v>
      </c>
      <c r="K12" s="45">
        <v>50.4</v>
      </c>
      <c r="L12" s="45">
        <v>50.4</v>
      </c>
      <c r="M12" s="45">
        <v>50.4</v>
      </c>
      <c r="N12" s="45">
        <v>50.4</v>
      </c>
      <c r="O12" s="45">
        <v>50.4</v>
      </c>
      <c r="P12" s="45">
        <v>50.4</v>
      </c>
      <c r="Q12" s="45">
        <v>50.4</v>
      </c>
      <c r="R12" s="45">
        <v>50.4</v>
      </c>
      <c r="S12" s="45">
        <v>50.4</v>
      </c>
      <c r="T12" s="45">
        <v>50.4</v>
      </c>
      <c r="U12" s="45">
        <v>50.4</v>
      </c>
      <c r="V12" s="45">
        <v>50.4</v>
      </c>
      <c r="W12" s="45">
        <v>50.4</v>
      </c>
      <c r="X12" s="45">
        <v>50.4</v>
      </c>
      <c r="Y12" s="45">
        <v>50.4</v>
      </c>
      <c r="Z12" s="45">
        <v>50.4</v>
      </c>
      <c r="AA12" s="45">
        <v>50.4</v>
      </c>
      <c r="AB12" s="45">
        <v>50.4</v>
      </c>
      <c r="AC12" s="45">
        <v>50.4</v>
      </c>
      <c r="AD12" s="45">
        <v>50.4</v>
      </c>
      <c r="AE12" s="45">
        <v>50.4</v>
      </c>
      <c r="AF12" s="45">
        <v>50.4</v>
      </c>
      <c r="AG12" s="51">
        <v>50</v>
      </c>
      <c r="AH12" s="48">
        <f t="shared" ref="AH12:AH75" si="2">MAX(B12:AF12)</f>
        <v>50.4</v>
      </c>
      <c r="AI12" s="49">
        <f t="shared" ref="AI12:AI75" si="3">MIN(B12:AF12)</f>
        <v>50.4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40</v>
      </c>
      <c r="C13" s="45">
        <v>40</v>
      </c>
      <c r="D13" s="45">
        <v>40</v>
      </c>
      <c r="E13" s="45">
        <v>40</v>
      </c>
      <c r="F13" s="45">
        <v>40</v>
      </c>
      <c r="G13" s="45">
        <v>40</v>
      </c>
      <c r="H13" s="45">
        <v>40</v>
      </c>
      <c r="I13" s="45">
        <v>40</v>
      </c>
      <c r="J13" s="45">
        <v>40</v>
      </c>
      <c r="K13" s="45">
        <v>46</v>
      </c>
      <c r="L13" s="45">
        <v>46</v>
      </c>
      <c r="M13" s="45">
        <v>46</v>
      </c>
      <c r="N13" s="45">
        <v>46</v>
      </c>
      <c r="O13" s="45">
        <v>46</v>
      </c>
      <c r="P13" s="45">
        <v>46</v>
      </c>
      <c r="Q13" s="45">
        <v>46</v>
      </c>
      <c r="R13" s="45">
        <v>46</v>
      </c>
      <c r="S13" s="45">
        <v>46</v>
      </c>
      <c r="T13" s="45">
        <v>46</v>
      </c>
      <c r="U13" s="45">
        <v>46</v>
      </c>
      <c r="V13" s="45">
        <v>46</v>
      </c>
      <c r="W13" s="45">
        <v>46</v>
      </c>
      <c r="X13" s="45">
        <v>46</v>
      </c>
      <c r="Y13" s="45">
        <v>46</v>
      </c>
      <c r="Z13" s="45">
        <v>46</v>
      </c>
      <c r="AA13" s="45">
        <v>46</v>
      </c>
      <c r="AB13" s="45">
        <v>46</v>
      </c>
      <c r="AC13" s="45">
        <v>46</v>
      </c>
      <c r="AD13" s="45">
        <v>42</v>
      </c>
      <c r="AE13" s="45">
        <v>37</v>
      </c>
      <c r="AF13" s="45">
        <v>37</v>
      </c>
      <c r="AG13" s="51">
        <v>45</v>
      </c>
      <c r="AH13" s="48">
        <f t="shared" si="2"/>
        <v>46</v>
      </c>
      <c r="AI13" s="49">
        <f t="shared" si="3"/>
        <v>37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20</v>
      </c>
      <c r="C14" s="45">
        <v>20</v>
      </c>
      <c r="D14" s="45">
        <v>20</v>
      </c>
      <c r="E14" s="45">
        <v>20</v>
      </c>
      <c r="F14" s="45">
        <v>20</v>
      </c>
      <c r="G14" s="45">
        <v>20</v>
      </c>
      <c r="H14" s="45">
        <v>20</v>
      </c>
      <c r="I14" s="45">
        <v>20</v>
      </c>
      <c r="J14" s="45">
        <v>20</v>
      </c>
      <c r="K14" s="45">
        <v>28</v>
      </c>
      <c r="L14" s="45">
        <v>28</v>
      </c>
      <c r="M14" s="45">
        <v>28</v>
      </c>
      <c r="N14" s="45">
        <v>25</v>
      </c>
      <c r="O14" s="45">
        <v>25</v>
      </c>
      <c r="P14" s="45">
        <v>25</v>
      </c>
      <c r="Q14" s="45">
        <v>25</v>
      </c>
      <c r="R14" s="45">
        <v>25</v>
      </c>
      <c r="S14" s="45">
        <v>25</v>
      </c>
      <c r="T14" s="45">
        <v>28</v>
      </c>
      <c r="U14" s="45">
        <v>28</v>
      </c>
      <c r="V14" s="45">
        <v>28</v>
      </c>
      <c r="W14" s="45">
        <v>40</v>
      </c>
      <c r="X14" s="45">
        <v>40</v>
      </c>
      <c r="Y14" s="45">
        <v>40</v>
      </c>
      <c r="Z14" s="45">
        <v>40</v>
      </c>
      <c r="AA14" s="45">
        <v>40</v>
      </c>
      <c r="AB14" s="45">
        <v>40</v>
      </c>
      <c r="AC14" s="45">
        <v>28</v>
      </c>
      <c r="AD14" s="45">
        <v>28</v>
      </c>
      <c r="AE14" s="45">
        <v>20</v>
      </c>
      <c r="AF14" s="45">
        <v>20</v>
      </c>
      <c r="AG14" s="51">
        <v>42</v>
      </c>
      <c r="AH14" s="48">
        <f t="shared" si="2"/>
        <v>40</v>
      </c>
      <c r="AI14" s="49">
        <f t="shared" si="3"/>
        <v>20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5</v>
      </c>
      <c r="J15" s="45">
        <v>5</v>
      </c>
      <c r="K15" s="45">
        <v>30</v>
      </c>
      <c r="L15" s="45">
        <v>30</v>
      </c>
      <c r="M15" s="45">
        <v>10</v>
      </c>
      <c r="N15" s="45">
        <v>5</v>
      </c>
      <c r="O15" s="45">
        <v>5</v>
      </c>
      <c r="P15" s="45">
        <v>5</v>
      </c>
      <c r="Q15" s="45">
        <v>10</v>
      </c>
      <c r="R15" s="45">
        <v>10</v>
      </c>
      <c r="S15" s="45">
        <v>10</v>
      </c>
      <c r="T15" s="45">
        <v>18</v>
      </c>
      <c r="U15" s="45">
        <v>18</v>
      </c>
      <c r="V15" s="45">
        <v>18</v>
      </c>
      <c r="W15" s="45">
        <v>29</v>
      </c>
      <c r="X15" s="45">
        <v>29</v>
      </c>
      <c r="Y15" s="45">
        <v>29</v>
      </c>
      <c r="Z15" s="45">
        <v>29</v>
      </c>
      <c r="AA15" s="45">
        <v>29</v>
      </c>
      <c r="AB15" s="45">
        <v>20</v>
      </c>
      <c r="AC15" s="45">
        <v>20</v>
      </c>
      <c r="AD15" s="45">
        <v>10</v>
      </c>
      <c r="AE15" s="45">
        <v>0</v>
      </c>
      <c r="AF15" s="45">
        <v>0</v>
      </c>
      <c r="AG15" s="52">
        <v>30</v>
      </c>
      <c r="AH15" s="48">
        <f t="shared" si="2"/>
        <v>30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24.6</v>
      </c>
      <c r="C16" s="45">
        <v>24.6</v>
      </c>
      <c r="D16" s="45">
        <v>24.6</v>
      </c>
      <c r="E16" s="45">
        <v>24.6</v>
      </c>
      <c r="F16" s="45">
        <v>24.6</v>
      </c>
      <c r="G16" s="45">
        <v>24.6</v>
      </c>
      <c r="H16" s="45">
        <v>24.6</v>
      </c>
      <c r="I16" s="45">
        <v>24.6</v>
      </c>
      <c r="J16" s="45">
        <v>24.6</v>
      </c>
      <c r="K16" s="45">
        <v>24.6</v>
      </c>
      <c r="L16" s="45">
        <v>24.6</v>
      </c>
      <c r="M16" s="45">
        <v>24.6</v>
      </c>
      <c r="N16" s="45">
        <v>33.299999999999997</v>
      </c>
      <c r="O16" s="45">
        <v>33.299999999999997</v>
      </c>
      <c r="P16" s="45">
        <v>33.299999999999997</v>
      </c>
      <c r="Q16" s="45">
        <v>33.299999999999997</v>
      </c>
      <c r="R16" s="45">
        <v>33.299999999999997</v>
      </c>
      <c r="S16" s="45">
        <v>33.299999999999997</v>
      </c>
      <c r="T16" s="45">
        <v>33.299999999999997</v>
      </c>
      <c r="U16" s="45">
        <v>33.299999999999997</v>
      </c>
      <c r="V16" s="45">
        <v>33.299999999999997</v>
      </c>
      <c r="W16" s="45">
        <v>33.299999999999997</v>
      </c>
      <c r="X16" s="45">
        <v>33.299999999999997</v>
      </c>
      <c r="Y16" s="45">
        <v>33.299999999999997</v>
      </c>
      <c r="Z16" s="45">
        <v>33.299999999999997</v>
      </c>
      <c r="AA16" s="45">
        <v>33.299999999999997</v>
      </c>
      <c r="AB16" s="45">
        <v>33.299999999999997</v>
      </c>
      <c r="AC16" s="45">
        <v>24</v>
      </c>
      <c r="AD16" s="45">
        <v>24</v>
      </c>
      <c r="AE16" s="45">
        <v>24</v>
      </c>
      <c r="AF16" s="45">
        <v>24</v>
      </c>
      <c r="AG16" s="51">
        <v>24.2</v>
      </c>
      <c r="AH16" s="48">
        <f t="shared" si="2"/>
        <v>33.299999999999997</v>
      </c>
      <c r="AI16" s="49">
        <f t="shared" si="3"/>
        <v>24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6</v>
      </c>
      <c r="J17" s="45">
        <v>6</v>
      </c>
      <c r="K17" s="45">
        <v>27</v>
      </c>
      <c r="L17" s="45">
        <v>27</v>
      </c>
      <c r="M17" s="45">
        <v>10</v>
      </c>
      <c r="N17" s="45">
        <v>10</v>
      </c>
      <c r="O17" s="45">
        <v>6</v>
      </c>
      <c r="P17" s="45">
        <v>6</v>
      </c>
      <c r="Q17" s="45">
        <v>6</v>
      </c>
      <c r="R17" s="45">
        <v>6</v>
      </c>
      <c r="S17" s="45">
        <v>6</v>
      </c>
      <c r="T17" s="45">
        <v>6</v>
      </c>
      <c r="U17" s="45">
        <v>17</v>
      </c>
      <c r="V17" s="45">
        <v>20</v>
      </c>
      <c r="W17" s="45">
        <v>27</v>
      </c>
      <c r="X17" s="45">
        <v>27</v>
      </c>
      <c r="Y17" s="45">
        <v>27</v>
      </c>
      <c r="Z17" s="45">
        <v>27</v>
      </c>
      <c r="AA17" s="45">
        <v>27</v>
      </c>
      <c r="AB17" s="45">
        <v>20</v>
      </c>
      <c r="AC17" s="45">
        <v>20</v>
      </c>
      <c r="AD17" s="45">
        <v>10</v>
      </c>
      <c r="AE17" s="45">
        <v>0</v>
      </c>
      <c r="AF17" s="45">
        <v>0</v>
      </c>
      <c r="AG17" s="52">
        <v>30</v>
      </c>
      <c r="AH17" s="48">
        <f t="shared" si="2"/>
        <v>27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20</v>
      </c>
      <c r="C18" s="45">
        <v>20</v>
      </c>
      <c r="D18" s="45">
        <v>18</v>
      </c>
      <c r="E18" s="45">
        <v>18</v>
      </c>
      <c r="F18" s="45">
        <v>18</v>
      </c>
      <c r="G18" s="45">
        <v>18</v>
      </c>
      <c r="H18" s="45">
        <v>18</v>
      </c>
      <c r="I18" s="45">
        <v>18</v>
      </c>
      <c r="J18" s="45">
        <v>18</v>
      </c>
      <c r="K18" s="45">
        <v>25</v>
      </c>
      <c r="L18" s="45">
        <v>25</v>
      </c>
      <c r="M18" s="45">
        <v>25</v>
      </c>
      <c r="N18" s="45">
        <v>25</v>
      </c>
      <c r="O18" s="45">
        <v>20</v>
      </c>
      <c r="P18" s="45">
        <v>20</v>
      </c>
      <c r="Q18" s="45">
        <v>20</v>
      </c>
      <c r="R18" s="45">
        <v>20</v>
      </c>
      <c r="S18" s="45">
        <v>20</v>
      </c>
      <c r="T18" s="45">
        <v>20</v>
      </c>
      <c r="U18" s="45">
        <v>20</v>
      </c>
      <c r="V18" s="45">
        <v>20</v>
      </c>
      <c r="W18" s="45">
        <v>20</v>
      </c>
      <c r="X18" s="45">
        <v>20</v>
      </c>
      <c r="Y18" s="45">
        <v>20</v>
      </c>
      <c r="Z18" s="45">
        <v>20</v>
      </c>
      <c r="AA18" s="45">
        <v>25</v>
      </c>
      <c r="AB18" s="45">
        <v>25</v>
      </c>
      <c r="AC18" s="45">
        <v>25</v>
      </c>
      <c r="AD18" s="45">
        <v>25</v>
      </c>
      <c r="AE18" s="45">
        <v>20</v>
      </c>
      <c r="AF18" s="45">
        <v>20</v>
      </c>
      <c r="AG18" s="51">
        <v>25</v>
      </c>
      <c r="AH18" s="48">
        <f t="shared" si="2"/>
        <v>25</v>
      </c>
      <c r="AI18" s="49">
        <f t="shared" si="3"/>
        <v>18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51">
        <v>25</v>
      </c>
      <c r="AH19" s="48">
        <f t="shared" si="2"/>
        <v>0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18</v>
      </c>
      <c r="C20" s="45">
        <v>18</v>
      </c>
      <c r="D20" s="45">
        <v>18</v>
      </c>
      <c r="E20" s="45">
        <v>18</v>
      </c>
      <c r="F20" s="45">
        <v>18</v>
      </c>
      <c r="G20" s="45">
        <v>18</v>
      </c>
      <c r="H20" s="45">
        <v>18</v>
      </c>
      <c r="I20" s="45">
        <v>25</v>
      </c>
      <c r="J20" s="45">
        <v>25</v>
      </c>
      <c r="K20" s="45">
        <v>25</v>
      </c>
      <c r="L20" s="45">
        <v>25</v>
      </c>
      <c r="M20" s="45">
        <v>25</v>
      </c>
      <c r="N20" s="45">
        <v>25</v>
      </c>
      <c r="O20" s="45">
        <v>25</v>
      </c>
      <c r="P20" s="45">
        <v>25</v>
      </c>
      <c r="Q20" s="45">
        <v>25</v>
      </c>
      <c r="R20" s="45">
        <v>25</v>
      </c>
      <c r="S20" s="45">
        <v>25</v>
      </c>
      <c r="T20" s="45">
        <v>25</v>
      </c>
      <c r="U20" s="45">
        <v>25</v>
      </c>
      <c r="V20" s="45">
        <v>25</v>
      </c>
      <c r="W20" s="45">
        <v>25</v>
      </c>
      <c r="X20" s="45">
        <v>25</v>
      </c>
      <c r="Y20" s="45">
        <v>25</v>
      </c>
      <c r="Z20" s="45">
        <v>25</v>
      </c>
      <c r="AA20" s="45">
        <v>25</v>
      </c>
      <c r="AB20" s="45">
        <v>25</v>
      </c>
      <c r="AC20" s="45">
        <v>25</v>
      </c>
      <c r="AD20" s="45">
        <v>25</v>
      </c>
      <c r="AE20" s="45">
        <v>19</v>
      </c>
      <c r="AF20" s="45">
        <v>17</v>
      </c>
      <c r="AG20" s="51">
        <v>25</v>
      </c>
      <c r="AH20" s="48">
        <f t="shared" si="2"/>
        <v>25</v>
      </c>
      <c r="AI20" s="49">
        <f t="shared" si="3"/>
        <v>17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23.9</v>
      </c>
      <c r="C21" s="45">
        <v>23.9</v>
      </c>
      <c r="D21" s="45">
        <v>23.9</v>
      </c>
      <c r="E21" s="45">
        <v>23.9</v>
      </c>
      <c r="F21" s="45">
        <v>23.9</v>
      </c>
      <c r="G21" s="45">
        <v>23.9</v>
      </c>
      <c r="H21" s="45">
        <v>23.9</v>
      </c>
      <c r="I21" s="45">
        <v>23.9</v>
      </c>
      <c r="J21" s="45">
        <v>23.9</v>
      </c>
      <c r="K21" s="45">
        <v>23.9</v>
      </c>
      <c r="L21" s="45">
        <v>23.9</v>
      </c>
      <c r="M21" s="45">
        <v>23.9</v>
      </c>
      <c r="N21" s="45">
        <v>23.9</v>
      </c>
      <c r="O21" s="45">
        <v>23.9</v>
      </c>
      <c r="P21" s="45">
        <v>23.9</v>
      </c>
      <c r="Q21" s="45">
        <v>23.9</v>
      </c>
      <c r="R21" s="45">
        <v>23.9</v>
      </c>
      <c r="S21" s="45">
        <v>23.9</v>
      </c>
      <c r="T21" s="45">
        <v>23.9</v>
      </c>
      <c r="U21" s="45">
        <v>23.9</v>
      </c>
      <c r="V21" s="45">
        <v>23.9</v>
      </c>
      <c r="W21" s="45">
        <v>23.9</v>
      </c>
      <c r="X21" s="45">
        <v>23.9</v>
      </c>
      <c r="Y21" s="45">
        <v>23.9</v>
      </c>
      <c r="Z21" s="45">
        <v>23.9</v>
      </c>
      <c r="AA21" s="45">
        <v>23.9</v>
      </c>
      <c r="AB21" s="45">
        <v>23.9</v>
      </c>
      <c r="AC21" s="45">
        <v>23.9</v>
      </c>
      <c r="AD21" s="45">
        <v>23.9</v>
      </c>
      <c r="AE21" s="45">
        <v>23.9</v>
      </c>
      <c r="AF21" s="45">
        <v>23.9</v>
      </c>
      <c r="AG21" s="51">
        <v>23.5</v>
      </c>
      <c r="AH21" s="48">
        <f t="shared" si="2"/>
        <v>23.9</v>
      </c>
      <c r="AI21" s="49">
        <f t="shared" si="3"/>
        <v>23.9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20</v>
      </c>
      <c r="C22" s="45">
        <v>20</v>
      </c>
      <c r="D22" s="45">
        <v>20</v>
      </c>
      <c r="E22" s="45">
        <v>20</v>
      </c>
      <c r="F22" s="45">
        <v>20</v>
      </c>
      <c r="G22" s="45">
        <v>20</v>
      </c>
      <c r="H22" s="45">
        <v>20</v>
      </c>
      <c r="I22" s="45">
        <v>20</v>
      </c>
      <c r="J22" s="45">
        <v>20</v>
      </c>
      <c r="K22" s="45">
        <v>20</v>
      </c>
      <c r="L22" s="45">
        <v>20</v>
      </c>
      <c r="M22" s="45">
        <v>20</v>
      </c>
      <c r="N22" s="45">
        <v>20</v>
      </c>
      <c r="O22" s="45">
        <v>20</v>
      </c>
      <c r="P22" s="45">
        <v>20</v>
      </c>
      <c r="Q22" s="45">
        <v>20</v>
      </c>
      <c r="R22" s="45">
        <v>20</v>
      </c>
      <c r="S22" s="45">
        <v>20</v>
      </c>
      <c r="T22" s="45">
        <v>20</v>
      </c>
      <c r="U22" s="45">
        <v>20</v>
      </c>
      <c r="V22" s="45">
        <v>20</v>
      </c>
      <c r="W22" s="45">
        <v>20</v>
      </c>
      <c r="X22" s="45">
        <v>20</v>
      </c>
      <c r="Y22" s="45">
        <v>20</v>
      </c>
      <c r="Z22" s="45">
        <v>20</v>
      </c>
      <c r="AA22" s="45">
        <v>20</v>
      </c>
      <c r="AB22" s="45">
        <v>20</v>
      </c>
      <c r="AC22" s="45">
        <v>20</v>
      </c>
      <c r="AD22" s="45">
        <v>20</v>
      </c>
      <c r="AE22" s="45">
        <v>19</v>
      </c>
      <c r="AF22" s="45">
        <v>16</v>
      </c>
      <c r="AG22" s="51">
        <v>22.2</v>
      </c>
      <c r="AH22" s="48">
        <f t="shared" si="2"/>
        <v>20</v>
      </c>
      <c r="AI22" s="49">
        <f t="shared" si="3"/>
        <v>16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22</v>
      </c>
      <c r="C23" s="45">
        <v>22</v>
      </c>
      <c r="D23" s="45">
        <v>22</v>
      </c>
      <c r="E23" s="45">
        <v>22</v>
      </c>
      <c r="F23" s="45">
        <v>22</v>
      </c>
      <c r="G23" s="45">
        <v>0</v>
      </c>
      <c r="H23" s="45">
        <v>22</v>
      </c>
      <c r="I23" s="45">
        <v>22</v>
      </c>
      <c r="J23" s="45">
        <v>22</v>
      </c>
      <c r="K23" s="45">
        <v>22</v>
      </c>
      <c r="L23" s="45">
        <v>22</v>
      </c>
      <c r="M23" s="45">
        <v>22</v>
      </c>
      <c r="N23" s="45">
        <v>22</v>
      </c>
      <c r="O23" s="45">
        <v>22</v>
      </c>
      <c r="P23" s="45">
        <v>22</v>
      </c>
      <c r="Q23" s="45">
        <v>22</v>
      </c>
      <c r="R23" s="45">
        <v>22</v>
      </c>
      <c r="S23" s="45">
        <v>22</v>
      </c>
      <c r="T23" s="45">
        <v>22</v>
      </c>
      <c r="U23" s="45">
        <v>22</v>
      </c>
      <c r="V23" s="45">
        <v>22</v>
      </c>
      <c r="W23" s="45">
        <v>22</v>
      </c>
      <c r="X23" s="45">
        <v>22</v>
      </c>
      <c r="Y23" s="45">
        <v>22</v>
      </c>
      <c r="Z23" s="45">
        <v>22</v>
      </c>
      <c r="AA23" s="45">
        <v>22</v>
      </c>
      <c r="AB23" s="45">
        <v>22</v>
      </c>
      <c r="AC23" s="45">
        <v>22</v>
      </c>
      <c r="AD23" s="45">
        <v>22</v>
      </c>
      <c r="AE23" s="45">
        <v>22</v>
      </c>
      <c r="AF23" s="45">
        <v>22</v>
      </c>
      <c r="AG23" s="51">
        <v>22.1</v>
      </c>
      <c r="AH23" s="48">
        <f t="shared" si="2"/>
        <v>22</v>
      </c>
      <c r="AI23" s="49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22</v>
      </c>
      <c r="C24" s="45">
        <v>22</v>
      </c>
      <c r="D24" s="45">
        <v>22</v>
      </c>
      <c r="E24" s="45">
        <v>22</v>
      </c>
      <c r="F24" s="45">
        <v>22</v>
      </c>
      <c r="G24" s="45">
        <v>10</v>
      </c>
      <c r="H24" s="45">
        <v>22</v>
      </c>
      <c r="I24" s="45">
        <v>22</v>
      </c>
      <c r="J24" s="45">
        <v>22</v>
      </c>
      <c r="K24" s="45">
        <v>22</v>
      </c>
      <c r="L24" s="45">
        <v>22</v>
      </c>
      <c r="M24" s="45">
        <v>22</v>
      </c>
      <c r="N24" s="45">
        <v>22</v>
      </c>
      <c r="O24" s="45">
        <v>22</v>
      </c>
      <c r="P24" s="45">
        <v>22</v>
      </c>
      <c r="Q24" s="45">
        <v>22</v>
      </c>
      <c r="R24" s="45">
        <v>22</v>
      </c>
      <c r="S24" s="45">
        <v>22</v>
      </c>
      <c r="T24" s="45">
        <v>22</v>
      </c>
      <c r="U24" s="45">
        <v>22</v>
      </c>
      <c r="V24" s="45">
        <v>22</v>
      </c>
      <c r="W24" s="45">
        <v>22</v>
      </c>
      <c r="X24" s="45">
        <v>22</v>
      </c>
      <c r="Y24" s="45">
        <v>22</v>
      </c>
      <c r="Z24" s="45">
        <v>22</v>
      </c>
      <c r="AA24" s="45">
        <v>22</v>
      </c>
      <c r="AB24" s="45">
        <v>22</v>
      </c>
      <c r="AC24" s="45">
        <v>22</v>
      </c>
      <c r="AD24" s="45">
        <v>22</v>
      </c>
      <c r="AE24" s="45">
        <v>22</v>
      </c>
      <c r="AF24" s="45">
        <v>22</v>
      </c>
      <c r="AG24" s="51">
        <v>22</v>
      </c>
      <c r="AH24" s="48">
        <f t="shared" si="2"/>
        <v>22</v>
      </c>
      <c r="AI24" s="49">
        <f t="shared" si="3"/>
        <v>10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19</v>
      </c>
      <c r="C25" s="45">
        <v>15</v>
      </c>
      <c r="D25" s="45">
        <v>15</v>
      </c>
      <c r="E25" s="45">
        <v>15</v>
      </c>
      <c r="F25" s="45">
        <v>15</v>
      </c>
      <c r="G25" s="45">
        <v>15</v>
      </c>
      <c r="H25" s="45">
        <v>15</v>
      </c>
      <c r="I25" s="45">
        <v>15</v>
      </c>
      <c r="J25" s="45">
        <v>15</v>
      </c>
      <c r="K25" s="45">
        <v>22</v>
      </c>
      <c r="L25" s="45">
        <v>22</v>
      </c>
      <c r="M25" s="45">
        <v>22</v>
      </c>
      <c r="N25" s="45">
        <v>22</v>
      </c>
      <c r="O25" s="45">
        <v>22</v>
      </c>
      <c r="P25" s="45">
        <v>22</v>
      </c>
      <c r="Q25" s="45">
        <v>22</v>
      </c>
      <c r="R25" s="45">
        <v>22</v>
      </c>
      <c r="S25" s="45">
        <v>22</v>
      </c>
      <c r="T25" s="45">
        <v>22</v>
      </c>
      <c r="U25" s="45">
        <v>22</v>
      </c>
      <c r="V25" s="45">
        <v>22</v>
      </c>
      <c r="W25" s="45">
        <v>22</v>
      </c>
      <c r="X25" s="45">
        <v>22</v>
      </c>
      <c r="Y25" s="45">
        <v>22</v>
      </c>
      <c r="Z25" s="45">
        <v>22</v>
      </c>
      <c r="AA25" s="45">
        <v>22</v>
      </c>
      <c r="AB25" s="45">
        <v>22</v>
      </c>
      <c r="AC25" s="45">
        <v>22</v>
      </c>
      <c r="AD25" s="45">
        <v>22</v>
      </c>
      <c r="AE25" s="45">
        <v>22</v>
      </c>
      <c r="AF25" s="45">
        <v>22</v>
      </c>
      <c r="AG25" s="51">
        <v>22</v>
      </c>
      <c r="AH25" s="48">
        <f t="shared" si="2"/>
        <v>22</v>
      </c>
      <c r="AI25" s="49">
        <f t="shared" si="3"/>
        <v>15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5</v>
      </c>
      <c r="L26" s="45">
        <v>5</v>
      </c>
      <c r="M26" s="45">
        <v>5</v>
      </c>
      <c r="N26" s="45">
        <v>5</v>
      </c>
      <c r="O26" s="45">
        <v>5</v>
      </c>
      <c r="P26" s="45">
        <v>5</v>
      </c>
      <c r="Q26" s="45">
        <v>5</v>
      </c>
      <c r="R26" s="45">
        <v>5</v>
      </c>
      <c r="S26" s="45">
        <v>5</v>
      </c>
      <c r="T26" s="45">
        <v>5</v>
      </c>
      <c r="U26" s="45">
        <v>5</v>
      </c>
      <c r="V26" s="45">
        <v>5</v>
      </c>
      <c r="W26" s="45">
        <v>5</v>
      </c>
      <c r="X26" s="45">
        <v>5</v>
      </c>
      <c r="Y26" s="45">
        <v>5</v>
      </c>
      <c r="Z26" s="45">
        <v>5</v>
      </c>
      <c r="AA26" s="45">
        <v>5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51">
        <v>20</v>
      </c>
      <c r="AH26" s="48">
        <f t="shared" si="2"/>
        <v>5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>
        <v>14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14.9</v>
      </c>
      <c r="AH27" s="48">
        <f t="shared" si="2"/>
        <v>14</v>
      </c>
      <c r="AI27" s="49">
        <f t="shared" si="3"/>
        <v>14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6.8</v>
      </c>
      <c r="C28" s="45">
        <v>6.8</v>
      </c>
      <c r="D28" s="45">
        <v>6.8</v>
      </c>
      <c r="E28" s="45">
        <v>6.8</v>
      </c>
      <c r="F28" s="45">
        <v>6.8</v>
      </c>
      <c r="G28" s="45">
        <v>6.8</v>
      </c>
      <c r="H28" s="45">
        <v>6.8</v>
      </c>
      <c r="I28" s="45">
        <v>6.8</v>
      </c>
      <c r="J28" s="45">
        <v>6.8</v>
      </c>
      <c r="K28" s="45">
        <v>6.8</v>
      </c>
      <c r="L28" s="45">
        <v>6.8</v>
      </c>
      <c r="M28" s="45">
        <v>6.8</v>
      </c>
      <c r="N28" s="45">
        <v>6.8</v>
      </c>
      <c r="O28" s="45">
        <v>6.8</v>
      </c>
      <c r="P28" s="45">
        <v>6.8</v>
      </c>
      <c r="Q28" s="45">
        <v>6.8</v>
      </c>
      <c r="R28" s="45">
        <v>6.8</v>
      </c>
      <c r="S28" s="45">
        <v>6.8</v>
      </c>
      <c r="T28" s="45">
        <v>6.8</v>
      </c>
      <c r="U28" s="45">
        <v>6.8</v>
      </c>
      <c r="V28" s="45">
        <v>6.8</v>
      </c>
      <c r="W28" s="45">
        <v>6.8</v>
      </c>
      <c r="X28" s="45">
        <v>6.8</v>
      </c>
      <c r="Y28" s="45">
        <v>6.8</v>
      </c>
      <c r="Z28" s="45">
        <v>6.8</v>
      </c>
      <c r="AA28" s="45">
        <v>6.8</v>
      </c>
      <c r="AB28" s="45">
        <v>6.8</v>
      </c>
      <c r="AC28" s="45">
        <v>6.8</v>
      </c>
      <c r="AD28" s="45">
        <v>6.8</v>
      </c>
      <c r="AE28" s="45">
        <v>6.8</v>
      </c>
      <c r="AF28" s="45">
        <v>6.8</v>
      </c>
      <c r="AG28" s="51">
        <v>13.6</v>
      </c>
      <c r="AH28" s="48">
        <f t="shared" si="2"/>
        <v>6.8</v>
      </c>
      <c r="AI28" s="49">
        <f t="shared" si="3"/>
        <v>6.8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12</v>
      </c>
      <c r="C29" s="45">
        <v>12</v>
      </c>
      <c r="D29" s="45">
        <v>12</v>
      </c>
      <c r="E29" s="45">
        <v>12</v>
      </c>
      <c r="F29" s="45">
        <v>12</v>
      </c>
      <c r="G29" s="45">
        <v>12</v>
      </c>
      <c r="H29" s="45">
        <v>12</v>
      </c>
      <c r="I29" s="45">
        <v>12</v>
      </c>
      <c r="J29" s="45">
        <v>12</v>
      </c>
      <c r="K29" s="45">
        <v>12</v>
      </c>
      <c r="L29" s="45">
        <v>12</v>
      </c>
      <c r="M29" s="45">
        <v>12</v>
      </c>
      <c r="N29" s="45">
        <v>12</v>
      </c>
      <c r="O29" s="45">
        <v>12</v>
      </c>
      <c r="P29" s="45">
        <v>12</v>
      </c>
      <c r="Q29" s="45">
        <v>12</v>
      </c>
      <c r="R29" s="45">
        <v>12</v>
      </c>
      <c r="S29" s="45">
        <v>12</v>
      </c>
      <c r="T29" s="45">
        <v>12</v>
      </c>
      <c r="U29" s="45">
        <v>12</v>
      </c>
      <c r="V29" s="45">
        <v>12</v>
      </c>
      <c r="W29" s="45">
        <v>12</v>
      </c>
      <c r="X29" s="45">
        <v>12</v>
      </c>
      <c r="Y29" s="45">
        <v>12</v>
      </c>
      <c r="Z29" s="45">
        <v>12</v>
      </c>
      <c r="AA29" s="45">
        <v>12</v>
      </c>
      <c r="AB29" s="45">
        <v>12</v>
      </c>
      <c r="AC29" s="45">
        <v>12</v>
      </c>
      <c r="AD29" s="45">
        <v>12</v>
      </c>
      <c r="AE29" s="45">
        <v>12</v>
      </c>
      <c r="AF29" s="45">
        <v>12</v>
      </c>
      <c r="AG29" s="51">
        <v>13</v>
      </c>
      <c r="AH29" s="48">
        <f t="shared" si="2"/>
        <v>12</v>
      </c>
      <c r="AI29" s="49">
        <f t="shared" si="3"/>
        <v>12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12</v>
      </c>
      <c r="L30" s="45">
        <v>12</v>
      </c>
      <c r="M30" s="45">
        <v>5</v>
      </c>
      <c r="N30" s="45">
        <v>5</v>
      </c>
      <c r="O30" s="45">
        <v>5</v>
      </c>
      <c r="P30" s="45">
        <v>5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12</v>
      </c>
      <c r="AC30" s="45">
        <v>12</v>
      </c>
      <c r="AD30" s="45">
        <v>0</v>
      </c>
      <c r="AE30" s="45">
        <v>0</v>
      </c>
      <c r="AF30" s="45">
        <v>0</v>
      </c>
      <c r="AG30" s="51">
        <v>12</v>
      </c>
      <c r="AH30" s="48">
        <f t="shared" si="2"/>
        <v>12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12</v>
      </c>
      <c r="C31" s="45">
        <v>12</v>
      </c>
      <c r="D31" s="45">
        <v>12</v>
      </c>
      <c r="E31" s="45">
        <v>12</v>
      </c>
      <c r="F31" s="45">
        <v>12</v>
      </c>
      <c r="G31" s="45">
        <v>12</v>
      </c>
      <c r="H31" s="45">
        <v>12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2"/>
        <v>12</v>
      </c>
      <c r="AI31" s="49">
        <f t="shared" si="3"/>
        <v>12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6</v>
      </c>
      <c r="C32" s="45">
        <v>6</v>
      </c>
      <c r="D32" s="45">
        <v>6</v>
      </c>
      <c r="E32" s="45">
        <v>6</v>
      </c>
      <c r="F32" s="45">
        <v>6</v>
      </c>
      <c r="G32" s="45">
        <v>6</v>
      </c>
      <c r="H32" s="45">
        <v>6</v>
      </c>
      <c r="I32" s="45">
        <v>6</v>
      </c>
      <c r="J32" s="45">
        <v>6</v>
      </c>
      <c r="K32" s="45">
        <v>6</v>
      </c>
      <c r="L32" s="45">
        <v>6</v>
      </c>
      <c r="M32" s="45">
        <v>6</v>
      </c>
      <c r="N32" s="45">
        <v>6</v>
      </c>
      <c r="O32" s="45">
        <v>6</v>
      </c>
      <c r="P32" s="45">
        <v>6</v>
      </c>
      <c r="Q32" s="45">
        <v>6</v>
      </c>
      <c r="R32" s="45">
        <v>6</v>
      </c>
      <c r="S32" s="45">
        <v>6</v>
      </c>
      <c r="T32" s="45">
        <v>6</v>
      </c>
      <c r="U32" s="45">
        <v>6</v>
      </c>
      <c r="V32" s="45">
        <v>6</v>
      </c>
      <c r="W32" s="45">
        <v>6</v>
      </c>
      <c r="X32" s="45">
        <v>6</v>
      </c>
      <c r="Y32" s="45">
        <v>6</v>
      </c>
      <c r="Z32" s="45">
        <v>6</v>
      </c>
      <c r="AA32" s="45">
        <v>6</v>
      </c>
      <c r="AB32" s="45">
        <v>6</v>
      </c>
      <c r="AC32" s="45">
        <v>6</v>
      </c>
      <c r="AD32" s="45">
        <v>6</v>
      </c>
      <c r="AE32" s="45">
        <v>6</v>
      </c>
      <c r="AF32" s="45">
        <v>6</v>
      </c>
      <c r="AG32" s="51">
        <v>12</v>
      </c>
      <c r="AH32" s="48">
        <f t="shared" si="2"/>
        <v>6</v>
      </c>
      <c r="AI32" s="49">
        <f t="shared" si="3"/>
        <v>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12</v>
      </c>
      <c r="F33" s="45">
        <v>12</v>
      </c>
      <c r="G33" s="45">
        <v>0</v>
      </c>
      <c r="H33" s="45">
        <v>12</v>
      </c>
      <c r="I33" s="45">
        <v>12</v>
      </c>
      <c r="J33" s="45">
        <v>12</v>
      </c>
      <c r="K33" s="45">
        <v>12</v>
      </c>
      <c r="L33" s="45">
        <v>12</v>
      </c>
      <c r="M33" s="45">
        <v>12</v>
      </c>
      <c r="N33" s="45">
        <v>12</v>
      </c>
      <c r="O33" s="45">
        <v>12</v>
      </c>
      <c r="P33" s="45">
        <v>12</v>
      </c>
      <c r="Q33" s="45">
        <v>12</v>
      </c>
      <c r="R33" s="45">
        <v>12</v>
      </c>
      <c r="S33" s="45">
        <v>12</v>
      </c>
      <c r="T33" s="45">
        <v>12</v>
      </c>
      <c r="U33" s="45">
        <v>12</v>
      </c>
      <c r="V33" s="45">
        <v>12</v>
      </c>
      <c r="W33" s="45">
        <v>12</v>
      </c>
      <c r="X33" s="45">
        <v>12</v>
      </c>
      <c r="Y33" s="45">
        <v>12</v>
      </c>
      <c r="Z33" s="45">
        <v>12</v>
      </c>
      <c r="AA33" s="45">
        <v>12</v>
      </c>
      <c r="AB33" s="45">
        <v>12</v>
      </c>
      <c r="AC33" s="45">
        <v>12</v>
      </c>
      <c r="AD33" s="45">
        <v>12</v>
      </c>
      <c r="AE33" s="45">
        <v>12</v>
      </c>
      <c r="AF33" s="45">
        <v>12</v>
      </c>
      <c r="AG33" s="53">
        <v>22</v>
      </c>
      <c r="AH33" s="48">
        <f t="shared" si="2"/>
        <v>12</v>
      </c>
      <c r="AI33" s="49">
        <f t="shared" si="3"/>
        <v>0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12</v>
      </c>
      <c r="C34" s="45">
        <v>12</v>
      </c>
      <c r="D34" s="45">
        <v>12</v>
      </c>
      <c r="E34" s="45">
        <v>12</v>
      </c>
      <c r="F34" s="45">
        <v>12</v>
      </c>
      <c r="G34" s="45">
        <v>12</v>
      </c>
      <c r="H34" s="45">
        <v>12</v>
      </c>
      <c r="I34" s="45">
        <v>12</v>
      </c>
      <c r="J34" s="45">
        <v>12</v>
      </c>
      <c r="K34" s="45">
        <v>12</v>
      </c>
      <c r="L34" s="45">
        <v>12</v>
      </c>
      <c r="M34" s="45">
        <v>12</v>
      </c>
      <c r="N34" s="45">
        <v>12</v>
      </c>
      <c r="O34" s="45">
        <v>12</v>
      </c>
      <c r="P34" s="45">
        <v>12</v>
      </c>
      <c r="Q34" s="45">
        <v>12</v>
      </c>
      <c r="R34" s="45">
        <v>12</v>
      </c>
      <c r="S34" s="45">
        <v>12</v>
      </c>
      <c r="T34" s="45">
        <v>12</v>
      </c>
      <c r="U34" s="45">
        <v>12</v>
      </c>
      <c r="V34" s="45">
        <v>12</v>
      </c>
      <c r="W34" s="45">
        <v>12</v>
      </c>
      <c r="X34" s="45">
        <v>12</v>
      </c>
      <c r="Y34" s="45">
        <v>12</v>
      </c>
      <c r="Z34" s="45">
        <v>12</v>
      </c>
      <c r="AA34" s="45">
        <v>12</v>
      </c>
      <c r="AB34" s="45">
        <v>12</v>
      </c>
      <c r="AC34" s="45">
        <v>12</v>
      </c>
      <c r="AD34" s="45">
        <v>12</v>
      </c>
      <c r="AE34" s="45">
        <v>12</v>
      </c>
      <c r="AF34" s="45">
        <v>12</v>
      </c>
      <c r="AG34" s="52">
        <v>11.88</v>
      </c>
      <c r="AH34" s="48">
        <f t="shared" si="2"/>
        <v>12</v>
      </c>
      <c r="AI34" s="49">
        <f t="shared" si="3"/>
        <v>12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8</v>
      </c>
      <c r="C35" s="45">
        <v>8</v>
      </c>
      <c r="D35" s="45">
        <v>8</v>
      </c>
      <c r="E35" s="45">
        <v>9</v>
      </c>
      <c r="F35" s="45">
        <v>9</v>
      </c>
      <c r="G35" s="45">
        <v>9</v>
      </c>
      <c r="H35" s="45">
        <v>9</v>
      </c>
      <c r="I35" s="45">
        <v>9</v>
      </c>
      <c r="J35" s="45">
        <v>9</v>
      </c>
      <c r="K35" s="45">
        <v>11</v>
      </c>
      <c r="L35" s="45">
        <v>11</v>
      </c>
      <c r="M35" s="45">
        <v>11</v>
      </c>
      <c r="N35" s="45">
        <v>11</v>
      </c>
      <c r="O35" s="45">
        <v>11</v>
      </c>
      <c r="P35" s="45">
        <v>11</v>
      </c>
      <c r="Q35" s="45">
        <v>11</v>
      </c>
      <c r="R35" s="45">
        <v>11</v>
      </c>
      <c r="S35" s="45">
        <v>11</v>
      </c>
      <c r="T35" s="45">
        <v>11</v>
      </c>
      <c r="U35" s="45">
        <v>11</v>
      </c>
      <c r="V35" s="45">
        <v>11</v>
      </c>
      <c r="W35" s="45">
        <v>11</v>
      </c>
      <c r="X35" s="45">
        <v>11</v>
      </c>
      <c r="Y35" s="45">
        <v>11</v>
      </c>
      <c r="Z35" s="45">
        <v>11</v>
      </c>
      <c r="AA35" s="45">
        <v>11</v>
      </c>
      <c r="AB35" s="45">
        <v>11</v>
      </c>
      <c r="AC35" s="45">
        <v>11</v>
      </c>
      <c r="AD35" s="45">
        <v>11</v>
      </c>
      <c r="AE35" s="45">
        <v>7</v>
      </c>
      <c r="AF35" s="45">
        <v>7</v>
      </c>
      <c r="AG35" s="55">
        <v>11</v>
      </c>
      <c r="AH35" s="48">
        <f t="shared" si="2"/>
        <v>11</v>
      </c>
      <c r="AI35" s="49">
        <f t="shared" si="3"/>
        <v>7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9.3000000000000007</v>
      </c>
      <c r="T36" s="45">
        <v>9.3000000000000007</v>
      </c>
      <c r="U36" s="45">
        <v>9.3000000000000007</v>
      </c>
      <c r="V36" s="45">
        <v>9.3000000000000007</v>
      </c>
      <c r="W36" s="45">
        <v>9.3000000000000007</v>
      </c>
      <c r="X36" s="45">
        <v>9.3000000000000007</v>
      </c>
      <c r="Y36" s="45">
        <v>9.3000000000000007</v>
      </c>
      <c r="Z36" s="45">
        <v>9.3000000000000007</v>
      </c>
      <c r="AA36" s="45">
        <v>9.3000000000000007</v>
      </c>
      <c r="AB36" s="45">
        <v>9.3000000000000007</v>
      </c>
      <c r="AC36" s="45">
        <v>9.3000000000000007</v>
      </c>
      <c r="AD36" s="45">
        <v>9.3000000000000007</v>
      </c>
      <c r="AE36" s="45">
        <v>9.3000000000000007</v>
      </c>
      <c r="AF36" s="45">
        <v>9.3000000000000007</v>
      </c>
      <c r="AG36" s="55">
        <v>10</v>
      </c>
      <c r="AH36" s="48">
        <f t="shared" si="2"/>
        <v>9.3000000000000007</v>
      </c>
      <c r="AI36" s="49">
        <f t="shared" si="3"/>
        <v>0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0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300</v>
      </c>
      <c r="C38" s="57">
        <v>300</v>
      </c>
      <c r="D38" s="57">
        <v>300</v>
      </c>
      <c r="E38" s="57">
        <v>300</v>
      </c>
      <c r="F38" s="57">
        <v>300</v>
      </c>
      <c r="G38" s="57">
        <v>200</v>
      </c>
      <c r="H38" s="57">
        <v>300</v>
      </c>
      <c r="I38" s="57">
        <v>300</v>
      </c>
      <c r="J38" s="57">
        <v>300</v>
      </c>
      <c r="K38" s="57">
        <v>290</v>
      </c>
      <c r="L38" s="57">
        <v>300</v>
      </c>
      <c r="M38" s="57">
        <v>300</v>
      </c>
      <c r="N38" s="57">
        <v>300</v>
      </c>
      <c r="O38" s="57">
        <v>300</v>
      </c>
      <c r="P38" s="57">
        <v>300</v>
      </c>
      <c r="Q38" s="57">
        <v>300</v>
      </c>
      <c r="R38" s="57">
        <v>300</v>
      </c>
      <c r="S38" s="57">
        <v>300</v>
      </c>
      <c r="T38" s="57">
        <v>300</v>
      </c>
      <c r="U38" s="57">
        <v>300</v>
      </c>
      <c r="V38" s="57">
        <v>300</v>
      </c>
      <c r="W38" s="57">
        <v>300</v>
      </c>
      <c r="X38" s="57">
        <v>300</v>
      </c>
      <c r="Y38" s="57">
        <v>300</v>
      </c>
      <c r="Z38" s="57">
        <v>300</v>
      </c>
      <c r="AA38" s="57">
        <v>300</v>
      </c>
      <c r="AB38" s="57">
        <v>300</v>
      </c>
      <c r="AC38" s="57">
        <v>300</v>
      </c>
      <c r="AD38" s="57">
        <v>300</v>
      </c>
      <c r="AE38" s="57">
        <v>300</v>
      </c>
      <c r="AF38" s="57">
        <v>300</v>
      </c>
      <c r="AG38" s="55">
        <v>85</v>
      </c>
      <c r="AH38" s="48">
        <f t="shared" si="2"/>
        <v>300</v>
      </c>
      <c r="AI38" s="49">
        <f t="shared" si="3"/>
        <v>200</v>
      </c>
      <c r="AK38" s="50"/>
    </row>
    <row r="39" spans="1:88" ht="15.75" thickBot="1" x14ac:dyDescent="0.3">
      <c r="A39" s="58" t="s">
        <v>47</v>
      </c>
      <c r="B39" s="59">
        <v>133.9</v>
      </c>
      <c r="C39" s="59">
        <f>98.7+39</f>
        <v>137.69999999999999</v>
      </c>
      <c r="D39" s="59">
        <f>95.3+39.6</f>
        <v>134.9</v>
      </c>
      <c r="E39" s="59">
        <f>39.7+95.9</f>
        <v>135.60000000000002</v>
      </c>
      <c r="F39" s="59">
        <f>39.5+95.4</f>
        <v>134.9</v>
      </c>
      <c r="G39" s="59">
        <f>28.3</f>
        <v>28.3</v>
      </c>
      <c r="H39" s="59">
        <f>62.6+28.8</f>
        <v>91.4</v>
      </c>
      <c r="I39" s="59">
        <f>43.3+85.2</f>
        <v>128.5</v>
      </c>
      <c r="J39" s="59">
        <f>43+78</f>
        <v>121</v>
      </c>
      <c r="K39" s="59">
        <f>42+79.2</f>
        <v>121.2</v>
      </c>
      <c r="L39" s="57">
        <f>41.6+92.4</f>
        <v>134</v>
      </c>
      <c r="M39" s="57">
        <f>88+39</f>
        <v>127</v>
      </c>
      <c r="N39" s="57">
        <f>91.8+37.6</f>
        <v>129.4</v>
      </c>
      <c r="O39" s="57">
        <f>94.3+37.3</f>
        <v>131.6</v>
      </c>
      <c r="P39" s="57">
        <f>90.3+37.6</f>
        <v>127.9</v>
      </c>
      <c r="Q39" s="57">
        <f>90.3+37.6</f>
        <v>127.9</v>
      </c>
      <c r="R39" s="57">
        <f t="shared" ref="R39:W39" si="4">92.3+23.6</f>
        <v>115.9</v>
      </c>
      <c r="S39" s="57">
        <f t="shared" si="4"/>
        <v>115.9</v>
      </c>
      <c r="T39" s="57">
        <f t="shared" si="4"/>
        <v>115.9</v>
      </c>
      <c r="U39" s="57">
        <f t="shared" si="4"/>
        <v>115.9</v>
      </c>
      <c r="V39" s="57">
        <f t="shared" si="4"/>
        <v>115.9</v>
      </c>
      <c r="W39" s="57">
        <f t="shared" si="4"/>
        <v>115.9</v>
      </c>
      <c r="X39" s="57">
        <v>125</v>
      </c>
      <c r="Y39" s="57">
        <v>125</v>
      </c>
      <c r="Z39" s="57">
        <v>125</v>
      </c>
      <c r="AA39" s="57">
        <v>125</v>
      </c>
      <c r="AB39" s="59">
        <f>95.5+37.3</f>
        <v>132.80000000000001</v>
      </c>
      <c r="AC39" s="59">
        <f>96.2+37.6</f>
        <v>133.80000000000001</v>
      </c>
      <c r="AD39" s="59">
        <f>96.5+37.7</f>
        <v>134.19999999999999</v>
      </c>
      <c r="AE39" s="59">
        <v>134</v>
      </c>
      <c r="AF39" s="59">
        <f>99.1+37.5</f>
        <v>136.6</v>
      </c>
      <c r="AG39" s="55">
        <v>240</v>
      </c>
      <c r="AH39" s="48">
        <f t="shared" si="2"/>
        <v>137.69999999999999</v>
      </c>
      <c r="AI39" s="49">
        <f t="shared" si="3"/>
        <v>28.3</v>
      </c>
      <c r="AK39" s="50"/>
    </row>
    <row r="40" spans="1:88" ht="15.75" thickBot="1" x14ac:dyDescent="0.3">
      <c r="A40" s="60" t="s">
        <v>48</v>
      </c>
      <c r="B40" s="61">
        <f t="shared" ref="B40:AG40" si="5">SUM(B11:B38)</f>
        <v>709.2</v>
      </c>
      <c r="C40" s="61">
        <f t="shared" si="5"/>
        <v>705.2</v>
      </c>
      <c r="D40" s="61">
        <f t="shared" si="5"/>
        <v>703.2</v>
      </c>
      <c r="E40" s="61">
        <f t="shared" si="5"/>
        <v>711.2</v>
      </c>
      <c r="F40" s="61">
        <f t="shared" si="5"/>
        <v>711.2</v>
      </c>
      <c r="G40" s="61">
        <f t="shared" si="5"/>
        <v>565.20000000000005</v>
      </c>
      <c r="H40" s="61">
        <f t="shared" si="5"/>
        <v>711.2</v>
      </c>
      <c r="I40" s="61">
        <f t="shared" si="5"/>
        <v>729.2</v>
      </c>
      <c r="J40" s="61">
        <f t="shared" si="5"/>
        <v>729.2</v>
      </c>
      <c r="K40" s="61">
        <f t="shared" si="5"/>
        <v>812.2</v>
      </c>
      <c r="L40" s="61">
        <f t="shared" si="5"/>
        <v>822.2</v>
      </c>
      <c r="M40" s="61">
        <f t="shared" si="5"/>
        <v>778.2</v>
      </c>
      <c r="N40" s="61">
        <f t="shared" si="5"/>
        <v>778.9</v>
      </c>
      <c r="O40" s="61">
        <f t="shared" si="5"/>
        <v>769.9</v>
      </c>
      <c r="P40" s="61">
        <f t="shared" si="5"/>
        <v>769.9</v>
      </c>
      <c r="Q40" s="61">
        <f t="shared" si="5"/>
        <v>769.9</v>
      </c>
      <c r="R40" s="61">
        <f t="shared" si="5"/>
        <v>769.9</v>
      </c>
      <c r="S40" s="61">
        <f t="shared" si="5"/>
        <v>779.2</v>
      </c>
      <c r="T40" s="61">
        <f t="shared" si="5"/>
        <v>790.2</v>
      </c>
      <c r="U40" s="61">
        <f t="shared" si="5"/>
        <v>801.2</v>
      </c>
      <c r="V40" s="61">
        <f t="shared" si="5"/>
        <v>804.2</v>
      </c>
      <c r="W40" s="61">
        <f t="shared" si="5"/>
        <v>834.19999999999993</v>
      </c>
      <c r="X40" s="61">
        <f t="shared" si="5"/>
        <v>834.19999999999993</v>
      </c>
      <c r="Y40" s="61">
        <f t="shared" si="5"/>
        <v>834.19999999999993</v>
      </c>
      <c r="Z40" s="61">
        <f t="shared" si="5"/>
        <v>834.19999999999993</v>
      </c>
      <c r="AA40" s="61">
        <f t="shared" si="5"/>
        <v>839.19999999999993</v>
      </c>
      <c r="AB40" s="61">
        <f t="shared" si="5"/>
        <v>830.19999999999993</v>
      </c>
      <c r="AC40" s="61">
        <f t="shared" si="5"/>
        <v>808.9</v>
      </c>
      <c r="AD40" s="61">
        <f t="shared" si="5"/>
        <v>772.9</v>
      </c>
      <c r="AE40" s="61">
        <f t="shared" si="5"/>
        <v>723.90000000000009</v>
      </c>
      <c r="AF40" s="61">
        <f t="shared" si="5"/>
        <v>718.90000000000009</v>
      </c>
      <c r="AG40" s="62">
        <f t="shared" si="5"/>
        <v>707.78000000000009</v>
      </c>
      <c r="AH40" s="48">
        <f t="shared" si="2"/>
        <v>839.19999999999993</v>
      </c>
      <c r="AI40" s="49">
        <f t="shared" si="3"/>
        <v>565.20000000000005</v>
      </c>
      <c r="AK40" s="50"/>
    </row>
    <row r="41" spans="1:88" x14ac:dyDescent="0.25">
      <c r="A41" s="63" t="s">
        <v>49</v>
      </c>
      <c r="B41" s="45">
        <v>320</v>
      </c>
      <c r="C41" s="45">
        <v>320</v>
      </c>
      <c r="D41" s="45">
        <v>300</v>
      </c>
      <c r="E41" s="45">
        <v>300</v>
      </c>
      <c r="F41" s="45">
        <v>290</v>
      </c>
      <c r="G41" s="45">
        <v>350</v>
      </c>
      <c r="H41" s="45">
        <v>330</v>
      </c>
      <c r="I41" s="45">
        <v>310</v>
      </c>
      <c r="J41" s="45">
        <v>310</v>
      </c>
      <c r="K41" s="45">
        <v>320</v>
      </c>
      <c r="L41" s="45">
        <v>370</v>
      </c>
      <c r="M41" s="45">
        <v>456</v>
      </c>
      <c r="N41" s="45">
        <v>436</v>
      </c>
      <c r="O41" s="45">
        <v>425</v>
      </c>
      <c r="P41" s="45">
        <v>400</v>
      </c>
      <c r="Q41" s="45">
        <v>400</v>
      </c>
      <c r="R41" s="45">
        <v>350</v>
      </c>
      <c r="S41" s="45">
        <v>350</v>
      </c>
      <c r="T41" s="45">
        <v>350</v>
      </c>
      <c r="U41" s="45">
        <v>340</v>
      </c>
      <c r="V41" s="45">
        <v>300</v>
      </c>
      <c r="W41" s="45">
        <v>300</v>
      </c>
      <c r="X41" s="45">
        <v>350</v>
      </c>
      <c r="Y41" s="45">
        <v>360</v>
      </c>
      <c r="Z41" s="45">
        <v>360</v>
      </c>
      <c r="AA41" s="45">
        <v>360</v>
      </c>
      <c r="AB41" s="45">
        <v>350</v>
      </c>
      <c r="AC41" s="45">
        <v>335</v>
      </c>
      <c r="AD41" s="45">
        <v>335</v>
      </c>
      <c r="AE41" s="45">
        <v>275</v>
      </c>
      <c r="AF41" s="45">
        <v>290</v>
      </c>
      <c r="AG41" s="52">
        <v>456</v>
      </c>
      <c r="AH41" s="48">
        <f t="shared" si="2"/>
        <v>456</v>
      </c>
      <c r="AI41" s="49">
        <f t="shared" si="3"/>
        <v>275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22</v>
      </c>
      <c r="C43" s="67">
        <v>22</v>
      </c>
      <c r="D43" s="67">
        <v>22</v>
      </c>
      <c r="E43" s="67">
        <v>22</v>
      </c>
      <c r="F43" s="67">
        <v>22</v>
      </c>
      <c r="G43" s="67">
        <v>22</v>
      </c>
      <c r="H43" s="67">
        <v>22</v>
      </c>
      <c r="I43" s="67">
        <v>22</v>
      </c>
      <c r="J43" s="67">
        <v>22</v>
      </c>
      <c r="K43" s="67">
        <v>22</v>
      </c>
      <c r="L43" s="67">
        <v>22</v>
      </c>
      <c r="M43" s="67">
        <v>22</v>
      </c>
      <c r="N43" s="67">
        <v>22</v>
      </c>
      <c r="O43" s="67">
        <v>22</v>
      </c>
      <c r="P43" s="67">
        <v>22</v>
      </c>
      <c r="Q43" s="67">
        <v>22</v>
      </c>
      <c r="R43" s="67">
        <v>22</v>
      </c>
      <c r="S43" s="67">
        <v>22</v>
      </c>
      <c r="T43" s="67">
        <v>22</v>
      </c>
      <c r="U43" s="67">
        <v>22</v>
      </c>
      <c r="V43" s="67">
        <v>22</v>
      </c>
      <c r="W43" s="67">
        <v>22</v>
      </c>
      <c r="X43" s="67">
        <v>22</v>
      </c>
      <c r="Y43" s="67">
        <v>22</v>
      </c>
      <c r="Z43" s="67">
        <v>22</v>
      </c>
      <c r="AA43" s="67">
        <v>22</v>
      </c>
      <c r="AB43" s="67">
        <v>22</v>
      </c>
      <c r="AC43" s="67">
        <v>22</v>
      </c>
      <c r="AD43" s="67">
        <v>22</v>
      </c>
      <c r="AE43" s="67">
        <v>22</v>
      </c>
      <c r="AF43" s="67">
        <v>22</v>
      </c>
      <c r="AG43" s="68">
        <v>22.1</v>
      </c>
      <c r="AH43" s="48">
        <f t="shared" si="2"/>
        <v>22</v>
      </c>
      <c r="AI43" s="49">
        <f t="shared" si="3"/>
        <v>22</v>
      </c>
      <c r="AK43" s="50"/>
    </row>
    <row r="44" spans="1:88" ht="15.75" thickBot="1" x14ac:dyDescent="0.3">
      <c r="A44" s="69" t="s">
        <v>52</v>
      </c>
      <c r="B44" s="61">
        <f t="shared" ref="B44:AG44" si="6">SUM(B41:B43)</f>
        <v>402</v>
      </c>
      <c r="C44" s="61">
        <f t="shared" si="6"/>
        <v>402</v>
      </c>
      <c r="D44" s="61">
        <f t="shared" si="6"/>
        <v>382</v>
      </c>
      <c r="E44" s="61">
        <f t="shared" si="6"/>
        <v>382</v>
      </c>
      <c r="F44" s="61">
        <f t="shared" si="6"/>
        <v>372</v>
      </c>
      <c r="G44" s="61">
        <f t="shared" si="6"/>
        <v>432</v>
      </c>
      <c r="H44" s="61">
        <f t="shared" si="6"/>
        <v>412</v>
      </c>
      <c r="I44" s="61">
        <f t="shared" si="6"/>
        <v>392</v>
      </c>
      <c r="J44" s="61">
        <f t="shared" si="6"/>
        <v>392</v>
      </c>
      <c r="K44" s="61">
        <f t="shared" si="6"/>
        <v>402</v>
      </c>
      <c r="L44" s="61">
        <f t="shared" si="6"/>
        <v>452</v>
      </c>
      <c r="M44" s="61">
        <f t="shared" si="6"/>
        <v>538</v>
      </c>
      <c r="N44" s="61">
        <f t="shared" si="6"/>
        <v>518</v>
      </c>
      <c r="O44" s="61">
        <f t="shared" si="6"/>
        <v>507</v>
      </c>
      <c r="P44" s="61">
        <f t="shared" si="6"/>
        <v>482</v>
      </c>
      <c r="Q44" s="61">
        <f t="shared" si="6"/>
        <v>482</v>
      </c>
      <c r="R44" s="61">
        <f t="shared" si="6"/>
        <v>432</v>
      </c>
      <c r="S44" s="61">
        <f t="shared" si="6"/>
        <v>432</v>
      </c>
      <c r="T44" s="61">
        <f t="shared" si="6"/>
        <v>432</v>
      </c>
      <c r="U44" s="61">
        <f t="shared" si="6"/>
        <v>422</v>
      </c>
      <c r="V44" s="61">
        <f t="shared" si="6"/>
        <v>382</v>
      </c>
      <c r="W44" s="61">
        <f t="shared" si="6"/>
        <v>382</v>
      </c>
      <c r="X44" s="61">
        <f t="shared" si="6"/>
        <v>432</v>
      </c>
      <c r="Y44" s="61">
        <f t="shared" si="6"/>
        <v>442</v>
      </c>
      <c r="Z44" s="61">
        <f t="shared" si="6"/>
        <v>442</v>
      </c>
      <c r="AA44" s="61">
        <f t="shared" si="6"/>
        <v>442</v>
      </c>
      <c r="AB44" s="61">
        <f t="shared" si="6"/>
        <v>432</v>
      </c>
      <c r="AC44" s="61">
        <f t="shared" si="6"/>
        <v>417</v>
      </c>
      <c r="AD44" s="61">
        <f t="shared" si="6"/>
        <v>417</v>
      </c>
      <c r="AE44" s="61">
        <f t="shared" si="6"/>
        <v>357</v>
      </c>
      <c r="AF44" s="61">
        <f t="shared" si="6"/>
        <v>372</v>
      </c>
      <c r="AG44" s="62">
        <f t="shared" si="6"/>
        <v>538.1</v>
      </c>
      <c r="AH44" s="48">
        <f t="shared" si="2"/>
        <v>538</v>
      </c>
      <c r="AI44" s="49">
        <f t="shared" si="3"/>
        <v>357</v>
      </c>
      <c r="AK44" s="50"/>
    </row>
    <row r="45" spans="1:88" x14ac:dyDescent="0.25">
      <c r="A45" s="44" t="s">
        <v>53</v>
      </c>
      <c r="B45" s="45">
        <v>82</v>
      </c>
      <c r="C45" s="45">
        <v>82</v>
      </c>
      <c r="D45" s="45">
        <v>77.099999999999994</v>
      </c>
      <c r="E45" s="45">
        <v>60.8</v>
      </c>
      <c r="F45" s="45">
        <v>62</v>
      </c>
      <c r="G45" s="45">
        <v>71</v>
      </c>
      <c r="H45" s="45">
        <v>81.2</v>
      </c>
      <c r="I45" s="45">
        <v>92.1</v>
      </c>
      <c r="J45" s="45">
        <v>92</v>
      </c>
      <c r="K45" s="45">
        <v>92</v>
      </c>
      <c r="L45" s="45">
        <v>92</v>
      </c>
      <c r="M45" s="45">
        <v>92</v>
      </c>
      <c r="N45" s="45">
        <v>92</v>
      </c>
      <c r="O45" s="45">
        <v>92.2</v>
      </c>
      <c r="P45" s="45">
        <v>92.2</v>
      </c>
      <c r="Q45" s="45">
        <v>92.2</v>
      </c>
      <c r="R45" s="45">
        <v>92.2</v>
      </c>
      <c r="S45" s="45">
        <v>92.2</v>
      </c>
      <c r="T45" s="45">
        <v>92.2</v>
      </c>
      <c r="U45" s="45">
        <v>92.2</v>
      </c>
      <c r="V45" s="45">
        <v>92.2</v>
      </c>
      <c r="W45" s="45">
        <v>92</v>
      </c>
      <c r="X45" s="45">
        <v>92</v>
      </c>
      <c r="Y45" s="45">
        <v>92</v>
      </c>
      <c r="Z45" s="45">
        <v>92</v>
      </c>
      <c r="AA45" s="45">
        <v>92</v>
      </c>
      <c r="AB45" s="45">
        <v>92</v>
      </c>
      <c r="AC45" s="45">
        <v>92</v>
      </c>
      <c r="AD45" s="45">
        <v>92</v>
      </c>
      <c r="AE45" s="45">
        <v>82</v>
      </c>
      <c r="AF45" s="45">
        <v>82</v>
      </c>
      <c r="AG45" s="52">
        <v>144</v>
      </c>
      <c r="AH45" s="48">
        <f t="shared" si="2"/>
        <v>92.2</v>
      </c>
      <c r="AI45" s="49">
        <f t="shared" si="3"/>
        <v>60.8</v>
      </c>
      <c r="AK45" s="50"/>
    </row>
    <row r="46" spans="1:88" x14ac:dyDescent="0.25">
      <c r="A46" s="54" t="s">
        <v>54</v>
      </c>
      <c r="B46" s="65">
        <v>60</v>
      </c>
      <c r="C46" s="65">
        <v>60</v>
      </c>
      <c r="D46" s="65">
        <v>48.5</v>
      </c>
      <c r="E46" s="65">
        <v>49.7</v>
      </c>
      <c r="F46" s="65">
        <v>50.5</v>
      </c>
      <c r="G46" s="65">
        <v>60.3</v>
      </c>
      <c r="H46" s="65">
        <v>61.3</v>
      </c>
      <c r="I46" s="65">
        <v>71.2</v>
      </c>
      <c r="J46" s="65">
        <v>71.2</v>
      </c>
      <c r="K46" s="65">
        <v>71.2</v>
      </c>
      <c r="L46" s="65">
        <v>71.2</v>
      </c>
      <c r="M46" s="65">
        <v>60</v>
      </c>
      <c r="N46" s="65">
        <v>71.599999999999994</v>
      </c>
      <c r="O46" s="65">
        <v>70.7</v>
      </c>
      <c r="P46" s="65">
        <v>70.7</v>
      </c>
      <c r="Q46" s="65">
        <v>70.7</v>
      </c>
      <c r="R46" s="65">
        <v>70.7</v>
      </c>
      <c r="S46" s="65">
        <v>70.7</v>
      </c>
      <c r="T46" s="65">
        <v>70.7</v>
      </c>
      <c r="U46" s="65">
        <v>70.7</v>
      </c>
      <c r="V46" s="65">
        <v>70.7</v>
      </c>
      <c r="W46" s="65">
        <v>72</v>
      </c>
      <c r="X46" s="65">
        <v>72</v>
      </c>
      <c r="Y46" s="65">
        <v>72</v>
      </c>
      <c r="Z46" s="65">
        <v>72</v>
      </c>
      <c r="AA46" s="65">
        <v>72</v>
      </c>
      <c r="AB46" s="65">
        <v>71</v>
      </c>
      <c r="AC46" s="65">
        <v>71.599999999999994</v>
      </c>
      <c r="AD46" s="65">
        <v>71.599999999999994</v>
      </c>
      <c r="AE46" s="65">
        <v>60</v>
      </c>
      <c r="AF46" s="65">
        <v>60</v>
      </c>
      <c r="AG46" s="55">
        <v>70</v>
      </c>
      <c r="AH46" s="48">
        <f t="shared" si="2"/>
        <v>72</v>
      </c>
      <c r="AI46" s="49">
        <f t="shared" si="3"/>
        <v>48.5</v>
      </c>
      <c r="AK46" s="50"/>
    </row>
    <row r="47" spans="1:88" x14ac:dyDescent="0.25">
      <c r="A47" s="54" t="s">
        <v>55</v>
      </c>
      <c r="B47" s="65">
        <v>41.2</v>
      </c>
      <c r="C47" s="65">
        <v>39</v>
      </c>
      <c r="D47" s="65">
        <v>39</v>
      </c>
      <c r="E47" s="65">
        <v>40.700000000000003</v>
      </c>
      <c r="F47" s="65">
        <v>40.5</v>
      </c>
      <c r="G47" s="65">
        <v>41.8</v>
      </c>
      <c r="H47" s="65">
        <v>41.4</v>
      </c>
      <c r="I47" s="65">
        <v>41.7</v>
      </c>
      <c r="J47" s="65">
        <v>41.7</v>
      </c>
      <c r="K47" s="65">
        <v>41.7</v>
      </c>
      <c r="L47" s="65">
        <v>41.7</v>
      </c>
      <c r="M47" s="65">
        <v>41.7</v>
      </c>
      <c r="N47" s="65">
        <v>41.7</v>
      </c>
      <c r="O47" s="65">
        <v>40.9</v>
      </c>
      <c r="P47" s="65">
        <v>40.9</v>
      </c>
      <c r="Q47" s="65">
        <v>40.9</v>
      </c>
      <c r="R47" s="65">
        <v>40.9</v>
      </c>
      <c r="S47" s="65">
        <v>40.9</v>
      </c>
      <c r="T47" s="65">
        <v>40.9</v>
      </c>
      <c r="U47" s="65">
        <v>40.9</v>
      </c>
      <c r="V47" s="65">
        <v>40.9</v>
      </c>
      <c r="W47" s="65">
        <v>40</v>
      </c>
      <c r="X47" s="65">
        <v>40</v>
      </c>
      <c r="Y47" s="65">
        <v>40</v>
      </c>
      <c r="Z47" s="65">
        <v>40</v>
      </c>
      <c r="AA47" s="65">
        <v>40</v>
      </c>
      <c r="AB47" s="65">
        <v>40.6</v>
      </c>
      <c r="AC47" s="65">
        <v>41.3</v>
      </c>
      <c r="AD47" s="65">
        <v>41.3</v>
      </c>
      <c r="AE47" s="65">
        <v>50</v>
      </c>
      <c r="AF47" s="65">
        <v>56</v>
      </c>
      <c r="AG47" s="55">
        <v>69</v>
      </c>
      <c r="AH47" s="48">
        <f t="shared" si="2"/>
        <v>56</v>
      </c>
      <c r="AI47" s="49">
        <f t="shared" si="3"/>
        <v>39</v>
      </c>
      <c r="AK47" s="50"/>
    </row>
    <row r="48" spans="1:88" x14ac:dyDescent="0.25">
      <c r="A48" s="54" t="s">
        <v>56</v>
      </c>
      <c r="B48" s="57">
        <v>40</v>
      </c>
      <c r="C48" s="57">
        <v>40</v>
      </c>
      <c r="D48" s="57">
        <v>40</v>
      </c>
      <c r="E48" s="57">
        <v>39.299999999999997</v>
      </c>
      <c r="F48" s="57">
        <v>39.299999999999997</v>
      </c>
      <c r="G48" s="57">
        <v>50</v>
      </c>
      <c r="H48" s="57">
        <v>61.4</v>
      </c>
      <c r="I48" s="57">
        <v>61.2</v>
      </c>
      <c r="J48" s="57">
        <v>61.2</v>
      </c>
      <c r="K48" s="57">
        <v>61.2</v>
      </c>
      <c r="L48" s="57">
        <v>61.2</v>
      </c>
      <c r="M48" s="57">
        <v>0</v>
      </c>
      <c r="N48" s="57">
        <v>0</v>
      </c>
      <c r="O48" s="57">
        <v>0</v>
      </c>
      <c r="P48" s="57">
        <v>0</v>
      </c>
      <c r="Q48" s="57">
        <v>0</v>
      </c>
      <c r="R48" s="57">
        <v>0</v>
      </c>
      <c r="S48" s="57">
        <v>0</v>
      </c>
      <c r="T48" s="57">
        <v>0</v>
      </c>
      <c r="U48" s="57">
        <v>60</v>
      </c>
      <c r="V48" s="57">
        <v>60</v>
      </c>
      <c r="W48" s="65">
        <v>61</v>
      </c>
      <c r="X48" s="65">
        <v>61</v>
      </c>
      <c r="Y48" s="65">
        <v>61</v>
      </c>
      <c r="Z48" s="65">
        <v>61</v>
      </c>
      <c r="AA48" s="65">
        <v>61</v>
      </c>
      <c r="AB48" s="65">
        <v>61</v>
      </c>
      <c r="AC48" s="65">
        <v>60.9</v>
      </c>
      <c r="AD48" s="65">
        <v>60.9</v>
      </c>
      <c r="AE48" s="65">
        <v>60.9</v>
      </c>
      <c r="AF48" s="65">
        <v>50</v>
      </c>
      <c r="AG48" s="55">
        <v>60</v>
      </c>
      <c r="AH48" s="48">
        <f t="shared" si="2"/>
        <v>61.4</v>
      </c>
      <c r="AI48" s="49">
        <f t="shared" si="3"/>
        <v>0</v>
      </c>
      <c r="AK48" s="50"/>
    </row>
    <row r="49" spans="1:41" x14ac:dyDescent="0.25">
      <c r="A49" s="54" t="s">
        <v>57</v>
      </c>
      <c r="B49" s="57">
        <v>26.1</v>
      </c>
      <c r="C49" s="57">
        <v>26.1</v>
      </c>
      <c r="D49" s="57">
        <v>26.1</v>
      </c>
      <c r="E49" s="57">
        <v>25.9</v>
      </c>
      <c r="F49" s="57">
        <v>25.9</v>
      </c>
      <c r="G49" s="57">
        <v>25.9</v>
      </c>
      <c r="H49" s="57">
        <v>25.9</v>
      </c>
      <c r="I49" s="57">
        <v>30</v>
      </c>
      <c r="J49" s="57">
        <v>30</v>
      </c>
      <c r="K49" s="57">
        <v>30</v>
      </c>
      <c r="L49" s="57">
        <v>30</v>
      </c>
      <c r="M49" s="57">
        <v>30</v>
      </c>
      <c r="N49" s="57">
        <v>30</v>
      </c>
      <c r="O49" s="57">
        <v>30</v>
      </c>
      <c r="P49" s="57">
        <v>30</v>
      </c>
      <c r="Q49" s="57">
        <v>30</v>
      </c>
      <c r="R49" s="57">
        <v>30</v>
      </c>
      <c r="S49" s="57">
        <v>30</v>
      </c>
      <c r="T49" s="57">
        <v>30</v>
      </c>
      <c r="U49" s="57">
        <v>30</v>
      </c>
      <c r="V49" s="57">
        <v>30</v>
      </c>
      <c r="W49" s="57">
        <v>30</v>
      </c>
      <c r="X49" s="57">
        <v>30</v>
      </c>
      <c r="Y49" s="57">
        <v>30</v>
      </c>
      <c r="Z49" s="57">
        <v>30</v>
      </c>
      <c r="AA49" s="57">
        <v>30</v>
      </c>
      <c r="AB49" s="57">
        <v>30</v>
      </c>
      <c r="AC49" s="57">
        <v>30</v>
      </c>
      <c r="AD49" s="57">
        <v>30</v>
      </c>
      <c r="AE49" s="57">
        <v>30</v>
      </c>
      <c r="AF49" s="57">
        <v>30</v>
      </c>
      <c r="AG49" s="55">
        <v>30</v>
      </c>
      <c r="AH49" s="48">
        <f t="shared" si="2"/>
        <v>30</v>
      </c>
      <c r="AI49" s="49">
        <f t="shared" si="3"/>
        <v>25.9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  <c r="AG50" s="55">
        <v>25</v>
      </c>
      <c r="AH50" s="48">
        <f t="shared" si="2"/>
        <v>0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0</v>
      </c>
      <c r="C51" s="65">
        <v>0</v>
      </c>
      <c r="D51" s="65">
        <v>0</v>
      </c>
      <c r="E51" s="65">
        <v>0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0</v>
      </c>
      <c r="AB51" s="65">
        <v>0</v>
      </c>
      <c r="AC51" s="65">
        <v>0</v>
      </c>
      <c r="AD51" s="65">
        <v>6</v>
      </c>
      <c r="AE51" s="65">
        <v>6</v>
      </c>
      <c r="AF51" s="65">
        <v>6</v>
      </c>
      <c r="AG51" s="55">
        <v>24</v>
      </c>
      <c r="AH51" s="48">
        <f t="shared" si="2"/>
        <v>6</v>
      </c>
      <c r="AI51" s="49">
        <f t="shared" si="3"/>
        <v>0</v>
      </c>
      <c r="AK51" s="50"/>
    </row>
    <row r="52" spans="1:41" x14ac:dyDescent="0.25">
      <c r="A52" s="54" t="s">
        <v>60</v>
      </c>
      <c r="B52" s="65">
        <v>3</v>
      </c>
      <c r="C52" s="65">
        <v>3</v>
      </c>
      <c r="D52" s="65">
        <v>3</v>
      </c>
      <c r="E52" s="65">
        <v>3</v>
      </c>
      <c r="F52" s="65">
        <v>3</v>
      </c>
      <c r="G52" s="65">
        <v>3</v>
      </c>
      <c r="H52" s="65">
        <v>3</v>
      </c>
      <c r="I52" s="65">
        <v>3</v>
      </c>
      <c r="J52" s="65">
        <v>3</v>
      </c>
      <c r="K52" s="65">
        <v>3</v>
      </c>
      <c r="L52" s="65">
        <v>3</v>
      </c>
      <c r="M52" s="65">
        <v>3</v>
      </c>
      <c r="N52" s="65">
        <v>3</v>
      </c>
      <c r="O52" s="65">
        <v>3</v>
      </c>
      <c r="P52" s="65">
        <v>3</v>
      </c>
      <c r="Q52" s="65">
        <v>3</v>
      </c>
      <c r="R52" s="65">
        <v>3</v>
      </c>
      <c r="S52" s="65">
        <v>3</v>
      </c>
      <c r="T52" s="65">
        <v>3</v>
      </c>
      <c r="U52" s="65">
        <v>3</v>
      </c>
      <c r="V52" s="65">
        <v>3</v>
      </c>
      <c r="W52" s="65">
        <v>3</v>
      </c>
      <c r="X52" s="65">
        <v>3</v>
      </c>
      <c r="Y52" s="65">
        <v>3</v>
      </c>
      <c r="Z52" s="65">
        <v>3</v>
      </c>
      <c r="AA52" s="65">
        <v>3</v>
      </c>
      <c r="AB52" s="65">
        <v>3</v>
      </c>
      <c r="AC52" s="65">
        <v>3</v>
      </c>
      <c r="AD52" s="65">
        <v>3</v>
      </c>
      <c r="AE52" s="65">
        <v>3</v>
      </c>
      <c r="AF52" s="65">
        <v>3</v>
      </c>
      <c r="AG52" s="55">
        <v>15</v>
      </c>
      <c r="AH52" s="48">
        <f t="shared" si="2"/>
        <v>3</v>
      </c>
      <c r="AI52" s="49">
        <f t="shared" si="3"/>
        <v>3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0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  <c r="AG53" s="55">
        <v>14.1</v>
      </c>
      <c r="AH53" s="48">
        <f t="shared" si="2"/>
        <v>0</v>
      </c>
      <c r="AI53" s="49">
        <f t="shared" si="3"/>
        <v>0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10</v>
      </c>
      <c r="C54" s="65">
        <v>10</v>
      </c>
      <c r="D54" s="65">
        <v>10</v>
      </c>
      <c r="E54" s="65">
        <v>10</v>
      </c>
      <c r="F54" s="65">
        <v>10</v>
      </c>
      <c r="G54" s="65">
        <v>10</v>
      </c>
      <c r="H54" s="65">
        <v>14</v>
      </c>
      <c r="I54" s="65">
        <v>14</v>
      </c>
      <c r="J54" s="65">
        <v>14</v>
      </c>
      <c r="K54" s="65">
        <v>14</v>
      </c>
      <c r="L54" s="65">
        <v>14</v>
      </c>
      <c r="M54" s="65">
        <v>14</v>
      </c>
      <c r="N54" s="65">
        <v>14.2</v>
      </c>
      <c r="O54" s="65">
        <v>14.2</v>
      </c>
      <c r="P54" s="65">
        <v>14.2</v>
      </c>
      <c r="Q54" s="65">
        <v>14.2</v>
      </c>
      <c r="R54" s="65">
        <v>14.2</v>
      </c>
      <c r="S54" s="65">
        <v>14.2</v>
      </c>
      <c r="T54" s="65">
        <v>14.2</v>
      </c>
      <c r="U54" s="65">
        <v>14.2</v>
      </c>
      <c r="V54" s="65">
        <v>14.2</v>
      </c>
      <c r="W54" s="65">
        <v>14.2</v>
      </c>
      <c r="X54" s="65">
        <v>14.2</v>
      </c>
      <c r="Y54" s="65">
        <v>14.2</v>
      </c>
      <c r="Z54" s="65">
        <v>14.2</v>
      </c>
      <c r="AA54" s="65">
        <v>14.2</v>
      </c>
      <c r="AB54" s="65">
        <v>14.2</v>
      </c>
      <c r="AC54" s="65">
        <v>14.2</v>
      </c>
      <c r="AD54" s="65">
        <v>14.2</v>
      </c>
      <c r="AE54" s="65">
        <v>14.2</v>
      </c>
      <c r="AF54" s="65">
        <v>14.2</v>
      </c>
      <c r="AG54" s="55">
        <v>14</v>
      </c>
      <c r="AH54" s="48">
        <f t="shared" si="2"/>
        <v>14.2</v>
      </c>
      <c r="AI54" s="49">
        <f t="shared" si="3"/>
        <v>10</v>
      </c>
      <c r="AK54" s="50"/>
    </row>
    <row r="55" spans="1:41" x14ac:dyDescent="0.25">
      <c r="A55" s="54" t="s">
        <v>63</v>
      </c>
      <c r="B55" s="65">
        <v>9</v>
      </c>
      <c r="C55" s="65">
        <v>9</v>
      </c>
      <c r="D55" s="65">
        <v>9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9</v>
      </c>
      <c r="S55" s="65">
        <v>9</v>
      </c>
      <c r="T55" s="65">
        <v>9</v>
      </c>
      <c r="U55" s="65">
        <v>9</v>
      </c>
      <c r="V55" s="65">
        <v>9</v>
      </c>
      <c r="W55" s="65">
        <v>9</v>
      </c>
      <c r="X55" s="65">
        <v>9</v>
      </c>
      <c r="Y55" s="65">
        <v>9</v>
      </c>
      <c r="Z55" s="65">
        <v>9</v>
      </c>
      <c r="AA55" s="65">
        <v>9</v>
      </c>
      <c r="AB55" s="65">
        <v>9</v>
      </c>
      <c r="AC55" s="65">
        <v>9</v>
      </c>
      <c r="AD55" s="65">
        <v>9</v>
      </c>
      <c r="AE55" s="65">
        <v>9</v>
      </c>
      <c r="AF55" s="65">
        <v>9</v>
      </c>
      <c r="AG55" s="55">
        <v>10.050000000000001</v>
      </c>
      <c r="AH55" s="48">
        <f t="shared" si="2"/>
        <v>9</v>
      </c>
      <c r="AI55" s="49">
        <f t="shared" si="3"/>
        <v>9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:AG58" si="7">SUM(B45:B57)</f>
        <v>281.03999999999996</v>
      </c>
      <c r="C58" s="61">
        <f t="shared" si="7"/>
        <v>278.84000000000003</v>
      </c>
      <c r="D58" s="61">
        <f t="shared" si="7"/>
        <v>262.44</v>
      </c>
      <c r="E58" s="61">
        <f t="shared" si="7"/>
        <v>248.14</v>
      </c>
      <c r="F58" s="61">
        <f t="shared" si="7"/>
        <v>249.94</v>
      </c>
      <c r="G58" s="61">
        <f t="shared" si="7"/>
        <v>280.74</v>
      </c>
      <c r="H58" s="61">
        <f t="shared" si="7"/>
        <v>306.94</v>
      </c>
      <c r="I58" s="61">
        <f t="shared" si="7"/>
        <v>331.94</v>
      </c>
      <c r="J58" s="61">
        <f t="shared" si="7"/>
        <v>331.84</v>
      </c>
      <c r="K58" s="61">
        <f t="shared" si="7"/>
        <v>331.84</v>
      </c>
      <c r="L58" s="61">
        <f t="shared" si="7"/>
        <v>331.84</v>
      </c>
      <c r="M58" s="61">
        <f t="shared" si="7"/>
        <v>259.44</v>
      </c>
      <c r="N58" s="61">
        <f t="shared" si="7"/>
        <v>271.24</v>
      </c>
      <c r="O58" s="61">
        <f t="shared" si="7"/>
        <v>269.74</v>
      </c>
      <c r="P58" s="61">
        <f t="shared" si="7"/>
        <v>269.74</v>
      </c>
      <c r="Q58" s="61">
        <f t="shared" si="7"/>
        <v>269.74</v>
      </c>
      <c r="R58" s="61">
        <f t="shared" si="7"/>
        <v>269.74</v>
      </c>
      <c r="S58" s="61">
        <f t="shared" si="7"/>
        <v>269.74</v>
      </c>
      <c r="T58" s="61">
        <f t="shared" si="7"/>
        <v>269.74</v>
      </c>
      <c r="U58" s="61">
        <f t="shared" si="7"/>
        <v>329.74</v>
      </c>
      <c r="V58" s="61">
        <f t="shared" si="7"/>
        <v>329.74</v>
      </c>
      <c r="W58" s="61">
        <f t="shared" si="7"/>
        <v>330.94</v>
      </c>
      <c r="X58" s="61">
        <f t="shared" si="7"/>
        <v>330.94</v>
      </c>
      <c r="Y58" s="61">
        <f t="shared" si="7"/>
        <v>330.94</v>
      </c>
      <c r="Z58" s="61">
        <f t="shared" si="7"/>
        <v>330.94</v>
      </c>
      <c r="AA58" s="61">
        <f t="shared" si="7"/>
        <v>330.94</v>
      </c>
      <c r="AB58" s="61">
        <f t="shared" si="7"/>
        <v>330.54</v>
      </c>
      <c r="AC58" s="61">
        <f t="shared" si="7"/>
        <v>331.73999999999995</v>
      </c>
      <c r="AD58" s="61">
        <f t="shared" si="7"/>
        <v>337.73999999999995</v>
      </c>
      <c r="AE58" s="61">
        <f t="shared" si="7"/>
        <v>324.83999999999997</v>
      </c>
      <c r="AF58" s="61">
        <f t="shared" si="7"/>
        <v>319.94</v>
      </c>
      <c r="AG58" s="62">
        <f t="shared" si="7"/>
        <v>489.91</v>
      </c>
      <c r="AH58" s="48">
        <f t="shared" si="2"/>
        <v>337.73999999999995</v>
      </c>
      <c r="AI58" s="49">
        <f t="shared" si="3"/>
        <v>248.14</v>
      </c>
      <c r="AK58" s="50"/>
    </row>
    <row r="59" spans="1:41" x14ac:dyDescent="0.25">
      <c r="A59" s="44" t="s">
        <v>67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AG62" si="8">SUM(B59:B61)</f>
        <v>0</v>
      </c>
      <c r="C62" s="61">
        <f t="shared" si="8"/>
        <v>0</v>
      </c>
      <c r="D62" s="61">
        <f t="shared" si="8"/>
        <v>0</v>
      </c>
      <c r="E62" s="61">
        <f t="shared" si="8"/>
        <v>0</v>
      </c>
      <c r="F62" s="61">
        <f t="shared" si="8"/>
        <v>0</v>
      </c>
      <c r="G62" s="61">
        <f t="shared" si="8"/>
        <v>0</v>
      </c>
      <c r="H62" s="61">
        <f t="shared" si="8"/>
        <v>0</v>
      </c>
      <c r="I62" s="61">
        <f t="shared" si="8"/>
        <v>0</v>
      </c>
      <c r="J62" s="61">
        <f t="shared" si="8"/>
        <v>0</v>
      </c>
      <c r="K62" s="61">
        <f t="shared" si="8"/>
        <v>0</v>
      </c>
      <c r="L62" s="61">
        <f t="shared" si="8"/>
        <v>0</v>
      </c>
      <c r="M62" s="61">
        <f t="shared" si="8"/>
        <v>0</v>
      </c>
      <c r="N62" s="61">
        <f t="shared" si="8"/>
        <v>0</v>
      </c>
      <c r="O62" s="61">
        <f t="shared" si="8"/>
        <v>0</v>
      </c>
      <c r="P62" s="61">
        <f t="shared" si="8"/>
        <v>0</v>
      </c>
      <c r="Q62" s="61">
        <f t="shared" si="8"/>
        <v>0</v>
      </c>
      <c r="R62" s="61">
        <f t="shared" si="8"/>
        <v>0</v>
      </c>
      <c r="S62" s="61">
        <f t="shared" si="8"/>
        <v>0</v>
      </c>
      <c r="T62" s="61">
        <f t="shared" si="8"/>
        <v>0</v>
      </c>
      <c r="U62" s="61">
        <f t="shared" si="8"/>
        <v>0</v>
      </c>
      <c r="V62" s="61">
        <f t="shared" si="8"/>
        <v>0</v>
      </c>
      <c r="W62" s="61">
        <f t="shared" si="8"/>
        <v>0</v>
      </c>
      <c r="X62" s="61">
        <f t="shared" si="8"/>
        <v>0</v>
      </c>
      <c r="Y62" s="61">
        <f t="shared" si="8"/>
        <v>0</v>
      </c>
      <c r="Z62" s="61">
        <f t="shared" si="8"/>
        <v>0</v>
      </c>
      <c r="AA62" s="61">
        <f t="shared" si="8"/>
        <v>0</v>
      </c>
      <c r="AB62" s="61">
        <f t="shared" si="8"/>
        <v>0</v>
      </c>
      <c r="AC62" s="61">
        <f t="shared" si="8"/>
        <v>0</v>
      </c>
      <c r="AD62" s="61">
        <f t="shared" si="8"/>
        <v>0</v>
      </c>
      <c r="AE62" s="61">
        <f t="shared" si="8"/>
        <v>0</v>
      </c>
      <c r="AF62" s="61">
        <f t="shared" si="8"/>
        <v>0</v>
      </c>
      <c r="AG62" s="62">
        <f t="shared" si="8"/>
        <v>106</v>
      </c>
      <c r="AH62" s="48">
        <f t="shared" si="2"/>
        <v>0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40</v>
      </c>
      <c r="Y63" s="45">
        <v>56</v>
      </c>
      <c r="Z63" s="45">
        <v>56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56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-371</v>
      </c>
      <c r="C65" s="65">
        <v>-400</v>
      </c>
      <c r="D65" s="65">
        <v>-391</v>
      </c>
      <c r="E65" s="65">
        <v>-381</v>
      </c>
      <c r="F65" s="65">
        <v>-378.5</v>
      </c>
      <c r="G65" s="65">
        <v>-353</v>
      </c>
      <c r="H65" s="65">
        <v>-377</v>
      </c>
      <c r="I65" s="65">
        <v>-386</v>
      </c>
      <c r="J65" s="65">
        <v>-356</v>
      </c>
      <c r="K65" s="65">
        <v>-357</v>
      </c>
      <c r="L65" s="65">
        <v>-233</v>
      </c>
      <c r="M65" s="65">
        <v>-375</v>
      </c>
      <c r="N65" s="65">
        <v>-410.6</v>
      </c>
      <c r="O65" s="65">
        <v>-390.2</v>
      </c>
      <c r="P65" s="65">
        <v>-385.4</v>
      </c>
      <c r="Q65" s="65">
        <v>-383.5</v>
      </c>
      <c r="R65" s="65">
        <v>-304</v>
      </c>
      <c r="S65" s="65">
        <v>-305</v>
      </c>
      <c r="T65" s="65">
        <v>-342</v>
      </c>
      <c r="U65" s="65">
        <v>-344</v>
      </c>
      <c r="V65" s="65">
        <v>-290</v>
      </c>
      <c r="W65" s="65">
        <v>-280</v>
      </c>
      <c r="X65" s="65">
        <v>-250</v>
      </c>
      <c r="Y65" s="65">
        <v>-260</v>
      </c>
      <c r="Z65" s="65">
        <v>-260</v>
      </c>
      <c r="AA65" s="65">
        <v>-345</v>
      </c>
      <c r="AB65" s="65">
        <v>-361.3</v>
      </c>
      <c r="AC65" s="65">
        <v>-371.9</v>
      </c>
      <c r="AD65" s="65">
        <v>-379.3</v>
      </c>
      <c r="AE65" s="65">
        <v>-392</v>
      </c>
      <c r="AF65" s="65">
        <v>-378.9</v>
      </c>
      <c r="AG65" s="75"/>
      <c r="AH65" s="48">
        <f t="shared" si="2"/>
        <v>-233</v>
      </c>
      <c r="AI65" s="49">
        <f t="shared" si="3"/>
        <v>-410.6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>
        <v>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9">
        <v>0</v>
      </c>
      <c r="C72" s="79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9">
        <v>0</v>
      </c>
      <c r="C73" s="79">
        <v>0</v>
      </c>
      <c r="D73" s="79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:AF74" si="9">SUMIF(B63:B73,"&gt;0")</f>
        <v>0</v>
      </c>
      <c r="C74" s="61">
        <f t="shared" si="9"/>
        <v>0</v>
      </c>
      <c r="D74" s="61">
        <f t="shared" si="9"/>
        <v>0</v>
      </c>
      <c r="E74" s="61">
        <f t="shared" si="9"/>
        <v>0</v>
      </c>
      <c r="F74" s="61">
        <f t="shared" si="9"/>
        <v>0</v>
      </c>
      <c r="G74" s="61">
        <f t="shared" si="9"/>
        <v>0</v>
      </c>
      <c r="H74" s="61">
        <f t="shared" si="9"/>
        <v>0</v>
      </c>
      <c r="I74" s="61">
        <f t="shared" si="9"/>
        <v>0</v>
      </c>
      <c r="J74" s="61">
        <f t="shared" si="9"/>
        <v>0</v>
      </c>
      <c r="K74" s="61">
        <f t="shared" si="9"/>
        <v>0</v>
      </c>
      <c r="L74" s="61">
        <f t="shared" si="9"/>
        <v>0</v>
      </c>
      <c r="M74" s="61">
        <f t="shared" si="9"/>
        <v>0</v>
      </c>
      <c r="N74" s="61">
        <f t="shared" si="9"/>
        <v>0</v>
      </c>
      <c r="O74" s="61">
        <f t="shared" si="9"/>
        <v>0</v>
      </c>
      <c r="P74" s="61">
        <f t="shared" si="9"/>
        <v>0</v>
      </c>
      <c r="Q74" s="61">
        <f t="shared" si="9"/>
        <v>0</v>
      </c>
      <c r="R74" s="61">
        <f t="shared" si="9"/>
        <v>0</v>
      </c>
      <c r="S74" s="61">
        <f t="shared" si="9"/>
        <v>0</v>
      </c>
      <c r="T74" s="61">
        <f t="shared" si="9"/>
        <v>0</v>
      </c>
      <c r="U74" s="61">
        <f t="shared" si="9"/>
        <v>0</v>
      </c>
      <c r="V74" s="61">
        <f t="shared" si="9"/>
        <v>0</v>
      </c>
      <c r="W74" s="61">
        <f t="shared" si="9"/>
        <v>0</v>
      </c>
      <c r="X74" s="61">
        <f t="shared" si="9"/>
        <v>40</v>
      </c>
      <c r="Y74" s="61">
        <f t="shared" si="9"/>
        <v>56</v>
      </c>
      <c r="Z74" s="61">
        <f t="shared" si="9"/>
        <v>56</v>
      </c>
      <c r="AA74" s="61">
        <f t="shared" si="9"/>
        <v>0</v>
      </c>
      <c r="AB74" s="61">
        <f t="shared" si="9"/>
        <v>0</v>
      </c>
      <c r="AC74" s="61">
        <f t="shared" si="9"/>
        <v>0</v>
      </c>
      <c r="AD74" s="61">
        <f t="shared" si="9"/>
        <v>0</v>
      </c>
      <c r="AE74" s="61">
        <f t="shared" si="9"/>
        <v>0</v>
      </c>
      <c r="AF74" s="61">
        <f t="shared" si="9"/>
        <v>0</v>
      </c>
      <c r="AG74" s="81">
        <f>SUM(AG63:AG73)</f>
        <v>0</v>
      </c>
      <c r="AH74" s="48">
        <f t="shared" si="2"/>
        <v>56</v>
      </c>
      <c r="AI74" s="49">
        <f t="shared" si="3"/>
        <v>0</v>
      </c>
      <c r="AK74" s="50"/>
    </row>
    <row r="75" spans="1:37" x14ac:dyDescent="0.25">
      <c r="A75" s="44" t="s">
        <v>83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5">
        <v>14.4</v>
      </c>
      <c r="AH76" s="48">
        <f t="shared" ref="AH76:AH109" si="10">MAX(B76:AF76)</f>
        <v>0</v>
      </c>
      <c r="AI76" s="49">
        <f t="shared" ref="AI76:AI109" si="11">MIN(B76:AF76)</f>
        <v>0</v>
      </c>
      <c r="AK76" s="50"/>
    </row>
    <row r="77" spans="1:37" ht="15.75" thickBot="1" x14ac:dyDescent="0.3">
      <c r="A77" s="78" t="s">
        <v>85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80">
        <v>2</v>
      </c>
      <c r="AH77" s="48">
        <f t="shared" si="10"/>
        <v>0</v>
      </c>
      <c r="AI77" s="49">
        <f t="shared" si="11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10"/>
        <v>0</v>
      </c>
      <c r="AI78" s="49">
        <f t="shared" si="11"/>
        <v>0</v>
      </c>
    </row>
    <row r="79" spans="1:37" ht="15.75" thickBot="1" x14ac:dyDescent="0.3">
      <c r="A79" s="74" t="s">
        <v>87</v>
      </c>
      <c r="B79" s="83">
        <f t="shared" ref="B79:AG79" si="12">B40+B44+B62+B58+B74+B78</f>
        <v>1392.24</v>
      </c>
      <c r="C79" s="83">
        <f t="shared" si="12"/>
        <v>1386.04</v>
      </c>
      <c r="D79" s="83">
        <f t="shared" si="12"/>
        <v>1347.64</v>
      </c>
      <c r="E79" s="83">
        <f t="shared" si="12"/>
        <v>1341.3400000000001</v>
      </c>
      <c r="F79" s="83">
        <f t="shared" si="12"/>
        <v>1333.14</v>
      </c>
      <c r="G79" s="83">
        <f t="shared" si="12"/>
        <v>1277.94</v>
      </c>
      <c r="H79" s="83">
        <f t="shared" si="12"/>
        <v>1430.14</v>
      </c>
      <c r="I79" s="83">
        <f t="shared" si="12"/>
        <v>1453.14</v>
      </c>
      <c r="J79" s="83">
        <f t="shared" si="12"/>
        <v>1453.04</v>
      </c>
      <c r="K79" s="83">
        <f t="shared" si="12"/>
        <v>1546.04</v>
      </c>
      <c r="L79" s="83">
        <f t="shared" si="12"/>
        <v>1606.04</v>
      </c>
      <c r="M79" s="83">
        <f t="shared" si="12"/>
        <v>1575.64</v>
      </c>
      <c r="N79" s="83">
        <f t="shared" si="12"/>
        <v>1568.14</v>
      </c>
      <c r="O79" s="83">
        <f t="shared" si="12"/>
        <v>1546.64</v>
      </c>
      <c r="P79" s="83">
        <f t="shared" si="12"/>
        <v>1521.64</v>
      </c>
      <c r="Q79" s="83">
        <f t="shared" si="12"/>
        <v>1521.64</v>
      </c>
      <c r="R79" s="83">
        <f t="shared" si="12"/>
        <v>1471.64</v>
      </c>
      <c r="S79" s="83">
        <f t="shared" si="12"/>
        <v>1480.94</v>
      </c>
      <c r="T79" s="83">
        <f t="shared" si="12"/>
        <v>1491.94</v>
      </c>
      <c r="U79" s="83">
        <f t="shared" si="12"/>
        <v>1552.94</v>
      </c>
      <c r="V79" s="83">
        <f t="shared" si="12"/>
        <v>1515.94</v>
      </c>
      <c r="W79" s="83">
        <f t="shared" si="12"/>
        <v>1547.1399999999999</v>
      </c>
      <c r="X79" s="83">
        <f t="shared" si="12"/>
        <v>1637.1399999999999</v>
      </c>
      <c r="Y79" s="83">
        <f t="shared" si="12"/>
        <v>1663.1399999999999</v>
      </c>
      <c r="Z79" s="83">
        <f t="shared" si="12"/>
        <v>1663.1399999999999</v>
      </c>
      <c r="AA79" s="83">
        <f t="shared" si="12"/>
        <v>1612.1399999999999</v>
      </c>
      <c r="AB79" s="83">
        <f t="shared" si="12"/>
        <v>1592.7399999999998</v>
      </c>
      <c r="AC79" s="83">
        <f t="shared" si="12"/>
        <v>1557.64</v>
      </c>
      <c r="AD79" s="83">
        <f t="shared" si="12"/>
        <v>1527.64</v>
      </c>
      <c r="AE79" s="83">
        <f t="shared" si="12"/>
        <v>1405.74</v>
      </c>
      <c r="AF79" s="83">
        <f t="shared" si="12"/>
        <v>1410.8400000000001</v>
      </c>
      <c r="AG79" s="62">
        <f t="shared" si="12"/>
        <v>1897.1900000000003</v>
      </c>
      <c r="AH79" s="48">
        <f t="shared" si="10"/>
        <v>1663.1399999999999</v>
      </c>
      <c r="AI79" s="49">
        <f t="shared" si="11"/>
        <v>1277.94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>
        <v>60</v>
      </c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10"/>
        <v>60</v>
      </c>
      <c r="AI80" s="49">
        <f t="shared" si="11"/>
        <v>60</v>
      </c>
    </row>
    <row r="81" spans="1:37" ht="15.75" thickBot="1" x14ac:dyDescent="0.3">
      <c r="A81" s="74" t="s">
        <v>89</v>
      </c>
      <c r="B81" s="83">
        <f t="shared" ref="B81:AF81" si="13">B79+B80</f>
        <v>1392.24</v>
      </c>
      <c r="C81" s="83">
        <f t="shared" si="13"/>
        <v>1386.04</v>
      </c>
      <c r="D81" s="83">
        <f t="shared" si="13"/>
        <v>1347.64</v>
      </c>
      <c r="E81" s="83">
        <f t="shared" si="13"/>
        <v>1341.3400000000001</v>
      </c>
      <c r="F81" s="83">
        <f t="shared" si="13"/>
        <v>1333.14</v>
      </c>
      <c r="G81" s="83">
        <f t="shared" si="13"/>
        <v>1337.94</v>
      </c>
      <c r="H81" s="83">
        <f t="shared" si="13"/>
        <v>1430.14</v>
      </c>
      <c r="I81" s="83">
        <f t="shared" si="13"/>
        <v>1453.14</v>
      </c>
      <c r="J81" s="83">
        <f t="shared" si="13"/>
        <v>1453.04</v>
      </c>
      <c r="K81" s="83">
        <f t="shared" si="13"/>
        <v>1546.04</v>
      </c>
      <c r="L81" s="83">
        <f t="shared" si="13"/>
        <v>1606.04</v>
      </c>
      <c r="M81" s="83">
        <f t="shared" si="13"/>
        <v>1575.64</v>
      </c>
      <c r="N81" s="83">
        <f t="shared" si="13"/>
        <v>1568.14</v>
      </c>
      <c r="O81" s="83">
        <f t="shared" si="13"/>
        <v>1546.64</v>
      </c>
      <c r="P81" s="83">
        <f t="shared" si="13"/>
        <v>1521.64</v>
      </c>
      <c r="Q81" s="83">
        <f t="shared" si="13"/>
        <v>1521.64</v>
      </c>
      <c r="R81" s="83">
        <f t="shared" si="13"/>
        <v>1471.64</v>
      </c>
      <c r="S81" s="83">
        <f t="shared" si="13"/>
        <v>1480.94</v>
      </c>
      <c r="T81" s="83">
        <f t="shared" si="13"/>
        <v>1491.94</v>
      </c>
      <c r="U81" s="83">
        <f t="shared" si="13"/>
        <v>1552.94</v>
      </c>
      <c r="V81" s="83">
        <f t="shared" si="13"/>
        <v>1515.94</v>
      </c>
      <c r="W81" s="83">
        <f t="shared" si="13"/>
        <v>1547.1399999999999</v>
      </c>
      <c r="X81" s="83">
        <f t="shared" si="13"/>
        <v>1637.1399999999999</v>
      </c>
      <c r="Y81" s="83">
        <f t="shared" si="13"/>
        <v>1663.1399999999999</v>
      </c>
      <c r="Z81" s="83">
        <f t="shared" si="13"/>
        <v>1663.1399999999999</v>
      </c>
      <c r="AA81" s="83">
        <f t="shared" si="13"/>
        <v>1612.1399999999999</v>
      </c>
      <c r="AB81" s="83">
        <f t="shared" si="13"/>
        <v>1592.7399999999998</v>
      </c>
      <c r="AC81" s="83">
        <f t="shared" si="13"/>
        <v>1557.64</v>
      </c>
      <c r="AD81" s="83">
        <f t="shared" si="13"/>
        <v>1527.64</v>
      </c>
      <c r="AE81" s="83">
        <f t="shared" si="13"/>
        <v>1405.74</v>
      </c>
      <c r="AF81" s="83">
        <f t="shared" si="13"/>
        <v>1410.8400000000001</v>
      </c>
      <c r="AG81" s="81">
        <f>AG78+AG74+AG62+AG58+AG40+AG80</f>
        <v>1359.0900000000001</v>
      </c>
      <c r="AH81" s="48">
        <f t="shared" si="10"/>
        <v>1663.1399999999999</v>
      </c>
      <c r="AI81" s="49">
        <f t="shared" si="11"/>
        <v>1333.14</v>
      </c>
    </row>
    <row r="82" spans="1:37" ht="15.75" thickBot="1" x14ac:dyDescent="0.3">
      <c r="A82" s="74" t="s">
        <v>90</v>
      </c>
      <c r="B82" s="83">
        <f t="shared" ref="B82:AF82" si="14">B81-B89</f>
        <v>1021.24</v>
      </c>
      <c r="C82" s="83">
        <f t="shared" si="14"/>
        <v>986.04</v>
      </c>
      <c r="D82" s="83">
        <f t="shared" si="14"/>
        <v>956.6400000000001</v>
      </c>
      <c r="E82" s="83">
        <f t="shared" si="14"/>
        <v>960.34000000000015</v>
      </c>
      <c r="F82" s="83">
        <f t="shared" si="14"/>
        <v>954.6400000000001</v>
      </c>
      <c r="G82" s="83">
        <f t="shared" si="14"/>
        <v>984.94</v>
      </c>
      <c r="H82" s="83">
        <f t="shared" si="14"/>
        <v>1053.1400000000001</v>
      </c>
      <c r="I82" s="83">
        <f t="shared" si="14"/>
        <v>1067.1400000000001</v>
      </c>
      <c r="J82" s="83">
        <f t="shared" si="14"/>
        <v>1097.04</v>
      </c>
      <c r="K82" s="83">
        <f t="shared" si="14"/>
        <v>1189.04</v>
      </c>
      <c r="L82" s="83">
        <f t="shared" si="14"/>
        <v>1373.04</v>
      </c>
      <c r="M82" s="83">
        <f t="shared" si="14"/>
        <v>1200.6400000000001</v>
      </c>
      <c r="N82" s="83">
        <f t="shared" si="14"/>
        <v>1157.54</v>
      </c>
      <c r="O82" s="83">
        <f t="shared" si="14"/>
        <v>1156.44</v>
      </c>
      <c r="P82" s="83">
        <f t="shared" si="14"/>
        <v>1136.2400000000002</v>
      </c>
      <c r="Q82" s="83">
        <f t="shared" si="14"/>
        <v>1138.1400000000001</v>
      </c>
      <c r="R82" s="83">
        <f t="shared" si="14"/>
        <v>1167.6400000000001</v>
      </c>
      <c r="S82" s="83">
        <f t="shared" si="14"/>
        <v>1175.94</v>
      </c>
      <c r="T82" s="83">
        <f t="shared" si="14"/>
        <v>1149.94</v>
      </c>
      <c r="U82" s="83">
        <f t="shared" si="14"/>
        <v>1208.94</v>
      </c>
      <c r="V82" s="83">
        <f t="shared" si="14"/>
        <v>1225.94</v>
      </c>
      <c r="W82" s="83">
        <f t="shared" si="14"/>
        <v>1267.1399999999999</v>
      </c>
      <c r="X82" s="83">
        <f t="shared" si="14"/>
        <v>1387.1399999999999</v>
      </c>
      <c r="Y82" s="83">
        <f t="shared" si="14"/>
        <v>1403.1399999999999</v>
      </c>
      <c r="Z82" s="83">
        <f t="shared" si="14"/>
        <v>1403.1399999999999</v>
      </c>
      <c r="AA82" s="83">
        <f t="shared" si="14"/>
        <v>1267.1399999999999</v>
      </c>
      <c r="AB82" s="83">
        <f t="shared" si="14"/>
        <v>1231.4399999999998</v>
      </c>
      <c r="AC82" s="83">
        <f t="shared" si="14"/>
        <v>1185.7400000000002</v>
      </c>
      <c r="AD82" s="83">
        <f t="shared" si="14"/>
        <v>1148.3400000000001</v>
      </c>
      <c r="AE82" s="83">
        <f t="shared" si="14"/>
        <v>1013.74</v>
      </c>
      <c r="AF82" s="83">
        <f t="shared" si="14"/>
        <v>1031.94</v>
      </c>
      <c r="AG82" s="81"/>
      <c r="AH82" s="48">
        <f t="shared" si="10"/>
        <v>1403.1399999999999</v>
      </c>
      <c r="AI82" s="49">
        <f t="shared" si="11"/>
        <v>954.6400000000001</v>
      </c>
    </row>
    <row r="83" spans="1:37" x14ac:dyDescent="0.25">
      <c r="A83" s="44" t="s">
        <v>74</v>
      </c>
      <c r="B83" s="76">
        <f t="shared" ref="B83:AF83" si="15">IF(B66&lt;0,B66*-1,0)</f>
        <v>0</v>
      </c>
      <c r="C83" s="76">
        <f t="shared" si="15"/>
        <v>0</v>
      </c>
      <c r="D83" s="76">
        <f t="shared" si="15"/>
        <v>0</v>
      </c>
      <c r="E83" s="76">
        <f t="shared" si="15"/>
        <v>0</v>
      </c>
      <c r="F83" s="76">
        <f t="shared" si="15"/>
        <v>0</v>
      </c>
      <c r="G83" s="76">
        <f t="shared" si="15"/>
        <v>0</v>
      </c>
      <c r="H83" s="76">
        <f t="shared" si="15"/>
        <v>0</v>
      </c>
      <c r="I83" s="76">
        <f t="shared" si="15"/>
        <v>0</v>
      </c>
      <c r="J83" s="76">
        <f t="shared" si="15"/>
        <v>0</v>
      </c>
      <c r="K83" s="76">
        <f t="shared" si="15"/>
        <v>0</v>
      </c>
      <c r="L83" s="76">
        <f t="shared" si="15"/>
        <v>0</v>
      </c>
      <c r="M83" s="76">
        <f t="shared" si="15"/>
        <v>0</v>
      </c>
      <c r="N83" s="76">
        <f t="shared" si="15"/>
        <v>0</v>
      </c>
      <c r="O83" s="76">
        <f t="shared" si="15"/>
        <v>0</v>
      </c>
      <c r="P83" s="76">
        <f t="shared" si="15"/>
        <v>0</v>
      </c>
      <c r="Q83" s="76">
        <f t="shared" si="15"/>
        <v>0</v>
      </c>
      <c r="R83" s="76">
        <f t="shared" si="15"/>
        <v>0</v>
      </c>
      <c r="S83" s="76">
        <f t="shared" si="15"/>
        <v>0</v>
      </c>
      <c r="T83" s="76">
        <f t="shared" si="15"/>
        <v>0</v>
      </c>
      <c r="U83" s="76">
        <f t="shared" si="15"/>
        <v>0</v>
      </c>
      <c r="V83" s="76">
        <f t="shared" si="15"/>
        <v>0</v>
      </c>
      <c r="W83" s="76">
        <f t="shared" si="15"/>
        <v>0</v>
      </c>
      <c r="X83" s="76">
        <f t="shared" si="15"/>
        <v>0</v>
      </c>
      <c r="Y83" s="76">
        <f t="shared" si="15"/>
        <v>0</v>
      </c>
      <c r="Z83" s="76">
        <f t="shared" si="15"/>
        <v>0</v>
      </c>
      <c r="AA83" s="76">
        <f t="shared" si="15"/>
        <v>0</v>
      </c>
      <c r="AB83" s="76">
        <f t="shared" si="15"/>
        <v>0</v>
      </c>
      <c r="AC83" s="76">
        <f t="shared" si="15"/>
        <v>0</v>
      </c>
      <c r="AD83" s="76">
        <f t="shared" si="15"/>
        <v>0</v>
      </c>
      <c r="AE83" s="76">
        <f t="shared" si="15"/>
        <v>0</v>
      </c>
      <c r="AF83" s="76">
        <f t="shared" si="15"/>
        <v>0</v>
      </c>
      <c r="AG83" s="52"/>
      <c r="AH83" s="48">
        <f t="shared" si="10"/>
        <v>0</v>
      </c>
      <c r="AI83" s="49">
        <f t="shared" si="11"/>
        <v>0</v>
      </c>
    </row>
    <row r="84" spans="1:37" x14ac:dyDescent="0.25">
      <c r="A84" s="54" t="s">
        <v>72</v>
      </c>
      <c r="B84" s="76">
        <f t="shared" ref="B84:AF84" si="16">IF(B64&lt;0,B64*-1,0)</f>
        <v>0</v>
      </c>
      <c r="C84" s="76">
        <f t="shared" si="16"/>
        <v>0</v>
      </c>
      <c r="D84" s="76">
        <f t="shared" si="16"/>
        <v>0</v>
      </c>
      <c r="E84" s="76">
        <f t="shared" si="16"/>
        <v>0</v>
      </c>
      <c r="F84" s="76">
        <f t="shared" si="16"/>
        <v>0</v>
      </c>
      <c r="G84" s="76">
        <f t="shared" si="16"/>
        <v>0</v>
      </c>
      <c r="H84" s="76">
        <f t="shared" si="16"/>
        <v>0</v>
      </c>
      <c r="I84" s="76">
        <f t="shared" si="16"/>
        <v>0</v>
      </c>
      <c r="J84" s="76">
        <f t="shared" si="16"/>
        <v>0</v>
      </c>
      <c r="K84" s="76">
        <f t="shared" si="16"/>
        <v>0</v>
      </c>
      <c r="L84" s="76">
        <f t="shared" si="16"/>
        <v>0</v>
      </c>
      <c r="M84" s="76">
        <f t="shared" si="16"/>
        <v>0</v>
      </c>
      <c r="N84" s="76">
        <f t="shared" si="16"/>
        <v>0</v>
      </c>
      <c r="O84" s="76">
        <f t="shared" si="16"/>
        <v>0</v>
      </c>
      <c r="P84" s="76">
        <f t="shared" si="16"/>
        <v>0</v>
      </c>
      <c r="Q84" s="76">
        <f t="shared" si="16"/>
        <v>0</v>
      </c>
      <c r="R84" s="76">
        <f t="shared" si="16"/>
        <v>0</v>
      </c>
      <c r="S84" s="76">
        <f t="shared" si="16"/>
        <v>0</v>
      </c>
      <c r="T84" s="76">
        <f t="shared" si="16"/>
        <v>0</v>
      </c>
      <c r="U84" s="76">
        <f t="shared" si="16"/>
        <v>0</v>
      </c>
      <c r="V84" s="76">
        <f t="shared" si="16"/>
        <v>0</v>
      </c>
      <c r="W84" s="76">
        <f t="shared" si="16"/>
        <v>0</v>
      </c>
      <c r="X84" s="76">
        <f t="shared" si="16"/>
        <v>0</v>
      </c>
      <c r="Y84" s="76">
        <f t="shared" si="16"/>
        <v>0</v>
      </c>
      <c r="Z84" s="76">
        <f t="shared" si="16"/>
        <v>0</v>
      </c>
      <c r="AA84" s="76">
        <f t="shared" si="16"/>
        <v>0</v>
      </c>
      <c r="AB84" s="76">
        <f t="shared" si="16"/>
        <v>0</v>
      </c>
      <c r="AC84" s="76">
        <f t="shared" si="16"/>
        <v>0</v>
      </c>
      <c r="AD84" s="76">
        <f t="shared" si="16"/>
        <v>0</v>
      </c>
      <c r="AE84" s="76">
        <f t="shared" si="16"/>
        <v>0</v>
      </c>
      <c r="AF84" s="76">
        <f t="shared" si="16"/>
        <v>0</v>
      </c>
      <c r="AG84" s="55"/>
      <c r="AH84" s="48">
        <f t="shared" si="10"/>
        <v>0</v>
      </c>
      <c r="AI84" s="49">
        <f t="shared" si="11"/>
        <v>0</v>
      </c>
    </row>
    <row r="85" spans="1:37" x14ac:dyDescent="0.25">
      <c r="A85" s="78" t="s">
        <v>91</v>
      </c>
      <c r="B85" s="76">
        <f t="shared" ref="B85:AF85" si="17">IF(B67&lt;0,B67*-1,0)</f>
        <v>0</v>
      </c>
      <c r="C85" s="76">
        <f t="shared" si="17"/>
        <v>0</v>
      </c>
      <c r="D85" s="76">
        <f t="shared" si="17"/>
        <v>0</v>
      </c>
      <c r="E85" s="76">
        <f t="shared" si="17"/>
        <v>0</v>
      </c>
      <c r="F85" s="76">
        <f t="shared" si="17"/>
        <v>0</v>
      </c>
      <c r="G85" s="76">
        <f t="shared" si="17"/>
        <v>0</v>
      </c>
      <c r="H85" s="76">
        <f t="shared" si="17"/>
        <v>0</v>
      </c>
      <c r="I85" s="76">
        <f t="shared" si="17"/>
        <v>0</v>
      </c>
      <c r="J85" s="76">
        <f t="shared" si="17"/>
        <v>0</v>
      </c>
      <c r="K85" s="76">
        <f t="shared" si="17"/>
        <v>0</v>
      </c>
      <c r="L85" s="76">
        <f t="shared" si="17"/>
        <v>0</v>
      </c>
      <c r="M85" s="76">
        <f t="shared" si="17"/>
        <v>0</v>
      </c>
      <c r="N85" s="76">
        <f t="shared" si="17"/>
        <v>0</v>
      </c>
      <c r="O85" s="76">
        <f t="shared" si="17"/>
        <v>0</v>
      </c>
      <c r="P85" s="76">
        <f t="shared" si="17"/>
        <v>0</v>
      </c>
      <c r="Q85" s="76">
        <f t="shared" si="17"/>
        <v>0</v>
      </c>
      <c r="R85" s="76">
        <f t="shared" si="17"/>
        <v>0</v>
      </c>
      <c r="S85" s="76">
        <f t="shared" si="17"/>
        <v>0</v>
      </c>
      <c r="T85" s="76">
        <f t="shared" si="17"/>
        <v>0</v>
      </c>
      <c r="U85" s="76">
        <f t="shared" si="17"/>
        <v>0</v>
      </c>
      <c r="V85" s="76">
        <f t="shared" si="17"/>
        <v>0</v>
      </c>
      <c r="W85" s="76">
        <f t="shared" si="17"/>
        <v>0</v>
      </c>
      <c r="X85" s="76">
        <f t="shared" si="17"/>
        <v>0</v>
      </c>
      <c r="Y85" s="76">
        <f t="shared" si="17"/>
        <v>0</v>
      </c>
      <c r="Z85" s="76">
        <f t="shared" si="17"/>
        <v>0</v>
      </c>
      <c r="AA85" s="76">
        <f t="shared" si="17"/>
        <v>0</v>
      </c>
      <c r="AB85" s="76">
        <f t="shared" si="17"/>
        <v>0</v>
      </c>
      <c r="AC85" s="76">
        <f t="shared" si="17"/>
        <v>0</v>
      </c>
      <c r="AD85" s="76">
        <f t="shared" si="17"/>
        <v>0</v>
      </c>
      <c r="AE85" s="76">
        <f t="shared" si="17"/>
        <v>0</v>
      </c>
      <c r="AF85" s="76">
        <f t="shared" si="17"/>
        <v>0</v>
      </c>
      <c r="AG85" s="86"/>
      <c r="AH85" s="48">
        <f t="shared" si="10"/>
        <v>0</v>
      </c>
      <c r="AI85" s="49">
        <f t="shared" si="11"/>
        <v>0</v>
      </c>
    </row>
    <row r="86" spans="1:37" x14ac:dyDescent="0.25">
      <c r="A86" s="78" t="s">
        <v>92</v>
      </c>
      <c r="B86" s="76">
        <f t="shared" ref="B86:AF86" si="18">IF(B65&lt;0,B65*-1,0)</f>
        <v>371</v>
      </c>
      <c r="C86" s="76">
        <f t="shared" si="18"/>
        <v>400</v>
      </c>
      <c r="D86" s="76">
        <f t="shared" si="18"/>
        <v>391</v>
      </c>
      <c r="E86" s="76">
        <f t="shared" si="18"/>
        <v>381</v>
      </c>
      <c r="F86" s="76">
        <f t="shared" si="18"/>
        <v>378.5</v>
      </c>
      <c r="G86" s="76">
        <f t="shared" si="18"/>
        <v>353</v>
      </c>
      <c r="H86" s="76">
        <f t="shared" si="18"/>
        <v>377</v>
      </c>
      <c r="I86" s="76">
        <f t="shared" si="18"/>
        <v>386</v>
      </c>
      <c r="J86" s="76">
        <f t="shared" si="18"/>
        <v>356</v>
      </c>
      <c r="K86" s="76">
        <f t="shared" si="18"/>
        <v>357</v>
      </c>
      <c r="L86" s="76">
        <f t="shared" si="18"/>
        <v>233</v>
      </c>
      <c r="M86" s="76">
        <f t="shared" si="18"/>
        <v>375</v>
      </c>
      <c r="N86" s="76">
        <f t="shared" si="18"/>
        <v>410.6</v>
      </c>
      <c r="O86" s="76">
        <f t="shared" si="18"/>
        <v>390.2</v>
      </c>
      <c r="P86" s="76">
        <f t="shared" si="18"/>
        <v>385.4</v>
      </c>
      <c r="Q86" s="76">
        <f t="shared" si="18"/>
        <v>383.5</v>
      </c>
      <c r="R86" s="76">
        <f t="shared" si="18"/>
        <v>304</v>
      </c>
      <c r="S86" s="76">
        <f t="shared" si="18"/>
        <v>305</v>
      </c>
      <c r="T86" s="76">
        <f t="shared" si="18"/>
        <v>342</v>
      </c>
      <c r="U86" s="76">
        <f t="shared" si="18"/>
        <v>344</v>
      </c>
      <c r="V86" s="76">
        <f t="shared" si="18"/>
        <v>290</v>
      </c>
      <c r="W86" s="76">
        <f t="shared" si="18"/>
        <v>280</v>
      </c>
      <c r="X86" s="76">
        <f t="shared" si="18"/>
        <v>250</v>
      </c>
      <c r="Y86" s="76">
        <f t="shared" si="18"/>
        <v>260</v>
      </c>
      <c r="Z86" s="76">
        <f t="shared" si="18"/>
        <v>260</v>
      </c>
      <c r="AA86" s="76">
        <f t="shared" si="18"/>
        <v>345</v>
      </c>
      <c r="AB86" s="76">
        <f t="shared" si="18"/>
        <v>361.3</v>
      </c>
      <c r="AC86" s="76">
        <f t="shared" si="18"/>
        <v>371.9</v>
      </c>
      <c r="AD86" s="76">
        <f t="shared" si="18"/>
        <v>379.3</v>
      </c>
      <c r="AE86" s="76">
        <f t="shared" si="18"/>
        <v>392</v>
      </c>
      <c r="AF86" s="76">
        <f t="shared" si="18"/>
        <v>378.9</v>
      </c>
      <c r="AG86" s="86"/>
      <c r="AH86" s="48">
        <f t="shared" si="10"/>
        <v>410.6</v>
      </c>
      <c r="AI86" s="49">
        <f t="shared" si="11"/>
        <v>233</v>
      </c>
    </row>
    <row r="87" spans="1:37" x14ac:dyDescent="0.25">
      <c r="A87" s="78" t="s">
        <v>71</v>
      </c>
      <c r="B87" s="76">
        <f t="shared" ref="B87:AF87" si="19">IF(B63&lt;0,B63*-1,0)</f>
        <v>0</v>
      </c>
      <c r="C87" s="76">
        <f t="shared" si="19"/>
        <v>0</v>
      </c>
      <c r="D87" s="76">
        <f t="shared" si="19"/>
        <v>0</v>
      </c>
      <c r="E87" s="76">
        <f t="shared" si="19"/>
        <v>0</v>
      </c>
      <c r="F87" s="76">
        <f t="shared" si="19"/>
        <v>0</v>
      </c>
      <c r="G87" s="76">
        <f t="shared" si="19"/>
        <v>0</v>
      </c>
      <c r="H87" s="76">
        <f t="shared" si="19"/>
        <v>0</v>
      </c>
      <c r="I87" s="76">
        <f t="shared" si="19"/>
        <v>0</v>
      </c>
      <c r="J87" s="76">
        <f t="shared" si="19"/>
        <v>0</v>
      </c>
      <c r="K87" s="76">
        <f t="shared" si="19"/>
        <v>0</v>
      </c>
      <c r="L87" s="76">
        <f t="shared" si="19"/>
        <v>0</v>
      </c>
      <c r="M87" s="76">
        <f t="shared" si="19"/>
        <v>0</v>
      </c>
      <c r="N87" s="76">
        <f t="shared" si="19"/>
        <v>0</v>
      </c>
      <c r="O87" s="76">
        <f t="shared" si="19"/>
        <v>0</v>
      </c>
      <c r="P87" s="76">
        <f t="shared" si="19"/>
        <v>0</v>
      </c>
      <c r="Q87" s="76">
        <f t="shared" si="19"/>
        <v>0</v>
      </c>
      <c r="R87" s="76">
        <f t="shared" si="19"/>
        <v>0</v>
      </c>
      <c r="S87" s="76">
        <f t="shared" si="19"/>
        <v>0</v>
      </c>
      <c r="T87" s="76">
        <f t="shared" si="19"/>
        <v>0</v>
      </c>
      <c r="U87" s="76">
        <f t="shared" si="19"/>
        <v>0</v>
      </c>
      <c r="V87" s="76">
        <f t="shared" si="19"/>
        <v>0</v>
      </c>
      <c r="W87" s="76">
        <f t="shared" si="19"/>
        <v>0</v>
      </c>
      <c r="X87" s="76">
        <f t="shared" si="19"/>
        <v>0</v>
      </c>
      <c r="Y87" s="76">
        <f t="shared" si="19"/>
        <v>0</v>
      </c>
      <c r="Z87" s="76">
        <f t="shared" si="19"/>
        <v>0</v>
      </c>
      <c r="AA87" s="76">
        <f t="shared" si="19"/>
        <v>0</v>
      </c>
      <c r="AB87" s="76">
        <f t="shared" si="19"/>
        <v>0</v>
      </c>
      <c r="AC87" s="76">
        <f t="shared" si="19"/>
        <v>0</v>
      </c>
      <c r="AD87" s="76">
        <f t="shared" si="19"/>
        <v>0</v>
      </c>
      <c r="AE87" s="76">
        <f t="shared" si="19"/>
        <v>0</v>
      </c>
      <c r="AF87" s="76">
        <f t="shared" si="19"/>
        <v>0</v>
      </c>
      <c r="AG87" s="86"/>
      <c r="AH87" s="48">
        <f t="shared" si="10"/>
        <v>0</v>
      </c>
      <c r="AI87" s="49">
        <f t="shared" si="11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10"/>
        <v>0</v>
      </c>
      <c r="AI88" s="49">
        <f t="shared" si="11"/>
        <v>0</v>
      </c>
    </row>
    <row r="89" spans="1:37" ht="15.75" thickBot="1" x14ac:dyDescent="0.3">
      <c r="A89" s="87" t="s">
        <v>94</v>
      </c>
      <c r="B89" s="61">
        <f t="shared" ref="B89:AF89" si="20">SUM(B83:B88)</f>
        <v>371</v>
      </c>
      <c r="C89" s="61">
        <f t="shared" si="20"/>
        <v>400</v>
      </c>
      <c r="D89" s="61">
        <f t="shared" si="20"/>
        <v>391</v>
      </c>
      <c r="E89" s="61">
        <f t="shared" si="20"/>
        <v>381</v>
      </c>
      <c r="F89" s="61">
        <f t="shared" si="20"/>
        <v>378.5</v>
      </c>
      <c r="G89" s="61">
        <f t="shared" si="20"/>
        <v>353</v>
      </c>
      <c r="H89" s="61">
        <f t="shared" si="20"/>
        <v>377</v>
      </c>
      <c r="I89" s="61">
        <f t="shared" si="20"/>
        <v>386</v>
      </c>
      <c r="J89" s="61">
        <f t="shared" si="20"/>
        <v>356</v>
      </c>
      <c r="K89" s="61">
        <f t="shared" si="20"/>
        <v>357</v>
      </c>
      <c r="L89" s="61">
        <f t="shared" si="20"/>
        <v>233</v>
      </c>
      <c r="M89" s="61">
        <f t="shared" si="20"/>
        <v>375</v>
      </c>
      <c r="N89" s="61">
        <f t="shared" si="20"/>
        <v>410.6</v>
      </c>
      <c r="O89" s="61">
        <f t="shared" si="20"/>
        <v>390.2</v>
      </c>
      <c r="P89" s="61">
        <f t="shared" si="20"/>
        <v>385.4</v>
      </c>
      <c r="Q89" s="61">
        <f t="shared" si="20"/>
        <v>383.5</v>
      </c>
      <c r="R89" s="61">
        <f t="shared" si="20"/>
        <v>304</v>
      </c>
      <c r="S89" s="61">
        <f t="shared" si="20"/>
        <v>305</v>
      </c>
      <c r="T89" s="61">
        <f t="shared" si="20"/>
        <v>342</v>
      </c>
      <c r="U89" s="61">
        <f t="shared" si="20"/>
        <v>344</v>
      </c>
      <c r="V89" s="61">
        <f t="shared" si="20"/>
        <v>290</v>
      </c>
      <c r="W89" s="61">
        <f t="shared" si="20"/>
        <v>280</v>
      </c>
      <c r="X89" s="61">
        <f t="shared" si="20"/>
        <v>250</v>
      </c>
      <c r="Y89" s="61">
        <f t="shared" si="20"/>
        <v>260</v>
      </c>
      <c r="Z89" s="61">
        <f t="shared" si="20"/>
        <v>260</v>
      </c>
      <c r="AA89" s="61">
        <f t="shared" si="20"/>
        <v>345</v>
      </c>
      <c r="AB89" s="61">
        <f t="shared" si="20"/>
        <v>361.3</v>
      </c>
      <c r="AC89" s="61">
        <f t="shared" si="20"/>
        <v>371.9</v>
      </c>
      <c r="AD89" s="61">
        <f t="shared" si="20"/>
        <v>379.3</v>
      </c>
      <c r="AE89" s="61">
        <f t="shared" si="20"/>
        <v>392</v>
      </c>
      <c r="AF89" s="61">
        <f t="shared" si="20"/>
        <v>378.9</v>
      </c>
      <c r="AG89" s="81"/>
      <c r="AH89" s="48">
        <f t="shared" si="10"/>
        <v>410.6</v>
      </c>
      <c r="AI89" s="49">
        <f t="shared" si="11"/>
        <v>233</v>
      </c>
      <c r="AK89" s="50"/>
    </row>
    <row r="90" spans="1:37" ht="15.75" thickBot="1" x14ac:dyDescent="0.3">
      <c r="A90" s="74" t="s">
        <v>95</v>
      </c>
      <c r="B90" s="61">
        <f t="shared" ref="B90:AF90" si="21">B74-B89</f>
        <v>-371</v>
      </c>
      <c r="C90" s="61">
        <f t="shared" si="21"/>
        <v>-400</v>
      </c>
      <c r="D90" s="61">
        <f t="shared" si="21"/>
        <v>-391</v>
      </c>
      <c r="E90" s="61">
        <f t="shared" si="21"/>
        <v>-381</v>
      </c>
      <c r="F90" s="61">
        <f t="shared" si="21"/>
        <v>-378.5</v>
      </c>
      <c r="G90" s="61">
        <f t="shared" si="21"/>
        <v>-353</v>
      </c>
      <c r="H90" s="61">
        <f t="shared" si="21"/>
        <v>-377</v>
      </c>
      <c r="I90" s="61">
        <f t="shared" si="21"/>
        <v>-386</v>
      </c>
      <c r="J90" s="61">
        <f t="shared" si="21"/>
        <v>-356</v>
      </c>
      <c r="K90" s="61">
        <f t="shared" si="21"/>
        <v>-357</v>
      </c>
      <c r="L90" s="61">
        <f t="shared" si="21"/>
        <v>-233</v>
      </c>
      <c r="M90" s="61">
        <f t="shared" si="21"/>
        <v>-375</v>
      </c>
      <c r="N90" s="61">
        <f t="shared" si="21"/>
        <v>-410.6</v>
      </c>
      <c r="O90" s="61">
        <f t="shared" si="21"/>
        <v>-390.2</v>
      </c>
      <c r="P90" s="61">
        <f t="shared" si="21"/>
        <v>-385.4</v>
      </c>
      <c r="Q90" s="61">
        <f t="shared" si="21"/>
        <v>-383.5</v>
      </c>
      <c r="R90" s="61">
        <f t="shared" si="21"/>
        <v>-304</v>
      </c>
      <c r="S90" s="61">
        <f t="shared" si="21"/>
        <v>-305</v>
      </c>
      <c r="T90" s="61">
        <f t="shared" si="21"/>
        <v>-342</v>
      </c>
      <c r="U90" s="61">
        <f t="shared" si="21"/>
        <v>-344</v>
      </c>
      <c r="V90" s="61">
        <f t="shared" si="21"/>
        <v>-290</v>
      </c>
      <c r="W90" s="61">
        <f t="shared" si="21"/>
        <v>-280</v>
      </c>
      <c r="X90" s="61">
        <f t="shared" si="21"/>
        <v>-210</v>
      </c>
      <c r="Y90" s="61">
        <f t="shared" si="21"/>
        <v>-204</v>
      </c>
      <c r="Z90" s="61">
        <f t="shared" si="21"/>
        <v>-204</v>
      </c>
      <c r="AA90" s="61">
        <f t="shared" si="21"/>
        <v>-345</v>
      </c>
      <c r="AB90" s="61">
        <f t="shared" si="21"/>
        <v>-361.3</v>
      </c>
      <c r="AC90" s="61">
        <f t="shared" si="21"/>
        <v>-371.9</v>
      </c>
      <c r="AD90" s="61">
        <f t="shared" si="21"/>
        <v>-379.3</v>
      </c>
      <c r="AE90" s="61">
        <f t="shared" si="21"/>
        <v>-392</v>
      </c>
      <c r="AF90" s="61">
        <f t="shared" si="21"/>
        <v>-378.9</v>
      </c>
      <c r="AG90" s="81"/>
      <c r="AH90" s="48">
        <f t="shared" si="10"/>
        <v>-204</v>
      </c>
      <c r="AI90" s="49">
        <f t="shared" si="11"/>
        <v>-410.6</v>
      </c>
    </row>
    <row r="91" spans="1:37" x14ac:dyDescent="0.25">
      <c r="A91" s="88" t="s">
        <v>96</v>
      </c>
      <c r="B91" s="89">
        <v>50.003999999999998</v>
      </c>
      <c r="C91" s="89">
        <v>49.887999999999998</v>
      </c>
      <c r="D91" s="89">
        <v>49.942999999999998</v>
      </c>
      <c r="E91" s="89">
        <v>50.000999999999998</v>
      </c>
      <c r="F91" s="89">
        <v>50.015000000000001</v>
      </c>
      <c r="G91" s="89">
        <v>50.042000000000002</v>
      </c>
      <c r="H91" s="89">
        <v>50.02</v>
      </c>
      <c r="I91" s="89">
        <v>50.014000000000003</v>
      </c>
      <c r="J91" s="89">
        <v>49.941000000000003</v>
      </c>
      <c r="K91" s="89">
        <v>50.023000000000003</v>
      </c>
      <c r="L91" s="89">
        <v>50.070999999999998</v>
      </c>
      <c r="M91" s="89">
        <v>50.069000000000003</v>
      </c>
      <c r="N91" s="89">
        <v>50.005000000000003</v>
      </c>
      <c r="O91" s="89">
        <v>49.972999999999999</v>
      </c>
      <c r="P91" s="89">
        <v>50.033000000000001</v>
      </c>
      <c r="Q91" s="89">
        <v>50.037999999999997</v>
      </c>
      <c r="R91" s="89">
        <v>50.052</v>
      </c>
      <c r="S91" s="89">
        <v>50.052</v>
      </c>
      <c r="T91" s="89">
        <v>50.052</v>
      </c>
      <c r="U91" s="89">
        <v>50.018000000000001</v>
      </c>
      <c r="V91" s="89">
        <v>50.018000000000001</v>
      </c>
      <c r="W91" s="89">
        <v>49.945</v>
      </c>
      <c r="X91" s="89">
        <v>49.914000000000001</v>
      </c>
      <c r="Y91" s="89">
        <v>49.914000000000001</v>
      </c>
      <c r="Z91" s="89">
        <v>49.914000000000001</v>
      </c>
      <c r="AA91" s="89">
        <v>49.914000000000001</v>
      </c>
      <c r="AB91" s="89">
        <v>50.082000000000001</v>
      </c>
      <c r="AC91" s="89">
        <v>50.024000000000001</v>
      </c>
      <c r="AD91" s="89">
        <v>50.006999999999998</v>
      </c>
      <c r="AE91" s="89">
        <v>50.05</v>
      </c>
      <c r="AF91" s="89">
        <v>50.034999999999997</v>
      </c>
      <c r="AG91" s="90"/>
      <c r="AH91" s="48">
        <f t="shared" si="10"/>
        <v>50.082000000000001</v>
      </c>
      <c r="AI91" s="49">
        <f t="shared" si="11"/>
        <v>49.887999999999998</v>
      </c>
    </row>
    <row r="92" spans="1:37" x14ac:dyDescent="0.25">
      <c r="A92" s="91" t="s">
        <v>97</v>
      </c>
      <c r="B92" s="65">
        <v>125.9</v>
      </c>
      <c r="C92" s="65">
        <v>126.7</v>
      </c>
      <c r="D92" s="65">
        <v>126.7</v>
      </c>
      <c r="E92" s="65">
        <v>126.8</v>
      </c>
      <c r="F92" s="65">
        <v>127.6</v>
      </c>
      <c r="G92" s="65">
        <v>127</v>
      </c>
      <c r="H92" s="65">
        <v>126.6</v>
      </c>
      <c r="I92" s="65">
        <v>125.1</v>
      </c>
      <c r="J92" s="65">
        <v>122.7</v>
      </c>
      <c r="K92" s="65">
        <v>122.6</v>
      </c>
      <c r="L92" s="65">
        <v>121.6</v>
      </c>
      <c r="M92" s="65">
        <v>120.3</v>
      </c>
      <c r="N92" s="65">
        <v>118.8</v>
      </c>
      <c r="O92" s="65">
        <v>119.6</v>
      </c>
      <c r="P92" s="65">
        <v>121.4</v>
      </c>
      <c r="Q92" s="65">
        <v>119.7</v>
      </c>
      <c r="R92" s="65">
        <v>121.4</v>
      </c>
      <c r="S92" s="65">
        <v>121.4</v>
      </c>
      <c r="T92" s="65">
        <v>121.4</v>
      </c>
      <c r="U92" s="65">
        <v>124</v>
      </c>
      <c r="V92" s="65">
        <v>124</v>
      </c>
      <c r="W92" s="65">
        <v>124</v>
      </c>
      <c r="X92" s="65">
        <v>124</v>
      </c>
      <c r="Y92" s="65">
        <v>124</v>
      </c>
      <c r="Z92" s="65">
        <v>124</v>
      </c>
      <c r="AA92" s="65">
        <v>124</v>
      </c>
      <c r="AB92" s="65">
        <v>127.2</v>
      </c>
      <c r="AC92" s="65">
        <v>126</v>
      </c>
      <c r="AD92" s="65">
        <v>125.6</v>
      </c>
      <c r="AE92" s="65">
        <v>125.6</v>
      </c>
      <c r="AF92" s="65">
        <v>125.1</v>
      </c>
      <c r="AG92" s="92"/>
      <c r="AH92" s="48">
        <f t="shared" si="10"/>
        <v>127.6</v>
      </c>
      <c r="AI92" s="49">
        <f t="shared" si="11"/>
        <v>118.8</v>
      </c>
    </row>
    <row r="93" spans="1:37" x14ac:dyDescent="0.25">
      <c r="A93" s="91" t="s">
        <v>98</v>
      </c>
      <c r="B93" s="65">
        <v>130.6</v>
      </c>
      <c r="C93" s="65">
        <v>131</v>
      </c>
      <c r="D93" s="65">
        <v>130.9</v>
      </c>
      <c r="E93" s="65">
        <v>131.1</v>
      </c>
      <c r="F93" s="65">
        <v>131.69999999999999</v>
      </c>
      <c r="G93" s="65">
        <v>130.9</v>
      </c>
      <c r="H93" s="65">
        <v>130.19999999999999</v>
      </c>
      <c r="I93" s="65">
        <v>128.9</v>
      </c>
      <c r="J93" s="65">
        <v>126.7</v>
      </c>
      <c r="K93" s="65">
        <v>125.9</v>
      </c>
      <c r="L93" s="65">
        <v>124.1</v>
      </c>
      <c r="M93" s="65">
        <v>122.5</v>
      </c>
      <c r="N93" s="65">
        <v>121.5</v>
      </c>
      <c r="O93" s="65">
        <v>122</v>
      </c>
      <c r="P93" s="65">
        <v>123.9</v>
      </c>
      <c r="Q93" s="65">
        <v>122.5</v>
      </c>
      <c r="R93" s="65">
        <v>123.8</v>
      </c>
      <c r="S93" s="65">
        <v>123.8</v>
      </c>
      <c r="T93" s="65">
        <v>123.8</v>
      </c>
      <c r="U93" s="65">
        <v>127</v>
      </c>
      <c r="V93" s="65">
        <v>127</v>
      </c>
      <c r="W93" s="65">
        <v>127</v>
      </c>
      <c r="X93" s="65">
        <v>127</v>
      </c>
      <c r="Y93" s="65">
        <v>127</v>
      </c>
      <c r="Z93" s="65">
        <v>127</v>
      </c>
      <c r="AA93" s="65">
        <v>127</v>
      </c>
      <c r="AB93" s="65">
        <v>130.6</v>
      </c>
      <c r="AC93" s="65">
        <v>129.69999999999999</v>
      </c>
      <c r="AD93" s="65">
        <v>129.5</v>
      </c>
      <c r="AE93" s="65">
        <v>129.5</v>
      </c>
      <c r="AF93" s="65">
        <v>130</v>
      </c>
      <c r="AG93" s="92"/>
      <c r="AH93" s="48">
        <f t="shared" si="10"/>
        <v>131.69999999999999</v>
      </c>
      <c r="AI93" s="49">
        <f t="shared" si="11"/>
        <v>121.5</v>
      </c>
    </row>
    <row r="94" spans="1:37" x14ac:dyDescent="0.25">
      <c r="A94" s="91" t="s">
        <v>99</v>
      </c>
      <c r="B94" s="65">
        <v>131.1</v>
      </c>
      <c r="C94" s="65">
        <v>132</v>
      </c>
      <c r="D94" s="65">
        <v>130.4</v>
      </c>
      <c r="E94" s="65">
        <v>130.80000000000001</v>
      </c>
      <c r="F94" s="65">
        <v>130.1</v>
      </c>
      <c r="G94" s="65">
        <v>130.6</v>
      </c>
      <c r="H94" s="65">
        <v>129.19999999999999</v>
      </c>
      <c r="I94" s="65">
        <v>129.4</v>
      </c>
      <c r="J94" s="65">
        <v>127.5</v>
      </c>
      <c r="K94" s="65">
        <v>128.80000000000001</v>
      </c>
      <c r="L94" s="65">
        <v>128.69999999999999</v>
      </c>
      <c r="M94" s="65">
        <v>129.1</v>
      </c>
      <c r="N94" s="65">
        <v>129.1</v>
      </c>
      <c r="O94" s="65">
        <v>130.69999999999999</v>
      </c>
      <c r="P94" s="65">
        <v>128.69999999999999</v>
      </c>
      <c r="Q94" s="65">
        <v>131.9</v>
      </c>
      <c r="R94" s="65">
        <v>125.7</v>
      </c>
      <c r="S94" s="65">
        <v>125.7</v>
      </c>
      <c r="T94" s="65">
        <v>125.7</v>
      </c>
      <c r="U94" s="65">
        <v>129</v>
      </c>
      <c r="V94" s="65">
        <v>129</v>
      </c>
      <c r="W94" s="65">
        <v>129</v>
      </c>
      <c r="X94" s="65">
        <v>127</v>
      </c>
      <c r="Y94" s="65">
        <v>127</v>
      </c>
      <c r="Z94" s="65">
        <v>127</v>
      </c>
      <c r="AA94" s="65">
        <v>127</v>
      </c>
      <c r="AB94" s="65">
        <v>130.80000000000001</v>
      </c>
      <c r="AC94" s="65">
        <v>130.6</v>
      </c>
      <c r="AD94" s="65">
        <v>130.80000000000001</v>
      </c>
      <c r="AE94" s="65">
        <v>130.80000000000001</v>
      </c>
      <c r="AF94" s="65">
        <v>129.19999999999999</v>
      </c>
      <c r="AG94" s="92"/>
      <c r="AH94" s="48">
        <f t="shared" si="10"/>
        <v>132</v>
      </c>
      <c r="AI94" s="49">
        <f t="shared" si="11"/>
        <v>125.7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10"/>
        <v>0</v>
      </c>
      <c r="AI95" s="49">
        <f t="shared" si="11"/>
        <v>0</v>
      </c>
    </row>
    <row r="96" spans="1:37" x14ac:dyDescent="0.25">
      <c r="A96" s="93" t="s">
        <v>101</v>
      </c>
      <c r="B96" s="94">
        <v>133.5</v>
      </c>
      <c r="C96" s="94">
        <v>134.30000000000001</v>
      </c>
      <c r="D96" s="94">
        <v>133.9</v>
      </c>
      <c r="E96" s="94">
        <v>134.69999999999999</v>
      </c>
      <c r="F96" s="94">
        <v>135</v>
      </c>
      <c r="G96" s="94">
        <v>134.30000000000001</v>
      </c>
      <c r="H96" s="94">
        <v>133.1</v>
      </c>
      <c r="I96" s="94">
        <v>132.80000000000001</v>
      </c>
      <c r="J96" s="94">
        <v>128.80000000000001</v>
      </c>
      <c r="K96" s="94">
        <v>131</v>
      </c>
      <c r="L96" s="94">
        <v>131.6</v>
      </c>
      <c r="M96" s="94">
        <v>129.4</v>
      </c>
      <c r="N96" s="94">
        <v>131.1</v>
      </c>
      <c r="O96" s="94">
        <v>128</v>
      </c>
      <c r="P96" s="94">
        <v>132.19999999999999</v>
      </c>
      <c r="Q96" s="94">
        <v>130.30000000000001</v>
      </c>
      <c r="R96" s="94">
        <v>131.9</v>
      </c>
      <c r="S96" s="94">
        <v>131.9</v>
      </c>
      <c r="T96" s="94">
        <v>131.9</v>
      </c>
      <c r="U96" s="94">
        <v>131</v>
      </c>
      <c r="V96" s="94">
        <v>131</v>
      </c>
      <c r="W96" s="94">
        <v>131</v>
      </c>
      <c r="X96" s="94">
        <v>134</v>
      </c>
      <c r="Y96" s="94">
        <v>134</v>
      </c>
      <c r="Z96" s="94">
        <v>134</v>
      </c>
      <c r="AA96" s="94">
        <v>134</v>
      </c>
      <c r="AB96" s="94">
        <v>135.80000000000001</v>
      </c>
      <c r="AC96" s="94">
        <v>134</v>
      </c>
      <c r="AD96" s="94">
        <v>133.6</v>
      </c>
      <c r="AE96" s="94">
        <v>133.6</v>
      </c>
      <c r="AF96" s="94">
        <v>133.1</v>
      </c>
      <c r="AG96" s="95"/>
      <c r="AH96" s="48">
        <f t="shared" si="10"/>
        <v>135.80000000000001</v>
      </c>
      <c r="AI96" s="49">
        <f t="shared" si="11"/>
        <v>128</v>
      </c>
    </row>
    <row r="97" spans="1:37" x14ac:dyDescent="0.25">
      <c r="A97" s="91" t="s">
        <v>102</v>
      </c>
      <c r="B97" s="65">
        <v>132.6</v>
      </c>
      <c r="C97" s="65">
        <v>133.69999999999999</v>
      </c>
      <c r="D97" s="65">
        <v>133.80000000000001</v>
      </c>
      <c r="E97" s="65">
        <v>134.6</v>
      </c>
      <c r="F97" s="65">
        <v>135</v>
      </c>
      <c r="G97" s="65">
        <v>134.4</v>
      </c>
      <c r="H97" s="65">
        <v>133</v>
      </c>
      <c r="I97" s="65">
        <v>131.9</v>
      </c>
      <c r="J97" s="65">
        <v>127.2</v>
      </c>
      <c r="K97" s="65">
        <v>131.19999999999999</v>
      </c>
      <c r="L97" s="65">
        <v>129.6</v>
      </c>
      <c r="M97" s="65">
        <v>127.6</v>
      </c>
      <c r="N97" s="65">
        <v>130.5</v>
      </c>
      <c r="O97" s="65">
        <v>127.7</v>
      </c>
      <c r="P97" s="65">
        <v>132.9</v>
      </c>
      <c r="Q97" s="65">
        <v>128.9</v>
      </c>
      <c r="R97" s="65">
        <v>131.5</v>
      </c>
      <c r="S97" s="65">
        <v>131.5</v>
      </c>
      <c r="T97" s="65">
        <v>131.5</v>
      </c>
      <c r="U97" s="65">
        <v>128</v>
      </c>
      <c r="V97" s="65">
        <v>128</v>
      </c>
      <c r="W97" s="65">
        <v>128</v>
      </c>
      <c r="X97" s="65">
        <v>129</v>
      </c>
      <c r="Y97" s="65">
        <v>129</v>
      </c>
      <c r="Z97" s="65">
        <v>129</v>
      </c>
      <c r="AA97" s="65">
        <v>129</v>
      </c>
      <c r="AB97" s="65">
        <v>135.80000000000001</v>
      </c>
      <c r="AC97" s="65">
        <v>133.80000000000001</v>
      </c>
      <c r="AD97" s="65">
        <v>133.9</v>
      </c>
      <c r="AE97" s="65">
        <v>133.9</v>
      </c>
      <c r="AF97" s="65">
        <v>130.4</v>
      </c>
      <c r="AG97" s="92"/>
      <c r="AH97" s="48">
        <f t="shared" si="10"/>
        <v>135.80000000000001</v>
      </c>
      <c r="AI97" s="49">
        <f t="shared" si="11"/>
        <v>127.2</v>
      </c>
    </row>
    <row r="98" spans="1:37" ht="15.75" thickBot="1" x14ac:dyDescent="0.3">
      <c r="A98" s="91" t="s">
        <v>103</v>
      </c>
      <c r="B98" s="96">
        <v>66</v>
      </c>
      <c r="C98" s="96">
        <v>66.3</v>
      </c>
      <c r="D98" s="96">
        <v>66.2</v>
      </c>
      <c r="E98" s="96">
        <v>66.400000000000006</v>
      </c>
      <c r="F98" s="96">
        <v>66.599999999999994</v>
      </c>
      <c r="G98" s="96">
        <v>66.099999999999994</v>
      </c>
      <c r="H98" s="96">
        <v>65.7</v>
      </c>
      <c r="I98" s="96">
        <v>65.099999999999994</v>
      </c>
      <c r="J98" s="96">
        <v>63.9</v>
      </c>
      <c r="K98" s="96">
        <v>63.8</v>
      </c>
      <c r="L98" s="96">
        <v>63.1</v>
      </c>
      <c r="M98" s="96">
        <v>62.2</v>
      </c>
      <c r="N98" s="96">
        <v>61.8</v>
      </c>
      <c r="O98" s="96">
        <v>62</v>
      </c>
      <c r="P98" s="96">
        <v>63.2</v>
      </c>
      <c r="Q98" s="96">
        <v>62.2</v>
      </c>
      <c r="R98" s="96">
        <v>63</v>
      </c>
      <c r="S98" s="96">
        <v>63</v>
      </c>
      <c r="T98" s="96">
        <v>63</v>
      </c>
      <c r="U98" s="96">
        <v>65</v>
      </c>
      <c r="V98" s="96">
        <v>65</v>
      </c>
      <c r="W98" s="96">
        <v>64</v>
      </c>
      <c r="X98" s="96">
        <v>64</v>
      </c>
      <c r="Y98" s="96">
        <v>64</v>
      </c>
      <c r="Z98" s="96">
        <v>64</v>
      </c>
      <c r="AA98" s="96">
        <v>64</v>
      </c>
      <c r="AB98" s="96">
        <v>66.2</v>
      </c>
      <c r="AC98" s="96">
        <v>65.5</v>
      </c>
      <c r="AD98" s="96">
        <v>65.400000000000006</v>
      </c>
      <c r="AE98" s="96">
        <v>65.400000000000006</v>
      </c>
      <c r="AF98" s="96">
        <v>65.8</v>
      </c>
      <c r="AG98" s="97"/>
      <c r="AH98" s="48">
        <f t="shared" si="10"/>
        <v>66.599999999999994</v>
      </c>
      <c r="AI98" s="49">
        <f t="shared" si="11"/>
        <v>61.8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10"/>
        <v>0</v>
      </c>
      <c r="AI99" s="49">
        <f t="shared" si="11"/>
        <v>0</v>
      </c>
    </row>
    <row r="100" spans="1:37" ht="15.75" thickBot="1" x14ac:dyDescent="0.3">
      <c r="A100" s="99" t="s">
        <v>104</v>
      </c>
      <c r="B100" s="100">
        <f t="shared" ref="B100:AF100" si="22">SUM(B15,B20,B22:B23,B48,B50:B51,B53,B55,B101:B105,B127,B133,B139,B148,B150,B162,B169,B172:B173,B180,B182,B184,B188:B190,B192:B194,B199,B205:B206,B208:B210,B218,B223)</f>
        <v>39.599999999999994</v>
      </c>
      <c r="C100" s="100">
        <f t="shared" si="22"/>
        <v>35.539999999999978</v>
      </c>
      <c r="D100" s="100">
        <f t="shared" si="22"/>
        <v>31.239999999999995</v>
      </c>
      <c r="E100" s="100">
        <f t="shared" si="22"/>
        <v>26.239999999999977</v>
      </c>
      <c r="F100" s="100">
        <f t="shared" si="22"/>
        <v>28.339999999999996</v>
      </c>
      <c r="G100" s="100">
        <f t="shared" si="22"/>
        <v>23.740000000000006</v>
      </c>
      <c r="H100" s="100">
        <f t="shared" si="22"/>
        <v>67.84</v>
      </c>
      <c r="I100" s="100">
        <f t="shared" si="22"/>
        <v>99.839999999999975</v>
      </c>
      <c r="J100" s="100">
        <f t="shared" si="22"/>
        <v>152.23999999999998</v>
      </c>
      <c r="K100" s="100">
        <f t="shared" si="22"/>
        <v>195.33999999999995</v>
      </c>
      <c r="L100" s="100">
        <f t="shared" si="22"/>
        <v>289.24</v>
      </c>
      <c r="M100" s="100">
        <f t="shared" si="22"/>
        <v>207.74</v>
      </c>
      <c r="N100" s="100">
        <f t="shared" si="22"/>
        <v>176.04000000000002</v>
      </c>
      <c r="O100" s="100">
        <f t="shared" si="22"/>
        <v>177.84</v>
      </c>
      <c r="P100" s="100">
        <f t="shared" si="22"/>
        <v>167.14</v>
      </c>
      <c r="Q100" s="100">
        <f t="shared" si="22"/>
        <v>155.60000000000002</v>
      </c>
      <c r="R100" s="100">
        <f t="shared" si="22"/>
        <v>154</v>
      </c>
      <c r="S100" s="100">
        <f t="shared" si="22"/>
        <v>156.6</v>
      </c>
      <c r="T100" s="100">
        <f t="shared" ref="T100" si="23">SUM(T15,T20,T22:T23,T48,T50:T51,T53,T55,T101:T105,T127,T133,T139,T148,T150,T162,T169,T172:T173,T180,T182,T184,T188:T190,T192:T194,T199,T205:T206,T208:T210,T218,T223)</f>
        <v>164.6</v>
      </c>
      <c r="U100" s="100">
        <f t="shared" si="22"/>
        <v>182</v>
      </c>
      <c r="V100" s="100">
        <f t="shared" si="22"/>
        <v>224</v>
      </c>
      <c r="W100" s="100">
        <f t="shared" si="22"/>
        <v>244</v>
      </c>
      <c r="X100" s="100">
        <f t="shared" si="22"/>
        <v>292</v>
      </c>
      <c r="Y100" s="100">
        <f t="shared" si="22"/>
        <v>286</v>
      </c>
      <c r="Z100" s="100">
        <f t="shared" si="22"/>
        <v>286</v>
      </c>
      <c r="AA100" s="100">
        <f t="shared" si="22"/>
        <v>286</v>
      </c>
      <c r="AB100" s="100">
        <f t="shared" si="22"/>
        <v>190.4</v>
      </c>
      <c r="AC100" s="100">
        <f t="shared" si="22"/>
        <v>161.09999999999997</v>
      </c>
      <c r="AD100" s="100">
        <f t="shared" si="22"/>
        <v>136.10000000000002</v>
      </c>
      <c r="AE100" s="100">
        <f t="shared" si="22"/>
        <v>91.2</v>
      </c>
      <c r="AF100" s="100">
        <f t="shared" si="22"/>
        <v>34.79999999999999</v>
      </c>
      <c r="AG100" s="101"/>
      <c r="AH100" s="48">
        <f t="shared" si="10"/>
        <v>292</v>
      </c>
      <c r="AI100" s="49">
        <f t="shared" si="11"/>
        <v>23.740000000000006</v>
      </c>
    </row>
    <row r="101" spans="1:37" x14ac:dyDescent="0.25">
      <c r="A101" s="88" t="s">
        <v>105</v>
      </c>
      <c r="B101" s="102">
        <v>20.5</v>
      </c>
      <c r="C101" s="102">
        <v>19.7</v>
      </c>
      <c r="D101" s="102">
        <v>19.3</v>
      </c>
      <c r="E101" s="102">
        <v>17.8</v>
      </c>
      <c r="F101" s="102">
        <v>17</v>
      </c>
      <c r="G101" s="102">
        <v>18.5</v>
      </c>
      <c r="H101" s="102">
        <v>22</v>
      </c>
      <c r="I101" s="102">
        <v>28.5</v>
      </c>
      <c r="J101" s="102">
        <v>39</v>
      </c>
      <c r="K101" s="102">
        <v>43.2</v>
      </c>
      <c r="L101" s="102">
        <v>55.3</v>
      </c>
      <c r="M101" s="102">
        <v>66.3</v>
      </c>
      <c r="N101" s="102">
        <v>67.5</v>
      </c>
      <c r="O101" s="102">
        <v>61.1</v>
      </c>
      <c r="P101" s="102">
        <v>61.6</v>
      </c>
      <c r="Q101" s="102">
        <v>62.8</v>
      </c>
      <c r="R101" s="102">
        <v>60.6</v>
      </c>
      <c r="S101" s="102">
        <v>56</v>
      </c>
      <c r="T101" s="102">
        <v>56</v>
      </c>
      <c r="U101" s="102">
        <v>32</v>
      </c>
      <c r="V101" s="102">
        <v>37</v>
      </c>
      <c r="W101" s="102">
        <v>37</v>
      </c>
      <c r="X101" s="102">
        <v>39</v>
      </c>
      <c r="Y101" s="102">
        <v>39</v>
      </c>
      <c r="Z101" s="102">
        <v>39</v>
      </c>
      <c r="AA101" s="102">
        <v>39</v>
      </c>
      <c r="AB101" s="102">
        <v>37</v>
      </c>
      <c r="AC101" s="102">
        <v>36.1</v>
      </c>
      <c r="AD101" s="102">
        <v>31.4</v>
      </c>
      <c r="AE101" s="102">
        <v>30</v>
      </c>
      <c r="AF101" s="102">
        <v>14.1</v>
      </c>
      <c r="AG101" s="103">
        <v>75</v>
      </c>
      <c r="AH101" s="48">
        <f t="shared" si="10"/>
        <v>67.5</v>
      </c>
      <c r="AI101" s="49">
        <f t="shared" si="11"/>
        <v>14.1</v>
      </c>
    </row>
    <row r="102" spans="1:37" x14ac:dyDescent="0.25">
      <c r="A102" s="91" t="s">
        <v>106</v>
      </c>
      <c r="B102" s="104">
        <v>40.5</v>
      </c>
      <c r="C102" s="104">
        <v>39.200000000000003</v>
      </c>
      <c r="D102" s="104">
        <v>38.9</v>
      </c>
      <c r="E102" s="104">
        <v>36.799999999999997</v>
      </c>
      <c r="F102" s="104">
        <v>36.799999999999997</v>
      </c>
      <c r="G102" s="104">
        <v>36.299999999999997</v>
      </c>
      <c r="H102" s="104">
        <v>42.9</v>
      </c>
      <c r="I102" s="104">
        <v>51.7</v>
      </c>
      <c r="J102" s="104">
        <v>66.2</v>
      </c>
      <c r="K102" s="104">
        <v>73.900000000000006</v>
      </c>
      <c r="L102" s="104">
        <v>-2.2000000000000002</v>
      </c>
      <c r="M102" s="104">
        <v>0</v>
      </c>
      <c r="N102" s="104">
        <v>0</v>
      </c>
      <c r="O102" s="104">
        <v>0</v>
      </c>
      <c r="P102" s="104">
        <v>0</v>
      </c>
      <c r="Q102" s="104">
        <v>0</v>
      </c>
      <c r="R102" s="104">
        <v>0</v>
      </c>
      <c r="S102" s="104">
        <v>0</v>
      </c>
      <c r="T102" s="104">
        <v>0</v>
      </c>
      <c r="U102" s="104">
        <v>60</v>
      </c>
      <c r="V102" s="104">
        <v>60</v>
      </c>
      <c r="W102" s="104">
        <v>59</v>
      </c>
      <c r="X102" s="104">
        <v>60</v>
      </c>
      <c r="Y102" s="104">
        <v>62</v>
      </c>
      <c r="Z102" s="104">
        <v>62</v>
      </c>
      <c r="AA102" s="104">
        <v>62</v>
      </c>
      <c r="AB102" s="104">
        <v>59</v>
      </c>
      <c r="AC102" s="104">
        <v>57.7</v>
      </c>
      <c r="AD102" s="104">
        <v>52</v>
      </c>
      <c r="AE102" s="104">
        <v>40</v>
      </c>
      <c r="AF102" s="104">
        <v>32.1</v>
      </c>
      <c r="AG102" s="103">
        <v>240</v>
      </c>
      <c r="AH102" s="48">
        <f t="shared" si="10"/>
        <v>73.900000000000006</v>
      </c>
      <c r="AI102" s="49">
        <f t="shared" si="11"/>
        <v>-2.2000000000000002</v>
      </c>
    </row>
    <row r="103" spans="1:37" x14ac:dyDescent="0.25">
      <c r="A103" s="91" t="s">
        <v>107</v>
      </c>
      <c r="B103" s="104">
        <f>-63.6-67.3</f>
        <v>-130.9</v>
      </c>
      <c r="C103" s="104">
        <f>-64-68</f>
        <v>-132</v>
      </c>
      <c r="D103" s="104">
        <f>-65.2-68.9</f>
        <v>-134.10000000000002</v>
      </c>
      <c r="E103" s="104">
        <f>-65.7-68.8</f>
        <v>-134.5</v>
      </c>
      <c r="F103" s="104">
        <f>-64-67.5</f>
        <v>-131.5</v>
      </c>
      <c r="G103" s="104">
        <f>-61.7-64.9</f>
        <v>-126.60000000000001</v>
      </c>
      <c r="H103" s="104">
        <f>-60-65.2</f>
        <v>-125.2</v>
      </c>
      <c r="I103" s="104">
        <f>-61-64</f>
        <v>-125</v>
      </c>
      <c r="J103" s="104">
        <f>-54-56.2</f>
        <v>-110.2</v>
      </c>
      <c r="K103" s="104">
        <f>-48.6-50.9</f>
        <v>-99.5</v>
      </c>
      <c r="L103" s="104">
        <f>-12.1-13.6</f>
        <v>-25.7</v>
      </c>
      <c r="M103" s="104">
        <f>-21-24</f>
        <v>-45</v>
      </c>
      <c r="N103" s="104">
        <f>-32-35</f>
        <v>-67</v>
      </c>
      <c r="O103" s="104">
        <f>-30.7-32.6</f>
        <v>-63.3</v>
      </c>
      <c r="P103" s="104">
        <f>-34-36</f>
        <v>-70</v>
      </c>
      <c r="Q103" s="104">
        <f>-41-43</f>
        <v>-84</v>
      </c>
      <c r="R103" s="104">
        <v>-83.1</v>
      </c>
      <c r="S103" s="104">
        <v>-78</v>
      </c>
      <c r="T103" s="104">
        <v>-78</v>
      </c>
      <c r="U103" s="104">
        <v>-105</v>
      </c>
      <c r="V103" s="104">
        <v>-82</v>
      </c>
      <c r="W103" s="104">
        <v>-80</v>
      </c>
      <c r="X103" s="104">
        <v>-65</v>
      </c>
      <c r="Y103" s="104">
        <v>-67</v>
      </c>
      <c r="Z103" s="104">
        <v>-67</v>
      </c>
      <c r="AA103" s="104">
        <v>-67</v>
      </c>
      <c r="AB103" s="104">
        <f>-47.4-50.8</f>
        <v>-98.199999999999989</v>
      </c>
      <c r="AC103" s="104">
        <f>-49.5-52.8</f>
        <v>-102.3</v>
      </c>
      <c r="AD103" s="104">
        <f>-54-57</f>
        <v>-111</v>
      </c>
      <c r="AE103" s="104">
        <v>-120</v>
      </c>
      <c r="AF103" s="104">
        <f>-64-69</f>
        <v>-133</v>
      </c>
      <c r="AG103" s="103">
        <v>240</v>
      </c>
      <c r="AH103" s="48">
        <f t="shared" si="10"/>
        <v>-25.7</v>
      </c>
      <c r="AI103" s="49">
        <f t="shared" si="11"/>
        <v>-134.5</v>
      </c>
    </row>
    <row r="104" spans="1:37" x14ac:dyDescent="0.25">
      <c r="A104" s="91" t="s">
        <v>108</v>
      </c>
      <c r="B104" s="104">
        <v>0.5</v>
      </c>
      <c r="C104" s="104">
        <v>-1.3</v>
      </c>
      <c r="D104" s="104">
        <v>-2.8</v>
      </c>
      <c r="E104" s="104">
        <v>-3.1</v>
      </c>
      <c r="F104" s="104">
        <v>-3.2</v>
      </c>
      <c r="G104" s="104">
        <v>-2.4</v>
      </c>
      <c r="H104" s="104">
        <v>-3.2</v>
      </c>
      <c r="I104" s="104">
        <v>1.5</v>
      </c>
      <c r="J104" s="104">
        <v>7</v>
      </c>
      <c r="K104" s="104">
        <v>9.6</v>
      </c>
      <c r="L104" s="104">
        <v>19</v>
      </c>
      <c r="M104" s="104">
        <v>16.600000000000001</v>
      </c>
      <c r="N104" s="104">
        <v>10.9</v>
      </c>
      <c r="O104" s="104">
        <v>14.9</v>
      </c>
      <c r="P104" s="104">
        <v>10.8</v>
      </c>
      <c r="Q104" s="104">
        <v>7.9</v>
      </c>
      <c r="R104" s="104">
        <v>7.9</v>
      </c>
      <c r="S104" s="104">
        <v>10</v>
      </c>
      <c r="T104" s="104">
        <v>10</v>
      </c>
      <c r="U104" s="104">
        <v>10</v>
      </c>
      <c r="V104" s="104">
        <v>16</v>
      </c>
      <c r="W104" s="104">
        <v>17</v>
      </c>
      <c r="X104" s="104">
        <v>20</v>
      </c>
      <c r="Y104" s="104">
        <v>19</v>
      </c>
      <c r="Z104" s="104">
        <v>19</v>
      </c>
      <c r="AA104" s="104">
        <v>19</v>
      </c>
      <c r="AB104" s="104">
        <v>13.6</v>
      </c>
      <c r="AC104" s="104">
        <v>12.7</v>
      </c>
      <c r="AD104" s="104">
        <v>10.8</v>
      </c>
      <c r="AE104" s="104">
        <v>5.3</v>
      </c>
      <c r="AF104" s="104">
        <v>1.6</v>
      </c>
      <c r="AG104" s="103">
        <v>60</v>
      </c>
      <c r="AH104" s="48">
        <f t="shared" si="10"/>
        <v>20</v>
      </c>
      <c r="AI104" s="49">
        <f t="shared" si="11"/>
        <v>-3.2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7.1</v>
      </c>
      <c r="K105" s="106">
        <v>0</v>
      </c>
      <c r="L105" s="106">
        <v>74.7</v>
      </c>
      <c r="M105" s="106">
        <v>82.9</v>
      </c>
      <c r="N105" s="106">
        <v>82.7</v>
      </c>
      <c r="O105" s="106">
        <v>83.2</v>
      </c>
      <c r="P105" s="106">
        <v>82.8</v>
      </c>
      <c r="Q105" s="106">
        <v>82.9</v>
      </c>
      <c r="R105" s="106">
        <v>82.6</v>
      </c>
      <c r="S105" s="106">
        <v>82.6</v>
      </c>
      <c r="T105" s="106">
        <v>82.6</v>
      </c>
      <c r="U105" s="106">
        <v>31</v>
      </c>
      <c r="V105" s="106">
        <v>39</v>
      </c>
      <c r="W105" s="106">
        <v>45</v>
      </c>
      <c r="X105" s="106">
        <v>72</v>
      </c>
      <c r="Y105" s="106">
        <v>67</v>
      </c>
      <c r="Z105" s="106">
        <v>67</v>
      </c>
      <c r="AA105" s="106">
        <v>67</v>
      </c>
      <c r="AB105" s="106">
        <v>22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10"/>
        <v>83.2</v>
      </c>
      <c r="AI105" s="49">
        <f t="shared" si="11"/>
        <v>0</v>
      </c>
    </row>
    <row r="106" spans="1:37" x14ac:dyDescent="0.25">
      <c r="A106" s="105" t="s">
        <v>110</v>
      </c>
      <c r="B106" s="106">
        <v>6.4</v>
      </c>
      <c r="C106" s="106">
        <v>-2</v>
      </c>
      <c r="D106" s="106">
        <v>0</v>
      </c>
      <c r="E106" s="106">
        <v>7.1</v>
      </c>
      <c r="F106" s="106">
        <v>6.8</v>
      </c>
      <c r="G106" s="106">
        <v>3.1</v>
      </c>
      <c r="H106" s="106">
        <v>2.8</v>
      </c>
      <c r="I106" s="106">
        <v>7.3</v>
      </c>
      <c r="J106" s="106">
        <v>11.5</v>
      </c>
      <c r="K106" s="106">
        <v>21.2</v>
      </c>
      <c r="L106" s="106">
        <v>65.2</v>
      </c>
      <c r="M106" s="106">
        <v>39</v>
      </c>
      <c r="N106" s="106">
        <v>23.8</v>
      </c>
      <c r="O106" s="106">
        <v>41</v>
      </c>
      <c r="P106" s="106">
        <v>25</v>
      </c>
      <c r="Q106" s="106">
        <v>21</v>
      </c>
      <c r="R106" s="106">
        <v>28.9</v>
      </c>
      <c r="S106" s="106">
        <v>28.9</v>
      </c>
      <c r="T106" s="106">
        <v>28.9</v>
      </c>
      <c r="U106" s="106">
        <v>27</v>
      </c>
      <c r="V106" s="106">
        <v>25</v>
      </c>
      <c r="W106" s="106">
        <v>22</v>
      </c>
      <c r="X106" s="106">
        <v>32</v>
      </c>
      <c r="Y106" s="106">
        <v>36</v>
      </c>
      <c r="Z106" s="106">
        <v>36</v>
      </c>
      <c r="AA106" s="106">
        <v>36</v>
      </c>
      <c r="AB106" s="106">
        <v>10.4</v>
      </c>
      <c r="AC106" s="106">
        <v>17.600000000000001</v>
      </c>
      <c r="AD106" s="106">
        <v>12.9</v>
      </c>
      <c r="AE106" s="106">
        <v>12.9</v>
      </c>
      <c r="AF106" s="106">
        <v>22.6</v>
      </c>
      <c r="AG106" s="107"/>
      <c r="AH106" s="48">
        <f t="shared" si="10"/>
        <v>65.2</v>
      </c>
      <c r="AI106" s="49">
        <f t="shared" si="11"/>
        <v>-2</v>
      </c>
    </row>
    <row r="107" spans="1:37" x14ac:dyDescent="0.25">
      <c r="A107" s="105" t="s">
        <v>111</v>
      </c>
      <c r="B107" s="106">
        <v>-2.6</v>
      </c>
      <c r="C107" s="106">
        <v>-4.8</v>
      </c>
      <c r="D107" s="106">
        <v>-5.0999999999999996</v>
      </c>
      <c r="E107" s="106">
        <v>3.2</v>
      </c>
      <c r="F107" s="106">
        <v>10.6</v>
      </c>
      <c r="G107" s="106">
        <v>5</v>
      </c>
      <c r="H107" s="106">
        <v>6.7</v>
      </c>
      <c r="I107" s="106">
        <v>-7</v>
      </c>
      <c r="J107" s="106">
        <v>-18.3</v>
      </c>
      <c r="K107" s="106">
        <v>-21.4</v>
      </c>
      <c r="L107" s="106">
        <v>-19.2</v>
      </c>
      <c r="M107" s="106">
        <v>-21.3</v>
      </c>
      <c r="N107" s="106">
        <v>-26.2</v>
      </c>
      <c r="O107" s="106">
        <v>-11</v>
      </c>
      <c r="P107" s="106">
        <v>-12</v>
      </c>
      <c r="Q107" s="106">
        <v>-29.9</v>
      </c>
      <c r="R107" s="106">
        <v>-15.3</v>
      </c>
      <c r="S107" s="106">
        <v>-15.3</v>
      </c>
      <c r="T107" s="106">
        <v>-15.3</v>
      </c>
      <c r="U107" s="106">
        <v>6.1</v>
      </c>
      <c r="V107" s="106">
        <v>12</v>
      </c>
      <c r="W107" s="106">
        <v>18</v>
      </c>
      <c r="X107" s="106">
        <v>14</v>
      </c>
      <c r="Y107" s="106">
        <v>15</v>
      </c>
      <c r="Z107" s="106">
        <v>15</v>
      </c>
      <c r="AA107" s="106">
        <v>15</v>
      </c>
      <c r="AB107" s="106">
        <v>18.2</v>
      </c>
      <c r="AC107" s="106">
        <v>0</v>
      </c>
      <c r="AD107" s="106">
        <v>-4.8</v>
      </c>
      <c r="AE107" s="106">
        <v>-4.8</v>
      </c>
      <c r="AF107" s="106">
        <v>13.5</v>
      </c>
      <c r="AG107" s="108"/>
      <c r="AH107" s="48">
        <f t="shared" si="10"/>
        <v>18.2</v>
      </c>
      <c r="AI107" s="49">
        <f t="shared" si="11"/>
        <v>-29.9</v>
      </c>
    </row>
    <row r="108" spans="1:37" x14ac:dyDescent="0.25">
      <c r="A108" s="109" t="s">
        <v>112</v>
      </c>
      <c r="B108" s="94">
        <v>88</v>
      </c>
      <c r="C108" s="94">
        <v>90.6</v>
      </c>
      <c r="D108" s="94">
        <v>92.3</v>
      </c>
      <c r="E108" s="94">
        <v>92.7</v>
      </c>
      <c r="F108" s="94">
        <v>94.9</v>
      </c>
      <c r="G108" s="94">
        <v>3.2</v>
      </c>
      <c r="H108" s="94">
        <v>53.2</v>
      </c>
      <c r="I108" s="94">
        <v>83.5</v>
      </c>
      <c r="J108" s="94">
        <v>71.900000000000006</v>
      </c>
      <c r="K108" s="94">
        <v>68.5</v>
      </c>
      <c r="L108" s="94">
        <v>78.5</v>
      </c>
      <c r="M108" s="94">
        <v>68.900000000000006</v>
      </c>
      <c r="N108" s="94">
        <v>74.3</v>
      </c>
      <c r="O108" s="94">
        <v>75.400000000000006</v>
      </c>
      <c r="P108" s="94">
        <v>70.2</v>
      </c>
      <c r="Q108" s="94">
        <v>73.3</v>
      </c>
      <c r="R108" s="94">
        <v>59.3</v>
      </c>
      <c r="S108" s="94">
        <v>80</v>
      </c>
      <c r="T108" s="94">
        <v>79</v>
      </c>
      <c r="U108" s="94">
        <v>81</v>
      </c>
      <c r="V108" s="94">
        <v>70</v>
      </c>
      <c r="W108" s="94">
        <v>60</v>
      </c>
      <c r="X108" s="94">
        <v>51</v>
      </c>
      <c r="Y108" s="94">
        <v>57</v>
      </c>
      <c r="Z108" s="94">
        <v>57</v>
      </c>
      <c r="AA108" s="94">
        <v>57</v>
      </c>
      <c r="AB108" s="94">
        <v>77.8</v>
      </c>
      <c r="AC108" s="94">
        <v>80</v>
      </c>
      <c r="AD108" s="94">
        <v>83.5</v>
      </c>
      <c r="AE108" s="94">
        <v>83.5</v>
      </c>
      <c r="AF108" s="94">
        <v>9.3000000000000007</v>
      </c>
      <c r="AG108" s="108"/>
      <c r="AH108" s="48">
        <f t="shared" si="10"/>
        <v>94.9</v>
      </c>
      <c r="AI108" s="49">
        <f t="shared" si="11"/>
        <v>3.2</v>
      </c>
    </row>
    <row r="109" spans="1:37" ht="15.75" thickBot="1" x14ac:dyDescent="0.3">
      <c r="A109" s="109" t="s">
        <v>113</v>
      </c>
      <c r="B109" s="94">
        <v>95.4</v>
      </c>
      <c r="C109" s="94">
        <v>95</v>
      </c>
      <c r="D109" s="94">
        <v>93.7</v>
      </c>
      <c r="E109" s="94">
        <v>96.3</v>
      </c>
      <c r="F109" s="94">
        <v>93</v>
      </c>
      <c r="G109" s="94">
        <v>90.3</v>
      </c>
      <c r="H109" s="94">
        <v>91.6</v>
      </c>
      <c r="I109" s="94">
        <v>91.1</v>
      </c>
      <c r="J109" s="94">
        <v>85.2</v>
      </c>
      <c r="K109" s="94">
        <v>80</v>
      </c>
      <c r="L109" s="94">
        <v>38.9</v>
      </c>
      <c r="M109" s="94">
        <v>59.1</v>
      </c>
      <c r="N109" s="94">
        <v>72.2</v>
      </c>
      <c r="O109" s="94">
        <v>63.5</v>
      </c>
      <c r="P109" s="94">
        <v>72.099999999999994</v>
      </c>
      <c r="Q109" s="94">
        <v>79.400000000000006</v>
      </c>
      <c r="R109" s="94">
        <v>78</v>
      </c>
      <c r="S109" s="94">
        <v>76</v>
      </c>
      <c r="T109" s="94">
        <v>76</v>
      </c>
      <c r="U109" s="94">
        <v>74</v>
      </c>
      <c r="V109" s="94">
        <v>62</v>
      </c>
      <c r="W109" s="94">
        <v>63</v>
      </c>
      <c r="X109" s="94">
        <v>49</v>
      </c>
      <c r="Y109" s="94">
        <v>52</v>
      </c>
      <c r="Z109" s="94">
        <v>52</v>
      </c>
      <c r="AA109" s="94">
        <v>52</v>
      </c>
      <c r="AB109" s="94">
        <v>75</v>
      </c>
      <c r="AC109" s="94">
        <v>77.900000000000006</v>
      </c>
      <c r="AD109" s="94">
        <v>83.4</v>
      </c>
      <c r="AE109" s="94">
        <v>95</v>
      </c>
      <c r="AF109" s="94">
        <v>99.7</v>
      </c>
      <c r="AG109" s="108"/>
      <c r="AH109" s="48">
        <f t="shared" si="10"/>
        <v>99.7</v>
      </c>
      <c r="AI109" s="49">
        <f t="shared" si="11"/>
        <v>38.9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24">SUM(B111:B215)</f>
        <v>0</v>
      </c>
      <c r="C216" s="125">
        <f t="shared" si="24"/>
        <v>0</v>
      </c>
      <c r="D216" s="125">
        <f t="shared" si="24"/>
        <v>0</v>
      </c>
      <c r="E216" s="125">
        <f t="shared" si="24"/>
        <v>0</v>
      </c>
      <c r="F216" s="125">
        <f t="shared" si="24"/>
        <v>0</v>
      </c>
      <c r="G216" s="125">
        <f t="shared" si="24"/>
        <v>0</v>
      </c>
      <c r="H216" s="125">
        <f t="shared" si="24"/>
        <v>0</v>
      </c>
      <c r="I216" s="125">
        <f t="shared" si="24"/>
        <v>0</v>
      </c>
      <c r="J216" s="125">
        <f t="shared" si="24"/>
        <v>0</v>
      </c>
      <c r="K216" s="125">
        <f t="shared" si="24"/>
        <v>0</v>
      </c>
      <c r="L216" s="125">
        <f t="shared" si="24"/>
        <v>0</v>
      </c>
      <c r="M216" s="125">
        <f t="shared" si="24"/>
        <v>0</v>
      </c>
      <c r="N216" s="125">
        <f t="shared" si="24"/>
        <v>0</v>
      </c>
      <c r="O216" s="125">
        <f t="shared" si="24"/>
        <v>0</v>
      </c>
      <c r="P216" s="125">
        <f t="shared" si="24"/>
        <v>0</v>
      </c>
      <c r="Q216" s="125">
        <f t="shared" si="24"/>
        <v>0</v>
      </c>
      <c r="R216" s="125">
        <f t="shared" si="24"/>
        <v>0</v>
      </c>
      <c r="S216" s="125">
        <f t="shared" si="24"/>
        <v>0</v>
      </c>
      <c r="T216" s="125">
        <f t="shared" si="24"/>
        <v>0</v>
      </c>
      <c r="U216" s="125">
        <f t="shared" si="24"/>
        <v>0</v>
      </c>
      <c r="V216" s="125">
        <f t="shared" si="24"/>
        <v>0</v>
      </c>
      <c r="W216" s="125">
        <f t="shared" si="24"/>
        <v>0</v>
      </c>
      <c r="X216" s="125">
        <f t="shared" si="24"/>
        <v>0</v>
      </c>
      <c r="Y216" s="125">
        <f t="shared" si="24"/>
        <v>0</v>
      </c>
      <c r="Z216" s="125">
        <f t="shared" si="24"/>
        <v>0</v>
      </c>
      <c r="AA216" s="125">
        <f t="shared" si="24"/>
        <v>0</v>
      </c>
      <c r="AB216" s="125">
        <f t="shared" si="24"/>
        <v>0</v>
      </c>
      <c r="AC216" s="125">
        <f t="shared" si="24"/>
        <v>0</v>
      </c>
      <c r="AD216" s="125">
        <f t="shared" si="24"/>
        <v>0</v>
      </c>
      <c r="AE216" s="125">
        <f t="shared" si="24"/>
        <v>0</v>
      </c>
      <c r="AF216" s="126">
        <f t="shared" si="24"/>
        <v>0</v>
      </c>
      <c r="AG216" s="127">
        <f t="shared" si="24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25">AF218</f>
        <v>0</v>
      </c>
      <c r="C218" s="129">
        <v>0.3</v>
      </c>
      <c r="D218" s="129">
        <f t="shared" ref="D218:P223" si="26">C218</f>
        <v>0.3</v>
      </c>
      <c r="E218" s="129">
        <f t="shared" si="26"/>
        <v>0.3</v>
      </c>
      <c r="F218" s="129">
        <f t="shared" si="26"/>
        <v>0.3</v>
      </c>
      <c r="G218" s="129">
        <f t="shared" si="26"/>
        <v>0.3</v>
      </c>
      <c r="H218" s="129">
        <f t="shared" si="26"/>
        <v>0.3</v>
      </c>
      <c r="I218" s="129">
        <f t="shared" si="26"/>
        <v>0.3</v>
      </c>
      <c r="J218" s="129">
        <f t="shared" si="26"/>
        <v>0.3</v>
      </c>
      <c r="K218" s="129">
        <f t="shared" si="26"/>
        <v>0.3</v>
      </c>
      <c r="L218" s="129">
        <f t="shared" si="26"/>
        <v>0.3</v>
      </c>
      <c r="M218" s="129">
        <f t="shared" si="26"/>
        <v>0.3</v>
      </c>
      <c r="N218" s="129">
        <f t="shared" si="26"/>
        <v>0.3</v>
      </c>
      <c r="O218" s="129">
        <f t="shared" si="26"/>
        <v>0.3</v>
      </c>
      <c r="P218" s="129">
        <f t="shared" si="26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25"/>
        <v>0</v>
      </c>
      <c r="C219" s="117">
        <v>0.4</v>
      </c>
      <c r="D219" s="117">
        <f t="shared" si="26"/>
        <v>0.4</v>
      </c>
      <c r="E219" s="117">
        <f t="shared" si="26"/>
        <v>0.4</v>
      </c>
      <c r="F219" s="117">
        <f t="shared" si="26"/>
        <v>0.4</v>
      </c>
      <c r="G219" s="117">
        <f t="shared" si="26"/>
        <v>0.4</v>
      </c>
      <c r="H219" s="117">
        <f t="shared" si="26"/>
        <v>0.4</v>
      </c>
      <c r="I219" s="117">
        <f t="shared" si="26"/>
        <v>0.4</v>
      </c>
      <c r="J219" s="117">
        <f t="shared" si="26"/>
        <v>0.4</v>
      </c>
      <c r="K219" s="117">
        <f t="shared" si="26"/>
        <v>0.4</v>
      </c>
      <c r="L219" s="117">
        <f t="shared" si="26"/>
        <v>0.4</v>
      </c>
      <c r="M219" s="117">
        <f t="shared" si="26"/>
        <v>0.4</v>
      </c>
      <c r="N219" s="117">
        <f t="shared" si="26"/>
        <v>0.4</v>
      </c>
      <c r="O219" s="117">
        <f t="shared" si="26"/>
        <v>0.4</v>
      </c>
      <c r="P219" s="117">
        <f t="shared" si="26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25"/>
        <v>0</v>
      </c>
      <c r="C220" s="117">
        <v>1.5</v>
      </c>
      <c r="D220" s="117">
        <f t="shared" si="26"/>
        <v>1.5</v>
      </c>
      <c r="E220" s="117">
        <f t="shared" si="26"/>
        <v>1.5</v>
      </c>
      <c r="F220" s="117">
        <f t="shared" si="26"/>
        <v>1.5</v>
      </c>
      <c r="G220" s="117">
        <f t="shared" si="26"/>
        <v>1.5</v>
      </c>
      <c r="H220" s="117">
        <f t="shared" si="26"/>
        <v>1.5</v>
      </c>
      <c r="I220" s="117">
        <f t="shared" si="26"/>
        <v>1.5</v>
      </c>
      <c r="J220" s="117">
        <f t="shared" si="26"/>
        <v>1.5</v>
      </c>
      <c r="K220" s="117">
        <f t="shared" si="26"/>
        <v>1.5</v>
      </c>
      <c r="L220" s="117">
        <f t="shared" si="26"/>
        <v>1.5</v>
      </c>
      <c r="M220" s="117">
        <f t="shared" si="26"/>
        <v>1.5</v>
      </c>
      <c r="N220" s="117">
        <f t="shared" si="26"/>
        <v>1.5</v>
      </c>
      <c r="O220" s="117">
        <f t="shared" si="26"/>
        <v>1.5</v>
      </c>
      <c r="P220" s="117">
        <f t="shared" si="26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25"/>
        <v>0</v>
      </c>
      <c r="C221" s="117">
        <v>0.3</v>
      </c>
      <c r="D221" s="117">
        <f t="shared" si="26"/>
        <v>0.3</v>
      </c>
      <c r="E221" s="117">
        <f t="shared" si="26"/>
        <v>0.3</v>
      </c>
      <c r="F221" s="117">
        <f t="shared" si="26"/>
        <v>0.3</v>
      </c>
      <c r="G221" s="117">
        <f t="shared" si="26"/>
        <v>0.3</v>
      </c>
      <c r="H221" s="117">
        <f t="shared" si="26"/>
        <v>0.3</v>
      </c>
      <c r="I221" s="117">
        <f t="shared" si="26"/>
        <v>0.3</v>
      </c>
      <c r="J221" s="117">
        <f t="shared" si="26"/>
        <v>0.3</v>
      </c>
      <c r="K221" s="117">
        <f t="shared" si="26"/>
        <v>0.3</v>
      </c>
      <c r="L221" s="117">
        <f t="shared" si="26"/>
        <v>0.3</v>
      </c>
      <c r="M221" s="117">
        <f t="shared" si="26"/>
        <v>0.3</v>
      </c>
      <c r="N221" s="117">
        <f t="shared" si="26"/>
        <v>0.3</v>
      </c>
      <c r="O221" s="117">
        <f t="shared" si="26"/>
        <v>0.3</v>
      </c>
      <c r="P221" s="117">
        <f t="shared" si="26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25"/>
        <v>0</v>
      </c>
      <c r="C222" s="117">
        <v>0.4</v>
      </c>
      <c r="D222" s="117">
        <f t="shared" si="26"/>
        <v>0.4</v>
      </c>
      <c r="E222" s="117">
        <f t="shared" si="26"/>
        <v>0.4</v>
      </c>
      <c r="F222" s="117">
        <f t="shared" si="26"/>
        <v>0.4</v>
      </c>
      <c r="G222" s="117">
        <f t="shared" si="26"/>
        <v>0.4</v>
      </c>
      <c r="H222" s="117">
        <f t="shared" si="26"/>
        <v>0.4</v>
      </c>
      <c r="I222" s="117">
        <f t="shared" si="26"/>
        <v>0.4</v>
      </c>
      <c r="J222" s="117">
        <f t="shared" si="26"/>
        <v>0.4</v>
      </c>
      <c r="K222" s="117">
        <f t="shared" si="26"/>
        <v>0.4</v>
      </c>
      <c r="L222" s="117">
        <f t="shared" si="26"/>
        <v>0.4</v>
      </c>
      <c r="M222" s="117">
        <f t="shared" si="26"/>
        <v>0.4</v>
      </c>
      <c r="N222" s="117">
        <f t="shared" si="26"/>
        <v>0.4</v>
      </c>
      <c r="O222" s="117">
        <f t="shared" si="26"/>
        <v>0.4</v>
      </c>
      <c r="P222" s="117">
        <f t="shared" si="26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25"/>
        <v>0</v>
      </c>
      <c r="C223" s="121">
        <v>0.64</v>
      </c>
      <c r="D223" s="121">
        <f t="shared" si="26"/>
        <v>0.64</v>
      </c>
      <c r="E223" s="121">
        <f t="shared" si="26"/>
        <v>0.64</v>
      </c>
      <c r="F223" s="121">
        <f t="shared" si="26"/>
        <v>0.64</v>
      </c>
      <c r="G223" s="121">
        <f t="shared" si="26"/>
        <v>0.64</v>
      </c>
      <c r="H223" s="121">
        <f t="shared" si="26"/>
        <v>0.64</v>
      </c>
      <c r="I223" s="121">
        <f t="shared" si="26"/>
        <v>0.64</v>
      </c>
      <c r="J223" s="121">
        <f t="shared" si="26"/>
        <v>0.64</v>
      </c>
      <c r="K223" s="121">
        <f t="shared" si="26"/>
        <v>0.64</v>
      </c>
      <c r="L223" s="121">
        <f t="shared" si="26"/>
        <v>0.64</v>
      </c>
      <c r="M223" s="121">
        <f t="shared" si="26"/>
        <v>0.64</v>
      </c>
      <c r="N223" s="121">
        <f t="shared" si="26"/>
        <v>0.64</v>
      </c>
      <c r="O223" s="121">
        <f t="shared" si="26"/>
        <v>0.64</v>
      </c>
      <c r="P223" s="121">
        <f t="shared" si="26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7">SUM(B218:B223)</f>
        <v>0</v>
      </c>
      <c r="C224" s="125">
        <f t="shared" si="27"/>
        <v>3.54</v>
      </c>
      <c r="D224" s="125">
        <f t="shared" si="27"/>
        <v>3.54</v>
      </c>
      <c r="E224" s="125">
        <f t="shared" si="27"/>
        <v>3.54</v>
      </c>
      <c r="F224" s="125">
        <f t="shared" si="27"/>
        <v>3.54</v>
      </c>
      <c r="G224" s="125">
        <f t="shared" si="27"/>
        <v>3.54</v>
      </c>
      <c r="H224" s="125">
        <f t="shared" si="27"/>
        <v>3.54</v>
      </c>
      <c r="I224" s="125">
        <f t="shared" si="27"/>
        <v>3.54</v>
      </c>
      <c r="J224" s="125">
        <f t="shared" si="27"/>
        <v>3.54</v>
      </c>
      <c r="K224" s="125">
        <f t="shared" si="27"/>
        <v>3.54</v>
      </c>
      <c r="L224" s="125">
        <f t="shared" si="27"/>
        <v>3.54</v>
      </c>
      <c r="M224" s="125">
        <f t="shared" si="27"/>
        <v>3.54</v>
      </c>
      <c r="N224" s="125">
        <f t="shared" si="27"/>
        <v>3.54</v>
      </c>
      <c r="O224" s="125">
        <f t="shared" si="27"/>
        <v>3.54</v>
      </c>
      <c r="P224" s="125">
        <f t="shared" si="27"/>
        <v>3.54</v>
      </c>
      <c r="Q224" s="125">
        <f t="shared" si="27"/>
        <v>0</v>
      </c>
      <c r="R224" s="125">
        <f t="shared" si="27"/>
        <v>0</v>
      </c>
      <c r="S224" s="125">
        <f t="shared" si="27"/>
        <v>0</v>
      </c>
      <c r="T224" s="125">
        <f t="shared" si="27"/>
        <v>0</v>
      </c>
      <c r="U224" s="125">
        <f t="shared" si="27"/>
        <v>0</v>
      </c>
      <c r="V224" s="125">
        <f t="shared" si="27"/>
        <v>0</v>
      </c>
      <c r="W224" s="125">
        <f t="shared" si="27"/>
        <v>0</v>
      </c>
      <c r="X224" s="125">
        <f t="shared" si="27"/>
        <v>0</v>
      </c>
      <c r="Y224" s="125">
        <f t="shared" si="27"/>
        <v>0</v>
      </c>
      <c r="Z224" s="125">
        <f t="shared" si="27"/>
        <v>0</v>
      </c>
      <c r="AA224" s="125">
        <f t="shared" si="27"/>
        <v>0</v>
      </c>
      <c r="AB224" s="125">
        <f t="shared" si="27"/>
        <v>0</v>
      </c>
      <c r="AC224" s="125">
        <f t="shared" si="27"/>
        <v>0</v>
      </c>
      <c r="AD224" s="125">
        <f t="shared" si="27"/>
        <v>0</v>
      </c>
      <c r="AE224" s="125">
        <f t="shared" si="27"/>
        <v>0</v>
      </c>
      <c r="AF224" s="125">
        <f t="shared" si="27"/>
        <v>0</v>
      </c>
      <c r="AG224" s="134">
        <f t="shared" si="27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1606.04</v>
      </c>
      <c r="C233" s="150">
        <f>INDEX(G9:N9,1,MATCH(MAX(G81:N81),G81:N81,0))</f>
        <v>0.3125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2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2079/06/2)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2079/06/2)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28">B81</f>
        <v>1392.24</v>
      </c>
      <c r="U238" s="159">
        <f t="shared" si="28"/>
        <v>1386.04</v>
      </c>
      <c r="V238" s="159">
        <f t="shared" si="28"/>
        <v>1347.64</v>
      </c>
      <c r="W238" s="159">
        <f t="shared" si="28"/>
        <v>1341.3400000000001</v>
      </c>
      <c r="X238" s="159">
        <f t="shared" si="28"/>
        <v>1333.14</v>
      </c>
      <c r="Y238" s="159">
        <f t="shared" si="28"/>
        <v>1337.94</v>
      </c>
      <c r="Z238" s="159">
        <f t="shared" si="28"/>
        <v>1430.14</v>
      </c>
      <c r="AA238" s="159">
        <f t="shared" si="28"/>
        <v>1453.14</v>
      </c>
      <c r="AB238" s="159">
        <f t="shared" si="28"/>
        <v>1453.04</v>
      </c>
      <c r="AC238" s="159">
        <f t="shared" si="28"/>
        <v>1546.04</v>
      </c>
      <c r="AD238" s="159">
        <f t="shared" si="28"/>
        <v>1606.04</v>
      </c>
      <c r="AE238" s="159">
        <f t="shared" si="28"/>
        <v>1575.64</v>
      </c>
      <c r="AF238" s="159">
        <f t="shared" si="28"/>
        <v>1568.14</v>
      </c>
      <c r="AG238" s="159">
        <f t="shared" si="28"/>
        <v>1546.64</v>
      </c>
      <c r="AH238" s="159">
        <f t="shared" si="28"/>
        <v>1521.64</v>
      </c>
      <c r="AI238" s="159">
        <f t="shared" si="28"/>
        <v>1521.64</v>
      </c>
      <c r="AJ238" s="159">
        <f t="shared" si="28"/>
        <v>1471.64</v>
      </c>
      <c r="AK238" s="159">
        <f t="shared" si="28"/>
        <v>1480.94</v>
      </c>
      <c r="AL238" s="159">
        <f t="shared" si="28"/>
        <v>1491.94</v>
      </c>
      <c r="AM238" s="159">
        <f t="shared" si="28"/>
        <v>1552.94</v>
      </c>
      <c r="AN238" s="159">
        <f t="shared" si="28"/>
        <v>1515.94</v>
      </c>
      <c r="AO238" s="159">
        <f t="shared" si="28"/>
        <v>1547.1399999999999</v>
      </c>
      <c r="AP238" s="159">
        <f t="shared" si="28"/>
        <v>1637.1399999999999</v>
      </c>
      <c r="AQ238" s="159">
        <f t="shared" si="28"/>
        <v>1663.1399999999999</v>
      </c>
      <c r="AR238" s="159">
        <f t="shared" si="28"/>
        <v>1663.1399999999999</v>
      </c>
      <c r="AS238" s="159">
        <f t="shared" si="28"/>
        <v>1612.1399999999999</v>
      </c>
      <c r="AT238" s="159">
        <f t="shared" si="28"/>
        <v>1592.7399999999998</v>
      </c>
      <c r="AU238" s="159">
        <f t="shared" si="28"/>
        <v>1557.64</v>
      </c>
      <c r="AV238" s="159">
        <f t="shared" si="28"/>
        <v>1527.64</v>
      </c>
      <c r="AW238" s="159">
        <f t="shared" si="28"/>
        <v>1405.74</v>
      </c>
      <c r="AX238" s="159">
        <f t="shared" si="28"/>
        <v>1410.8400000000001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29">C223</f>
        <v>0.64</v>
      </c>
      <c r="C259" s="162">
        <f t="shared" si="29"/>
        <v>0.64</v>
      </c>
      <c r="D259" s="162">
        <f t="shared" si="29"/>
        <v>0.64</v>
      </c>
      <c r="E259" s="162">
        <f t="shared" si="29"/>
        <v>0.64</v>
      </c>
      <c r="F259" s="162">
        <f t="shared" si="29"/>
        <v>0.64</v>
      </c>
      <c r="G259" s="162">
        <f t="shared" si="29"/>
        <v>0.64</v>
      </c>
      <c r="H259" s="162">
        <f t="shared" si="29"/>
        <v>0.64</v>
      </c>
      <c r="I259" s="162">
        <f t="shared" si="29"/>
        <v>0.64</v>
      </c>
      <c r="J259" s="162">
        <f t="shared" si="29"/>
        <v>0.64</v>
      </c>
      <c r="K259" s="162">
        <f t="shared" si="29"/>
        <v>0.64</v>
      </c>
      <c r="L259" s="162">
        <f t="shared" si="29"/>
        <v>0.64</v>
      </c>
      <c r="M259" s="162">
        <f t="shared" si="29"/>
        <v>0.64</v>
      </c>
      <c r="N259" s="162">
        <f t="shared" si="29"/>
        <v>0.64</v>
      </c>
      <c r="O259" s="162">
        <f t="shared" si="29"/>
        <v>0.64</v>
      </c>
      <c r="P259" s="162">
        <f t="shared" si="29"/>
        <v>0</v>
      </c>
      <c r="Q259" s="162">
        <f t="shared" si="29"/>
        <v>0</v>
      </c>
      <c r="R259" s="162">
        <f t="shared" si="29"/>
        <v>0</v>
      </c>
      <c r="S259" s="162">
        <f t="shared" si="29"/>
        <v>0</v>
      </c>
      <c r="T259" s="162">
        <f t="shared" si="29"/>
        <v>0</v>
      </c>
      <c r="U259" s="162">
        <f t="shared" si="29"/>
        <v>0</v>
      </c>
      <c r="V259" s="162">
        <f t="shared" si="29"/>
        <v>0</v>
      </c>
      <c r="W259" s="162">
        <f t="shared" si="29"/>
        <v>0</v>
      </c>
      <c r="X259" s="162">
        <f t="shared" si="29"/>
        <v>0</v>
      </c>
      <c r="Y259" s="162">
        <f t="shared" si="29"/>
        <v>0</v>
      </c>
      <c r="Z259" s="162">
        <f t="shared" si="29"/>
        <v>0</v>
      </c>
      <c r="AA259" s="162">
        <f t="shared" si="29"/>
        <v>0</v>
      </c>
      <c r="AB259" s="162">
        <f t="shared" si="29"/>
        <v>0</v>
      </c>
      <c r="AC259" s="162">
        <f t="shared" si="29"/>
        <v>0</v>
      </c>
      <c r="AD259" s="162">
        <f t="shared" si="29"/>
        <v>0</v>
      </c>
      <c r="AE259" s="162">
        <f t="shared" si="29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30">IF(B227&lt;100,"",B227-520)</f>
        <v/>
      </c>
      <c r="C260" s="163" t="str">
        <f t="shared" si="30"/>
        <v/>
      </c>
      <c r="D260" s="163" t="str">
        <f t="shared" si="30"/>
        <v/>
      </c>
      <c r="E260" s="163" t="str">
        <f t="shared" si="30"/>
        <v/>
      </c>
      <c r="F260" s="163" t="str">
        <f t="shared" si="30"/>
        <v/>
      </c>
      <c r="G260" s="163" t="str">
        <f t="shared" si="30"/>
        <v/>
      </c>
      <c r="H260" s="163" t="str">
        <f t="shared" si="30"/>
        <v/>
      </c>
      <c r="I260" s="163" t="str">
        <f t="shared" si="30"/>
        <v/>
      </c>
      <c r="J260" s="163" t="str">
        <f t="shared" si="30"/>
        <v/>
      </c>
      <c r="K260" s="163" t="str">
        <f t="shared" si="30"/>
        <v/>
      </c>
      <c r="L260" s="163" t="str">
        <f t="shared" si="30"/>
        <v/>
      </c>
      <c r="M260" s="163" t="str">
        <f t="shared" si="30"/>
        <v/>
      </c>
      <c r="N260" s="163" t="str">
        <f t="shared" si="30"/>
        <v/>
      </c>
      <c r="O260" s="163" t="str">
        <f t="shared" si="30"/>
        <v/>
      </c>
      <c r="P260" s="163" t="str">
        <f t="shared" si="30"/>
        <v/>
      </c>
      <c r="Q260" s="163" t="str">
        <f t="shared" si="30"/>
        <v/>
      </c>
      <c r="R260" s="163" t="str">
        <f t="shared" si="30"/>
        <v/>
      </c>
      <c r="S260" s="163" t="str">
        <f t="shared" si="30"/>
        <v/>
      </c>
      <c r="T260" s="163" t="str">
        <f t="shared" si="30"/>
        <v/>
      </c>
      <c r="U260" s="163" t="str">
        <f t="shared" si="30"/>
        <v/>
      </c>
      <c r="V260" s="163" t="str">
        <f t="shared" si="30"/>
        <v/>
      </c>
      <c r="W260" s="163" t="str">
        <f t="shared" si="30"/>
        <v/>
      </c>
      <c r="X260" s="163" t="str">
        <f t="shared" si="30"/>
        <v/>
      </c>
      <c r="Y260" s="163" t="str">
        <f t="shared" si="30"/>
        <v/>
      </c>
      <c r="Z260" s="163" t="str">
        <f t="shared" si="30"/>
        <v/>
      </c>
      <c r="AA260" s="163" t="str">
        <f t="shared" si="30"/>
        <v/>
      </c>
      <c r="AB260" s="163" t="str">
        <f t="shared" si="30"/>
        <v/>
      </c>
      <c r="AC260" s="163" t="str">
        <f t="shared" si="30"/>
        <v/>
      </c>
      <c r="AD260" s="163" t="str">
        <f t="shared" si="30"/>
        <v/>
      </c>
      <c r="AE260" s="163" t="str">
        <f t="shared" si="30"/>
        <v/>
      </c>
      <c r="AF260" s="163" t="str">
        <f t="shared" si="30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31">IF(B228&lt;100,"",B228-620)</f>
        <v/>
      </c>
      <c r="C261" s="163" t="str">
        <f t="shared" si="31"/>
        <v/>
      </c>
      <c r="D261" s="163" t="str">
        <f t="shared" si="31"/>
        <v/>
      </c>
      <c r="E261" s="163" t="str">
        <f t="shared" si="31"/>
        <v/>
      </c>
      <c r="F261" s="163" t="str">
        <f t="shared" si="31"/>
        <v/>
      </c>
      <c r="G261" s="163" t="str">
        <f t="shared" si="31"/>
        <v/>
      </c>
      <c r="H261" s="163" t="str">
        <f t="shared" si="31"/>
        <v/>
      </c>
      <c r="I261" s="163" t="str">
        <f t="shared" si="31"/>
        <v/>
      </c>
      <c r="J261" s="163" t="str">
        <f t="shared" si="31"/>
        <v/>
      </c>
      <c r="K261" s="163" t="str">
        <f t="shared" si="31"/>
        <v/>
      </c>
      <c r="L261" s="163" t="str">
        <f t="shared" si="31"/>
        <v/>
      </c>
      <c r="M261" s="163" t="str">
        <f t="shared" si="31"/>
        <v/>
      </c>
      <c r="N261" s="163" t="str">
        <f t="shared" si="31"/>
        <v/>
      </c>
      <c r="O261" s="163" t="str">
        <f t="shared" si="31"/>
        <v/>
      </c>
      <c r="P261" s="163" t="str">
        <f t="shared" si="31"/>
        <v/>
      </c>
      <c r="Q261" s="163" t="str">
        <f t="shared" si="31"/>
        <v/>
      </c>
      <c r="R261" s="163" t="str">
        <f t="shared" si="31"/>
        <v/>
      </c>
      <c r="S261" s="163" t="str">
        <f t="shared" si="31"/>
        <v/>
      </c>
      <c r="T261" s="163" t="str">
        <f t="shared" si="31"/>
        <v/>
      </c>
      <c r="U261" s="163" t="str">
        <f t="shared" si="31"/>
        <v/>
      </c>
      <c r="V261" s="163" t="str">
        <f t="shared" si="31"/>
        <v/>
      </c>
      <c r="W261" s="163" t="str">
        <f t="shared" si="31"/>
        <v/>
      </c>
      <c r="X261" s="163" t="str">
        <f t="shared" si="31"/>
        <v/>
      </c>
      <c r="Y261" s="163" t="str">
        <f t="shared" si="31"/>
        <v/>
      </c>
      <c r="Z261" s="163" t="str">
        <f t="shared" si="31"/>
        <v/>
      </c>
      <c r="AA261" s="163" t="str">
        <f t="shared" si="31"/>
        <v/>
      </c>
      <c r="AB261" s="163" t="str">
        <f t="shared" si="31"/>
        <v/>
      </c>
      <c r="AC261" s="163" t="str">
        <f t="shared" si="31"/>
        <v/>
      </c>
      <c r="AD261" s="163" t="str">
        <f t="shared" si="31"/>
        <v/>
      </c>
      <c r="AE261" s="163" t="str">
        <f t="shared" si="31"/>
        <v/>
      </c>
      <c r="AF261" s="163" t="str">
        <f t="shared" si="31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2">IF(B229&lt;100,"",B229-330)</f>
        <v/>
      </c>
      <c r="C262" s="163" t="str">
        <f t="shared" si="32"/>
        <v/>
      </c>
      <c r="D262" s="163" t="str">
        <f t="shared" si="32"/>
        <v/>
      </c>
      <c r="E262" s="163" t="str">
        <f t="shared" si="32"/>
        <v/>
      </c>
      <c r="F262" s="163" t="str">
        <f t="shared" si="32"/>
        <v/>
      </c>
      <c r="G262" s="163" t="str">
        <f t="shared" si="32"/>
        <v/>
      </c>
      <c r="H262" s="163" t="str">
        <f t="shared" si="32"/>
        <v/>
      </c>
      <c r="I262" s="163" t="str">
        <f t="shared" si="32"/>
        <v/>
      </c>
      <c r="J262" s="163" t="str">
        <f t="shared" si="32"/>
        <v/>
      </c>
      <c r="K262" s="163" t="str">
        <f t="shared" si="32"/>
        <v/>
      </c>
      <c r="L262" s="163" t="str">
        <f t="shared" si="32"/>
        <v/>
      </c>
      <c r="M262" s="163" t="str">
        <f t="shared" si="32"/>
        <v/>
      </c>
      <c r="N262" s="163" t="str">
        <f t="shared" si="32"/>
        <v/>
      </c>
      <c r="O262" s="163" t="str">
        <f t="shared" si="32"/>
        <v/>
      </c>
      <c r="P262" s="163" t="str">
        <f t="shared" si="32"/>
        <v/>
      </c>
      <c r="Q262" s="163" t="str">
        <f t="shared" si="32"/>
        <v/>
      </c>
      <c r="R262" s="163" t="str">
        <f t="shared" si="32"/>
        <v/>
      </c>
      <c r="S262" s="163" t="str">
        <f t="shared" si="32"/>
        <v/>
      </c>
      <c r="T262" s="163" t="str">
        <f t="shared" si="32"/>
        <v/>
      </c>
      <c r="U262" s="163" t="str">
        <f t="shared" si="32"/>
        <v/>
      </c>
      <c r="V262" s="163" t="str">
        <f t="shared" si="32"/>
        <v/>
      </c>
      <c r="W262" s="163" t="str">
        <f t="shared" si="32"/>
        <v/>
      </c>
      <c r="X262" s="163" t="str">
        <f t="shared" si="32"/>
        <v/>
      </c>
      <c r="Y262" s="163" t="str">
        <f t="shared" si="32"/>
        <v/>
      </c>
      <c r="Z262" s="163" t="str">
        <f t="shared" si="32"/>
        <v/>
      </c>
      <c r="AA262" s="163" t="str">
        <f t="shared" si="32"/>
        <v/>
      </c>
      <c r="AB262" s="163" t="str">
        <f t="shared" si="32"/>
        <v/>
      </c>
      <c r="AC262" s="163" t="str">
        <f t="shared" si="32"/>
        <v/>
      </c>
      <c r="AD262" s="163" t="str">
        <f t="shared" si="32"/>
        <v/>
      </c>
      <c r="AE262" s="163" t="str">
        <f t="shared" si="32"/>
        <v/>
      </c>
      <c r="AF262" s="163" t="str">
        <f t="shared" si="32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3">IF(B230&lt;100,"",B230-1500)</f>
        <v/>
      </c>
      <c r="C263" s="163" t="str">
        <f t="shared" si="33"/>
        <v/>
      </c>
      <c r="D263" s="163" t="str">
        <f t="shared" si="33"/>
        <v/>
      </c>
      <c r="E263" s="163" t="str">
        <f t="shared" si="33"/>
        <v/>
      </c>
      <c r="F263" s="163" t="str">
        <f t="shared" si="33"/>
        <v/>
      </c>
      <c r="G263" s="163" t="str">
        <f t="shared" si="33"/>
        <v/>
      </c>
      <c r="H263" s="163" t="str">
        <f t="shared" si="33"/>
        <v/>
      </c>
      <c r="I263" s="163" t="str">
        <f t="shared" si="33"/>
        <v/>
      </c>
      <c r="J263" s="163" t="str">
        <f t="shared" si="33"/>
        <v/>
      </c>
      <c r="K263" s="163" t="str">
        <f t="shared" si="33"/>
        <v/>
      </c>
      <c r="L263" s="163" t="str">
        <f t="shared" si="33"/>
        <v/>
      </c>
      <c r="M263" s="163" t="str">
        <f t="shared" si="33"/>
        <v/>
      </c>
      <c r="N263" s="163" t="str">
        <f t="shared" si="33"/>
        <v/>
      </c>
      <c r="O263" s="163" t="str">
        <f t="shared" si="33"/>
        <v/>
      </c>
      <c r="P263" s="163" t="str">
        <f t="shared" si="33"/>
        <v/>
      </c>
      <c r="Q263" s="163" t="str">
        <f t="shared" si="33"/>
        <v/>
      </c>
      <c r="R263" s="163" t="str">
        <f t="shared" si="33"/>
        <v/>
      </c>
      <c r="S263" s="163" t="str">
        <f t="shared" si="33"/>
        <v/>
      </c>
      <c r="T263" s="163" t="str">
        <f t="shared" si="33"/>
        <v/>
      </c>
      <c r="U263" s="163" t="str">
        <f t="shared" si="33"/>
        <v/>
      </c>
      <c r="V263" s="163" t="str">
        <f t="shared" si="33"/>
        <v/>
      </c>
      <c r="W263" s="163" t="str">
        <f t="shared" si="33"/>
        <v/>
      </c>
      <c r="X263" s="163" t="str">
        <f t="shared" si="33"/>
        <v/>
      </c>
      <c r="Y263" s="163" t="str">
        <f t="shared" si="33"/>
        <v/>
      </c>
      <c r="Z263" s="163" t="str">
        <f t="shared" si="33"/>
        <v/>
      </c>
      <c r="AA263" s="163" t="str">
        <f t="shared" si="33"/>
        <v/>
      </c>
      <c r="AB263" s="163" t="str">
        <f t="shared" si="33"/>
        <v/>
      </c>
      <c r="AC263" s="163" t="str">
        <f t="shared" si="33"/>
        <v/>
      </c>
      <c r="AD263" s="163" t="str">
        <f t="shared" si="33"/>
        <v/>
      </c>
      <c r="AE263" s="163" t="str">
        <f t="shared" si="33"/>
        <v/>
      </c>
      <c r="AF263" s="163" t="str">
        <f t="shared" si="33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A11:A225">
    <cfRule type="expression" dxfId="2092" priority="16">
      <formula>$AH11=0</formula>
    </cfRule>
  </conditionalFormatting>
  <conditionalFormatting sqref="B8 M8 S8 AB8">
    <cfRule type="expression" dxfId="2091" priority="248">
      <formula>C$9&lt;8/24</formula>
    </cfRule>
    <cfRule type="expression" dxfId="2090" priority="246">
      <formula>AND(C$9&gt;=14/24,C$9&lt;20/24)</formula>
    </cfRule>
    <cfRule type="expression" dxfId="2089" priority="247">
      <formula>AND(C$9&gt;=8/24,C$9&lt;14/24)</formula>
    </cfRule>
  </conditionalFormatting>
  <conditionalFormatting sqref="B9:AF11">
    <cfRule type="expression" dxfId="2088" priority="142">
      <formula>AND(B$9&gt;=14/24,B$9&lt;20/24)</formula>
    </cfRule>
    <cfRule type="expression" dxfId="2087" priority="144">
      <formula>B$9&lt;8/24</formula>
    </cfRule>
    <cfRule type="expression" dxfId="2086" priority="143">
      <formula>AND(B$9&gt;=8/24,B$9&lt;14/24)</formula>
    </cfRule>
    <cfRule type="expression" dxfId="2085" priority="141">
      <formula>B$9&gt;=20/24</formula>
    </cfRule>
  </conditionalFormatting>
  <conditionalFormatting sqref="B11:AF16">
    <cfRule type="expression" dxfId="2084" priority="136">
      <formula>B11&gt;$AG11</formula>
    </cfRule>
  </conditionalFormatting>
  <conditionalFormatting sqref="B12:AF15">
    <cfRule type="expression" dxfId="2083" priority="107">
      <formula>AND(B$9&gt;=14/24,B$9&lt;20/24)</formula>
    </cfRule>
    <cfRule type="expression" dxfId="2082" priority="106">
      <formula>B$9&gt;=20/24</formula>
    </cfRule>
    <cfRule type="expression" dxfId="2081" priority="108">
      <formula>AND(B$9&gt;=8/24,B$9&lt;14/24)</formula>
    </cfRule>
    <cfRule type="expression" dxfId="2080" priority="109">
      <formula>B$9&lt;8/24</formula>
    </cfRule>
  </conditionalFormatting>
  <conditionalFormatting sqref="B16:AF16 B216:AF216 B218:B224 D218:AF224 U237:AF237">
    <cfRule type="expression" dxfId="2079" priority="242">
      <formula>B$9&lt;8/24</formula>
    </cfRule>
    <cfRule type="expression" dxfId="2078" priority="241">
      <formula>AND(B$9&gt;=8/24,B$9&lt;14/24)</formula>
    </cfRule>
    <cfRule type="expression" dxfId="2077" priority="240">
      <formula>AND(B$9&gt;=14/24,B$9&lt;20/24)</formula>
    </cfRule>
    <cfRule type="expression" dxfId="2076" priority="239">
      <formula>B$9&gt;=20/24</formula>
    </cfRule>
  </conditionalFormatting>
  <conditionalFormatting sqref="B17:AF17">
    <cfRule type="expression" dxfId="2075" priority="20">
      <formula>AND(B$9&gt;=8/24,B$9&lt;14/24)</formula>
    </cfRule>
    <cfRule type="expression" dxfId="2074" priority="21">
      <formula>B$9&lt;8/24</formula>
    </cfRule>
    <cfRule type="expression" dxfId="2073" priority="27">
      <formula>B17&gt;$AG17</formula>
    </cfRule>
    <cfRule type="expression" dxfId="2072" priority="19">
      <formula>AND(B$9&gt;=14/24,B$9&lt;20/24)</formula>
    </cfRule>
    <cfRule type="expression" dxfId="2071" priority="18">
      <formula>B$9&gt;=20/24</formula>
    </cfRule>
  </conditionalFormatting>
  <conditionalFormatting sqref="B18:AF18">
    <cfRule type="expression" dxfId="2070" priority="233">
      <formula>B18&gt;$AG18</formula>
    </cfRule>
  </conditionalFormatting>
  <conditionalFormatting sqref="B18:AF24">
    <cfRule type="expression" dxfId="2069" priority="91">
      <formula>B$9&lt;8/24</formula>
    </cfRule>
    <cfRule type="expression" dxfId="2068" priority="89">
      <formula>AND(B$9&gt;=14/24,B$9&lt;20/24)</formula>
    </cfRule>
    <cfRule type="expression" dxfId="2067" priority="90">
      <formula>AND(B$9&gt;=8/24,B$9&lt;14/24)</formula>
    </cfRule>
    <cfRule type="expression" dxfId="2066" priority="88">
      <formula>B$9&gt;=20/24</formula>
    </cfRule>
  </conditionalFormatting>
  <conditionalFormatting sqref="B19:AF24">
    <cfRule type="expression" dxfId="2065" priority="87">
      <formula>B19&gt;$AG19</formula>
    </cfRule>
  </conditionalFormatting>
  <conditionalFormatting sqref="B25:AF27 B29:AF29 C59:AF61 B59:B62 C62:AG62 B75:B79 C79:AG79 B80:AF81">
    <cfRule type="expression" dxfId="2064" priority="120">
      <formula>AND(B$9&gt;=14/24,B$9&lt;20/24)</formula>
    </cfRule>
    <cfRule type="expression" dxfId="2063" priority="122">
      <formula>B$9&lt;8/24</formula>
    </cfRule>
    <cfRule type="expression" dxfId="2062" priority="121">
      <formula>AND(B$9&gt;=8/24,B$9&lt;14/24)</formula>
    </cfRule>
    <cfRule type="expression" dxfId="2061" priority="119">
      <formula>B$9&gt;=20/24</formula>
    </cfRule>
  </conditionalFormatting>
  <conditionalFormatting sqref="B25:AF29 B40:AG40 C57:AG58 B57:B62 C59:AF61 C62:AG62">
    <cfRule type="expression" dxfId="2060" priority="114">
      <formula>B25&gt;$AG25</formula>
    </cfRule>
  </conditionalFormatting>
  <conditionalFormatting sqref="B28:AF28">
    <cfRule type="expression" dxfId="2059" priority="92">
      <formula>B$9&gt;=20/24</formula>
    </cfRule>
    <cfRule type="expression" dxfId="2058" priority="93">
      <formula>AND(B$9&gt;=14/24,B$9&lt;20/24)</formula>
    </cfRule>
    <cfRule type="expression" dxfId="2057" priority="95">
      <formula>B$9&lt;8/24</formula>
    </cfRule>
    <cfRule type="expression" dxfId="2056" priority="94">
      <formula>AND(B$9&gt;=8/24,B$9&lt;14/24)</formula>
    </cfRule>
  </conditionalFormatting>
  <conditionalFormatting sqref="B30:AF36">
    <cfRule type="expression" dxfId="2055" priority="1">
      <formula>B30&gt;$AG30</formula>
    </cfRule>
  </conditionalFormatting>
  <conditionalFormatting sqref="B30:AF37">
    <cfRule type="expression" dxfId="2054" priority="3">
      <formula>AND(B$9&gt;=14/24,B$9&lt;20/24)</formula>
    </cfRule>
    <cfRule type="expression" dxfId="2053" priority="4">
      <formula>AND(B$9&gt;=8/24,B$9&lt;14/24)</formula>
    </cfRule>
    <cfRule type="expression" dxfId="2052" priority="5">
      <formula>B$9&lt;8/24</formula>
    </cfRule>
    <cfRule type="expression" dxfId="2051" priority="2">
      <formula>B$9&gt;=20/24</formula>
    </cfRule>
  </conditionalFormatting>
  <conditionalFormatting sqref="B37:AF39">
    <cfRule type="expression" dxfId="2050" priority="123">
      <formula>B37&gt;$AG37</formula>
    </cfRule>
  </conditionalFormatting>
  <conditionalFormatting sqref="B38:AF39">
    <cfRule type="expression" dxfId="2049" priority="131">
      <formula>B$9&lt;8/24</formula>
    </cfRule>
    <cfRule type="expression" dxfId="2048" priority="130">
      <formula>AND(B$9&gt;=8/24,B$9&lt;14/24)</formula>
    </cfRule>
    <cfRule type="expression" dxfId="2047" priority="128">
      <formula>B$9&gt;=20/24</formula>
    </cfRule>
    <cfRule type="expression" dxfId="2046" priority="129">
      <formula>AND(B$9&gt;=14/24,B$9&lt;20/24)</formula>
    </cfRule>
  </conditionalFormatting>
  <conditionalFormatting sqref="B45:AF47">
    <cfRule type="expression" dxfId="2045" priority="124">
      <formula>B$9&gt;=20/24</formula>
    </cfRule>
    <cfRule type="expression" dxfId="2044" priority="125">
      <formula>AND(B$9&gt;=14/24,B$9&lt;20/24)</formula>
    </cfRule>
    <cfRule type="expression" dxfId="2043" priority="126">
      <formula>AND(B$9&gt;=8/24,B$9&lt;14/24)</formula>
    </cfRule>
    <cfRule type="expression" dxfId="2042" priority="127">
      <formula>B$9&lt;8/24</formula>
    </cfRule>
  </conditionalFormatting>
  <conditionalFormatting sqref="B45:AF56">
    <cfRule type="expression" dxfId="2041" priority="96">
      <formula>B45&gt;$AG45</formula>
    </cfRule>
  </conditionalFormatting>
  <conditionalFormatting sqref="B50:AF56">
    <cfRule type="expression" dxfId="2040" priority="97">
      <formula>B$9&gt;=20/24</formula>
    </cfRule>
    <cfRule type="expression" dxfId="2039" priority="98">
      <formula>AND(B$9&gt;=14/24,B$9&lt;20/24)</formula>
    </cfRule>
    <cfRule type="expression" dxfId="2038" priority="99">
      <formula>AND(B$9&gt;=8/24,B$9&lt;14/24)</formula>
    </cfRule>
    <cfRule type="expression" dxfId="2037" priority="100">
      <formula>B$9&lt;8/24</formula>
    </cfRule>
  </conditionalFormatting>
  <conditionalFormatting sqref="B63:AF74">
    <cfRule type="expression" dxfId="2036" priority="84">
      <formula>AND(B$9&gt;=8/24,B$9&lt;14/24)</formula>
    </cfRule>
    <cfRule type="expression" dxfId="2035" priority="85">
      <formula>B$9&lt;8/24</formula>
    </cfRule>
    <cfRule type="expression" dxfId="2034" priority="83">
      <formula>AND(B$9&gt;=14/24,B$9&lt;20/24)</formula>
    </cfRule>
    <cfRule type="expression" dxfId="2033" priority="82">
      <formula>B$9&gt;=20/24</formula>
    </cfRule>
  </conditionalFormatting>
  <conditionalFormatting sqref="B83:AF99">
    <cfRule type="expression" dxfId="2028" priority="60">
      <formula>B$9&gt;=20/24</formula>
    </cfRule>
    <cfRule type="expression" dxfId="2027" priority="61">
      <formula>AND(B$9&gt;=14/24,B$9&lt;20/24)</formula>
    </cfRule>
    <cfRule type="expression" dxfId="2026" priority="63">
      <formula>B$9&lt;8/24</formula>
    </cfRule>
    <cfRule type="expression" dxfId="2025" priority="62">
      <formula>AND(B$9&gt;=8/24,B$9&lt;14/24)</formula>
    </cfRule>
  </conditionalFormatting>
  <conditionalFormatting sqref="B101:AF108">
    <cfRule type="expression" dxfId="2024" priority="37">
      <formula>B$9&lt;8/24</formula>
    </cfRule>
    <cfRule type="expression" dxfId="2023" priority="36">
      <formula>AND(B$9&gt;=8/24,B$9&lt;14/24)</formula>
    </cfRule>
    <cfRule type="expression" dxfId="2022" priority="34">
      <formula>B$9&gt;=20/24</formula>
    </cfRule>
    <cfRule type="expression" dxfId="2021" priority="35">
      <formula>AND(B$9&gt;=14/24,B$9&lt;20/24)</formula>
    </cfRule>
  </conditionalFormatting>
  <conditionalFormatting sqref="C41:AF43 B41:B44 C44:AG44">
    <cfRule type="expression" dxfId="2016" priority="69">
      <formula>B$9&gt;=20/24</formula>
    </cfRule>
    <cfRule type="expression" dxfId="2015" priority="70">
      <formula>AND(B$9&gt;=14/24,B$9&lt;20/24)</formula>
    </cfRule>
    <cfRule type="expression" dxfId="2014" priority="72">
      <formula>B$9&lt;8/24</formula>
    </cfRule>
    <cfRule type="expression" dxfId="2013" priority="71">
      <formula>AND(B$9&gt;=8/24,B$9&lt;14/24)</formula>
    </cfRule>
    <cfRule type="expression" dxfId="2012" priority="68">
      <formula>B41&gt;$AG41</formula>
    </cfRule>
  </conditionalFormatting>
  <conditionalFormatting sqref="C75:AF78">
    <cfRule type="expression" dxfId="2011" priority="196">
      <formula>C$9&gt;=20/24</formula>
    </cfRule>
    <cfRule type="expression" dxfId="2010" priority="197">
      <formula>AND(C$9&gt;=14/24,C$9&lt;20/24)</formula>
    </cfRule>
    <cfRule type="expression" dxfId="2009" priority="198">
      <formula>AND(C$9&gt;=8/24,C$9&lt;14/24)</formula>
    </cfRule>
    <cfRule type="expression" dxfId="2008" priority="199">
      <formula>C$9&lt;8/24</formula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007" priority="245">
      <formula>C$9&gt;=20/24</formula>
    </cfRule>
  </conditionalFormatting>
  <conditionalFormatting sqref="S8">
    <cfRule type="expression" dxfId="2006" priority="217">
      <formula>U$9&lt;8/24</formula>
    </cfRule>
    <cfRule type="expression" dxfId="2005" priority="214">
      <formula>U$9&gt;=20/24</formula>
    </cfRule>
    <cfRule type="expression" dxfId="2004" priority="215">
      <formula>AND(U$9&gt;=14/24,U$9&lt;20/24)</formula>
    </cfRule>
    <cfRule type="expression" dxfId="2003" priority="216">
      <formula>AND(U$9&gt;=8/24,U$9&lt;14/24)</formula>
    </cfRule>
  </conditionalFormatting>
  <conditionalFormatting sqref="T237">
    <cfRule type="expression" dxfId="2002" priority="258">
      <formula>AX$9&gt;=20/24</formula>
    </cfRule>
    <cfRule type="expression" dxfId="2001" priority="259">
      <formula>AND(AX$9&gt;=14/24,AX$9&lt;20/24)</formula>
    </cfRule>
    <cfRule type="expression" dxfId="2000" priority="260">
      <formula>AND(AX$9&gt;=8/24,AX$9&lt;14/24)</formula>
    </cfRule>
    <cfRule type="expression" dxfId="1999" priority="261">
      <formula>AX$9&lt;8/24</formula>
    </cfRule>
  </conditionalFormatting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W48:AF48">
    <cfRule type="expression" dxfId="1998" priority="174">
      <formula>W$9&gt;=20/24</formula>
    </cfRule>
    <cfRule type="expression" dxfId="1997" priority="175">
      <formula>AND(W$9&gt;=14/24,W$9&lt;20/24)</formula>
    </cfRule>
    <cfRule type="expression" dxfId="1996" priority="176">
      <formula>AND(W$9&gt;=8/24,W$9&lt;14/24)</formula>
    </cfRule>
    <cfRule type="expression" dxfId="1995" priority="177">
      <formula>W$9&lt;8/24</formula>
    </cfRule>
  </conditionalFormatting>
  <conditionalFormatting sqref="AB8">
    <cfRule type="expression" dxfId="1994" priority="212">
      <formula>AND(AD$9&gt;=8/24,AD$9&lt;14/24)</formula>
    </cfRule>
    <cfRule type="expression" dxfId="1993" priority="213">
      <formula>AD$9&lt;8/24</formula>
    </cfRule>
    <cfRule type="expression" dxfId="1992" priority="210">
      <formula>AD$9&gt;=20/24</formula>
    </cfRule>
    <cfRule type="expression" dxfId="1991" priority="211">
      <formula>AND(AD$9&gt;=14/24,AD$9&lt;20/24)</formula>
    </cfRule>
  </conditionalFormatting>
  <conditionalFormatting sqref="AG237">
    <cfRule type="expression" dxfId="1990" priority="250">
      <formula>B$9&gt;=20/24</formula>
    </cfRule>
    <cfRule type="expression" dxfId="1989" priority="251">
      <formula>AND(B$9&gt;=14/24,B$9&lt;20/24)</formula>
    </cfRule>
    <cfRule type="expression" dxfId="1988" priority="252">
      <formula>AND(B$9&gt;=8/24,B$9&lt;14/24)</formula>
    </cfRule>
    <cfRule type="expression" dxfId="1987" priority="253">
      <formula>B$9&lt;8/24</formula>
    </cfRule>
  </conditionalFormatting>
  <conditionalFormatting sqref="AH237:AX237">
    <cfRule type="expression" dxfId="1986" priority="254">
      <formula>AG$9&gt;=20/24</formula>
    </cfRule>
    <cfRule type="expression" dxfId="1985" priority="255">
      <formula>AND(AG$9&gt;=14/24,AG$9&lt;20/24)</formula>
    </cfRule>
    <cfRule type="expression" dxfId="1984" priority="256">
      <formula>AND(AG$9&gt;=8/24,AG$9&lt;14/24)</formula>
    </cfRule>
    <cfRule type="expression" dxfId="1983" priority="257">
      <formula>AG$9&lt;8/24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8" id="{FA6DD183-FD4D-42D3-8820-7C9F348AE84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57" id="{501B8689-3854-4055-A1C5-4C89ED425B0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6" id="{DB64E763-F621-4049-AEFF-67FE7494E48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5" id="{2A752042-E4F9-4FB8-9946-0F5E2EEC0CFF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6" id="{FFD22832-E613-4E9B-B3B8-474954404780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5" id="{9D8EE0AF-77B2-44C2-957A-62997143C0C0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4" id="{60A1DA81-BEAE-478C-823F-06D2B14C82B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7" id="{A626651B-ED05-4827-84AA-F30E024746B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B109:AF109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J270"/>
  <sheetViews>
    <sheetView zoomScale="90" zoomScaleNormal="90" workbookViewId="0">
      <pane xSplit="1" ySplit="10" topLeftCell="B44" activePane="bottomRight" state="frozen"/>
      <selection activeCell="AF88" sqref="AF88"/>
      <selection pane="topRight" activeCell="AF88" sqref="AF88"/>
      <selection pane="bottomLeft" activeCell="AF88" sqref="AF88"/>
      <selection pane="bottomRight" activeCell="AJ8" sqref="AJ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2079/06/3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37</v>
      </c>
      <c r="X5" s="30">
        <f t="shared" si="0"/>
        <v>40</v>
      </c>
      <c r="Y5" s="30">
        <f t="shared" si="0"/>
        <v>33.4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1675MW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Load=1367</v>
      </c>
      <c r="B7" s="35">
        <f t="shared" ref="B7:AF7" si="1">B81</f>
        <v>1421.64</v>
      </c>
      <c r="C7" s="35">
        <f t="shared" si="1"/>
        <v>1444.0400000000002</v>
      </c>
      <c r="D7" s="35">
        <f t="shared" si="1"/>
        <v>1405.44</v>
      </c>
      <c r="E7" s="35">
        <f t="shared" si="1"/>
        <v>1386.2400000000002</v>
      </c>
      <c r="F7" s="35">
        <f t="shared" si="1"/>
        <v>1366.7400000000002</v>
      </c>
      <c r="G7" s="35">
        <f t="shared" si="1"/>
        <v>1396.5400000000002</v>
      </c>
      <c r="H7" s="35">
        <f t="shared" si="1"/>
        <v>1440.2400000000002</v>
      </c>
      <c r="I7" s="35">
        <f t="shared" si="1"/>
        <v>1493.14</v>
      </c>
      <c r="J7" s="35">
        <f t="shared" si="1"/>
        <v>1565.74</v>
      </c>
      <c r="K7" s="35">
        <f t="shared" si="1"/>
        <v>1600.74</v>
      </c>
      <c r="L7" s="35">
        <f t="shared" si="1"/>
        <v>1674.6399999999999</v>
      </c>
      <c r="M7" s="35">
        <f t="shared" si="1"/>
        <v>1619.94</v>
      </c>
      <c r="N7" s="35">
        <f t="shared" si="1"/>
        <v>1566.94</v>
      </c>
      <c r="O7" s="35">
        <f t="shared" si="1"/>
        <v>1530.74</v>
      </c>
      <c r="P7" s="35">
        <f t="shared" si="1"/>
        <v>1547.44</v>
      </c>
      <c r="Q7" s="35">
        <f t="shared" si="1"/>
        <v>1544.44</v>
      </c>
      <c r="R7" s="35">
        <f t="shared" si="1"/>
        <v>1526.44</v>
      </c>
      <c r="S7" s="35">
        <f t="shared" si="1"/>
        <v>1509.6399999999999</v>
      </c>
      <c r="T7" s="35">
        <f t="shared" si="1"/>
        <v>1539.6399999999999</v>
      </c>
      <c r="U7" s="35">
        <f t="shared" si="1"/>
        <v>1505.44</v>
      </c>
      <c r="V7" s="35">
        <f t="shared" si="1"/>
        <v>1531.1399999999999</v>
      </c>
      <c r="W7" s="35">
        <f t="shared" si="1"/>
        <v>1542.3400000000001</v>
      </c>
      <c r="X7" s="35">
        <f t="shared" si="1"/>
        <v>1655.6399999999999</v>
      </c>
      <c r="Y7" s="35">
        <f t="shared" si="1"/>
        <v>1670.34</v>
      </c>
      <c r="Z7" s="35">
        <f t="shared" si="1"/>
        <v>1663.04</v>
      </c>
      <c r="AA7" s="35">
        <f t="shared" si="1"/>
        <v>1594.74</v>
      </c>
      <c r="AB7" s="35">
        <f t="shared" si="1"/>
        <v>1571.74</v>
      </c>
      <c r="AC7" s="35">
        <f t="shared" si="1"/>
        <v>1559.04</v>
      </c>
      <c r="AD7" s="35">
        <f t="shared" si="1"/>
        <v>1508.94</v>
      </c>
      <c r="AE7" s="35">
        <f t="shared" si="1"/>
        <v>1426.74</v>
      </c>
      <c r="AF7" s="35">
        <f t="shared" si="1"/>
        <v>1404.74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J8" s="35">
        <f>1720*24-(B7+C7+D7+E7+F7+G7+I7+K7+M7+N7+O7+P7+Q7+R7+S7+T7+U7+V7+X7+Z7+AB7+AD7+AE7+AF7)</f>
        <v>5112.8400000000038</v>
      </c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53.5</v>
      </c>
      <c r="C11" s="45">
        <v>53.5</v>
      </c>
      <c r="D11" s="45">
        <v>53.5</v>
      </c>
      <c r="E11" s="45">
        <v>53.5</v>
      </c>
      <c r="F11" s="45">
        <v>53.5</v>
      </c>
      <c r="G11" s="45">
        <v>53.5</v>
      </c>
      <c r="H11" s="45">
        <v>53.5</v>
      </c>
      <c r="I11" s="45">
        <v>53.5</v>
      </c>
      <c r="J11" s="45">
        <v>53.5</v>
      </c>
      <c r="K11" s="45">
        <v>53.5</v>
      </c>
      <c r="L11" s="45">
        <v>53.5</v>
      </c>
      <c r="M11" s="45">
        <v>53.5</v>
      </c>
      <c r="N11" s="45">
        <v>53.5</v>
      </c>
      <c r="O11" s="45">
        <v>53.2</v>
      </c>
      <c r="P11" s="45">
        <v>53.2</v>
      </c>
      <c r="Q11" s="45">
        <v>53.2</v>
      </c>
      <c r="R11" s="45">
        <v>53.2</v>
      </c>
      <c r="S11" s="45">
        <v>53.2</v>
      </c>
      <c r="T11" s="45">
        <v>53.2</v>
      </c>
      <c r="U11" s="45">
        <v>53.2</v>
      </c>
      <c r="V11" s="45">
        <v>53.2</v>
      </c>
      <c r="W11" s="45">
        <v>53.2</v>
      </c>
      <c r="X11" s="46">
        <v>53.5</v>
      </c>
      <c r="Y11" s="46">
        <v>53.2</v>
      </c>
      <c r="Z11" s="46">
        <v>53.2</v>
      </c>
      <c r="AA11" s="46">
        <v>53.2</v>
      </c>
      <c r="AB11" s="46">
        <v>53.2</v>
      </c>
      <c r="AC11" s="46">
        <v>53.2</v>
      </c>
      <c r="AD11" s="46">
        <v>53.2</v>
      </c>
      <c r="AE11" s="46">
        <v>53.2</v>
      </c>
      <c r="AF11" s="46">
        <v>53.2</v>
      </c>
      <c r="AG11" s="47">
        <v>52.4</v>
      </c>
      <c r="AH11" s="48">
        <f>MAX(B11:AF11)</f>
        <v>53.5</v>
      </c>
      <c r="AI11" s="49">
        <f>MIN(B11:AF11)</f>
        <v>53.2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50.4</v>
      </c>
      <c r="C12" s="45">
        <v>50.4</v>
      </c>
      <c r="D12" s="45">
        <v>50.4</v>
      </c>
      <c r="E12" s="45">
        <v>50.4</v>
      </c>
      <c r="F12" s="45">
        <v>50.4</v>
      </c>
      <c r="G12" s="45">
        <v>50.4</v>
      </c>
      <c r="H12" s="45">
        <v>50.4</v>
      </c>
      <c r="I12" s="45">
        <v>50.4</v>
      </c>
      <c r="J12" s="45">
        <v>50.4</v>
      </c>
      <c r="K12" s="45">
        <v>50.4</v>
      </c>
      <c r="L12" s="45">
        <v>50.4</v>
      </c>
      <c r="M12" s="45">
        <v>50.4</v>
      </c>
      <c r="N12" s="45">
        <v>50.4</v>
      </c>
      <c r="O12" s="45">
        <v>25</v>
      </c>
      <c r="P12" s="45">
        <v>50</v>
      </c>
      <c r="Q12" s="45">
        <v>50</v>
      </c>
      <c r="R12" s="45">
        <v>50</v>
      </c>
      <c r="S12" s="45">
        <v>50</v>
      </c>
      <c r="T12" s="45">
        <v>50</v>
      </c>
      <c r="U12" s="45">
        <v>50</v>
      </c>
      <c r="V12" s="45">
        <v>50</v>
      </c>
      <c r="W12" s="45">
        <v>50</v>
      </c>
      <c r="X12" s="45">
        <v>50.7</v>
      </c>
      <c r="Y12" s="45">
        <v>50.7</v>
      </c>
      <c r="Z12" s="45">
        <v>50.7</v>
      </c>
      <c r="AA12" s="45">
        <v>50.7</v>
      </c>
      <c r="AB12" s="45">
        <v>50.7</v>
      </c>
      <c r="AC12" s="45">
        <v>50.7</v>
      </c>
      <c r="AD12" s="45">
        <v>50.7</v>
      </c>
      <c r="AE12" s="45">
        <v>50.7</v>
      </c>
      <c r="AF12" s="45">
        <v>50.7</v>
      </c>
      <c r="AG12" s="51">
        <v>50</v>
      </c>
      <c r="AH12" s="48">
        <f t="shared" ref="AH12:AH75" si="2">MAX(B12:AF12)</f>
        <v>50.7</v>
      </c>
      <c r="AI12" s="49">
        <f t="shared" ref="AI12:AI75" si="3">MIN(B12:AF12)</f>
        <v>25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37</v>
      </c>
      <c r="C13" s="45">
        <v>37</v>
      </c>
      <c r="D13" s="45">
        <v>37</v>
      </c>
      <c r="E13" s="45">
        <v>37</v>
      </c>
      <c r="F13" s="45">
        <v>37</v>
      </c>
      <c r="G13" s="45">
        <v>37</v>
      </c>
      <c r="H13" s="45">
        <v>37</v>
      </c>
      <c r="I13" s="45">
        <v>45.8</v>
      </c>
      <c r="J13" s="45">
        <v>45.8</v>
      </c>
      <c r="K13" s="45">
        <v>45.8</v>
      </c>
      <c r="L13" s="45">
        <v>45.8</v>
      </c>
      <c r="M13" s="45">
        <v>45.8</v>
      </c>
      <c r="N13" s="45">
        <v>45.8</v>
      </c>
      <c r="O13" s="45">
        <v>46</v>
      </c>
      <c r="P13" s="45">
        <v>46</v>
      </c>
      <c r="Q13" s="45">
        <v>41</v>
      </c>
      <c r="R13" s="45">
        <v>41</v>
      </c>
      <c r="S13" s="45">
        <v>41</v>
      </c>
      <c r="T13" s="45">
        <v>41</v>
      </c>
      <c r="U13" s="45">
        <v>41</v>
      </c>
      <c r="V13" s="45">
        <v>41</v>
      </c>
      <c r="W13" s="45">
        <v>41</v>
      </c>
      <c r="X13" s="45">
        <v>41.5</v>
      </c>
      <c r="Y13" s="45">
        <v>41.5</v>
      </c>
      <c r="Z13" s="45">
        <v>41.5</v>
      </c>
      <c r="AA13" s="45">
        <v>41.5</v>
      </c>
      <c r="AB13" s="45">
        <v>41.5</v>
      </c>
      <c r="AC13" s="45">
        <v>41.5</v>
      </c>
      <c r="AD13" s="45">
        <v>41.5</v>
      </c>
      <c r="AE13" s="45">
        <v>41.5</v>
      </c>
      <c r="AF13" s="45">
        <v>41.5</v>
      </c>
      <c r="AG13" s="51">
        <v>45</v>
      </c>
      <c r="AH13" s="48">
        <f t="shared" si="2"/>
        <v>46</v>
      </c>
      <c r="AI13" s="49">
        <f t="shared" si="3"/>
        <v>37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20</v>
      </c>
      <c r="C14" s="45">
        <v>20</v>
      </c>
      <c r="D14" s="45">
        <v>20</v>
      </c>
      <c r="E14" s="45">
        <v>20</v>
      </c>
      <c r="F14" s="45">
        <v>20</v>
      </c>
      <c r="G14" s="45">
        <v>20</v>
      </c>
      <c r="H14" s="45">
        <v>20</v>
      </c>
      <c r="I14" s="45">
        <v>28</v>
      </c>
      <c r="J14" s="45">
        <v>28</v>
      </c>
      <c r="K14" s="45">
        <v>28</v>
      </c>
      <c r="L14" s="45">
        <v>37</v>
      </c>
      <c r="M14" s="45">
        <v>37</v>
      </c>
      <c r="N14" s="45">
        <v>37</v>
      </c>
      <c r="O14" s="45">
        <v>28</v>
      </c>
      <c r="P14" s="45">
        <v>28</v>
      </c>
      <c r="Q14" s="45">
        <v>40</v>
      </c>
      <c r="R14" s="45">
        <v>35</v>
      </c>
      <c r="S14" s="45">
        <v>28</v>
      </c>
      <c r="T14" s="45">
        <v>28</v>
      </c>
      <c r="U14" s="45">
        <v>28</v>
      </c>
      <c r="V14" s="45">
        <v>28</v>
      </c>
      <c r="W14" s="45">
        <v>28</v>
      </c>
      <c r="X14" s="45">
        <v>28.5</v>
      </c>
      <c r="Y14" s="45">
        <v>40</v>
      </c>
      <c r="Z14" s="45">
        <v>40</v>
      </c>
      <c r="AA14" s="45">
        <v>35</v>
      </c>
      <c r="AB14" s="45">
        <v>28</v>
      </c>
      <c r="AC14" s="45">
        <v>20.5</v>
      </c>
      <c r="AD14" s="45">
        <v>20.5</v>
      </c>
      <c r="AE14" s="45">
        <v>20.5</v>
      </c>
      <c r="AF14" s="45">
        <v>20.5</v>
      </c>
      <c r="AG14" s="51">
        <v>42</v>
      </c>
      <c r="AH14" s="48">
        <f t="shared" si="2"/>
        <v>40</v>
      </c>
      <c r="AI14" s="49">
        <f t="shared" si="3"/>
        <v>20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10</v>
      </c>
      <c r="K15" s="45">
        <v>25</v>
      </c>
      <c r="L15" s="45">
        <v>30</v>
      </c>
      <c r="M15" s="45">
        <v>10</v>
      </c>
      <c r="N15" s="45">
        <v>10</v>
      </c>
      <c r="O15" s="45">
        <v>10</v>
      </c>
      <c r="P15" s="45">
        <v>5</v>
      </c>
      <c r="Q15" s="45">
        <v>5</v>
      </c>
      <c r="R15" s="45">
        <v>5</v>
      </c>
      <c r="S15" s="45">
        <v>5</v>
      </c>
      <c r="T15" s="45">
        <v>5</v>
      </c>
      <c r="U15" s="45">
        <v>5</v>
      </c>
      <c r="V15" s="45">
        <v>10.199999999999999</v>
      </c>
      <c r="W15" s="45">
        <v>10.199999999999999</v>
      </c>
      <c r="X15" s="45">
        <v>15.1</v>
      </c>
      <c r="Y15" s="45">
        <v>15.1</v>
      </c>
      <c r="Z15" s="45">
        <v>15.1</v>
      </c>
      <c r="AA15" s="45">
        <v>15.2</v>
      </c>
      <c r="AB15" s="45">
        <v>10.199999999999999</v>
      </c>
      <c r="AC15" s="45">
        <v>10</v>
      </c>
      <c r="AD15" s="45">
        <v>10</v>
      </c>
      <c r="AE15" s="45">
        <v>0</v>
      </c>
      <c r="AF15" s="45">
        <v>0</v>
      </c>
      <c r="AG15" s="52">
        <v>30</v>
      </c>
      <c r="AH15" s="48">
        <f t="shared" si="2"/>
        <v>30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24</v>
      </c>
      <c r="C16" s="45">
        <v>24</v>
      </c>
      <c r="D16" s="45">
        <v>24</v>
      </c>
      <c r="E16" s="45">
        <v>24</v>
      </c>
      <c r="F16" s="45">
        <v>24</v>
      </c>
      <c r="G16" s="45">
        <v>24</v>
      </c>
      <c r="H16" s="45">
        <v>24</v>
      </c>
      <c r="I16" s="45">
        <v>24</v>
      </c>
      <c r="J16" s="45">
        <v>24</v>
      </c>
      <c r="K16" s="45">
        <v>24</v>
      </c>
      <c r="L16" s="45">
        <v>33.299999999999997</v>
      </c>
      <c r="M16" s="45">
        <v>33.299999999999997</v>
      </c>
      <c r="N16" s="45">
        <v>33.299999999999997</v>
      </c>
      <c r="O16" s="45">
        <v>33</v>
      </c>
      <c r="P16" s="45">
        <v>33</v>
      </c>
      <c r="Q16" s="45">
        <v>33</v>
      </c>
      <c r="R16" s="45">
        <v>33</v>
      </c>
      <c r="S16" s="45">
        <v>33</v>
      </c>
      <c r="T16" s="45">
        <v>33</v>
      </c>
      <c r="U16" s="45">
        <v>33</v>
      </c>
      <c r="V16" s="45">
        <v>28.8</v>
      </c>
      <c r="W16" s="45">
        <v>28.5</v>
      </c>
      <c r="X16" s="45">
        <v>28.8</v>
      </c>
      <c r="Y16" s="45">
        <v>28.8</v>
      </c>
      <c r="Z16" s="45">
        <v>28.8</v>
      </c>
      <c r="AA16" s="45">
        <v>28.8</v>
      </c>
      <c r="AB16" s="45">
        <v>28.8</v>
      </c>
      <c r="AC16" s="45">
        <v>28.8</v>
      </c>
      <c r="AD16" s="45">
        <v>28.8</v>
      </c>
      <c r="AE16" s="45">
        <v>28.8</v>
      </c>
      <c r="AF16" s="45">
        <v>28.8</v>
      </c>
      <c r="AG16" s="51">
        <v>24.2</v>
      </c>
      <c r="AH16" s="48">
        <f t="shared" si="2"/>
        <v>33.299999999999997</v>
      </c>
      <c r="AI16" s="49">
        <f t="shared" si="3"/>
        <v>24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20</v>
      </c>
      <c r="L17" s="45">
        <v>27</v>
      </c>
      <c r="M17" s="45">
        <v>27</v>
      </c>
      <c r="N17" s="45">
        <v>27</v>
      </c>
      <c r="O17" s="45">
        <v>10</v>
      </c>
      <c r="P17" s="45">
        <v>8</v>
      </c>
      <c r="Q17" s="45">
        <v>8</v>
      </c>
      <c r="R17" s="45">
        <v>8</v>
      </c>
      <c r="S17" s="45">
        <v>6</v>
      </c>
      <c r="T17" s="45">
        <v>6</v>
      </c>
      <c r="U17" s="45">
        <v>6</v>
      </c>
      <c r="V17" s="45">
        <v>15</v>
      </c>
      <c r="W17" s="45">
        <v>15</v>
      </c>
      <c r="X17" s="45">
        <v>15</v>
      </c>
      <c r="Y17" s="45">
        <v>15</v>
      </c>
      <c r="Z17" s="45">
        <v>15</v>
      </c>
      <c r="AA17" s="45">
        <v>15</v>
      </c>
      <c r="AB17" s="45">
        <v>10</v>
      </c>
      <c r="AC17" s="45">
        <v>5</v>
      </c>
      <c r="AD17" s="45">
        <v>5</v>
      </c>
      <c r="AE17" s="45">
        <v>5</v>
      </c>
      <c r="AF17" s="45">
        <v>0</v>
      </c>
      <c r="AG17" s="52">
        <v>30</v>
      </c>
      <c r="AH17" s="48">
        <f t="shared" si="2"/>
        <v>27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20</v>
      </c>
      <c r="C18" s="45">
        <v>20</v>
      </c>
      <c r="D18" s="45">
        <v>20</v>
      </c>
      <c r="E18" s="45">
        <v>20</v>
      </c>
      <c r="F18" s="45">
        <v>20</v>
      </c>
      <c r="G18" s="45">
        <v>20</v>
      </c>
      <c r="H18" s="45">
        <v>20</v>
      </c>
      <c r="I18" s="45">
        <v>20</v>
      </c>
      <c r="J18" s="45">
        <v>25</v>
      </c>
      <c r="K18" s="45">
        <v>25</v>
      </c>
      <c r="L18" s="45">
        <v>25</v>
      </c>
      <c r="M18" s="45">
        <v>25</v>
      </c>
      <c r="N18" s="45">
        <v>25</v>
      </c>
      <c r="O18" s="45">
        <v>25</v>
      </c>
      <c r="P18" s="45">
        <v>25</v>
      </c>
      <c r="Q18" s="45">
        <v>25</v>
      </c>
      <c r="R18" s="45">
        <v>25</v>
      </c>
      <c r="S18" s="45">
        <v>25</v>
      </c>
      <c r="T18" s="45">
        <v>25</v>
      </c>
      <c r="U18" s="45">
        <v>25</v>
      </c>
      <c r="V18" s="45">
        <v>25</v>
      </c>
      <c r="W18" s="45">
        <v>25.3</v>
      </c>
      <c r="X18" s="45">
        <v>25.3</v>
      </c>
      <c r="Y18" s="45">
        <v>25.3</v>
      </c>
      <c r="Z18" s="45">
        <v>25.3</v>
      </c>
      <c r="AA18" s="45">
        <v>25.3</v>
      </c>
      <c r="AB18" s="45">
        <v>25.3</v>
      </c>
      <c r="AC18" s="45">
        <v>25.3</v>
      </c>
      <c r="AD18" s="45">
        <v>25.3</v>
      </c>
      <c r="AE18" s="45">
        <v>25.3</v>
      </c>
      <c r="AF18" s="45">
        <v>25.3</v>
      </c>
      <c r="AG18" s="51">
        <v>25</v>
      </c>
      <c r="AH18" s="48">
        <f t="shared" si="2"/>
        <v>25.3</v>
      </c>
      <c r="AI18" s="49">
        <f t="shared" si="3"/>
        <v>20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51">
        <v>25</v>
      </c>
      <c r="AH19" s="48">
        <f t="shared" si="2"/>
        <v>0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17</v>
      </c>
      <c r="C20" s="45">
        <v>17</v>
      </c>
      <c r="D20" s="45">
        <v>17</v>
      </c>
      <c r="E20" s="45">
        <v>17</v>
      </c>
      <c r="F20" s="45">
        <v>17</v>
      </c>
      <c r="G20" s="45">
        <v>17</v>
      </c>
      <c r="H20" s="45">
        <v>17</v>
      </c>
      <c r="I20" s="45">
        <v>25</v>
      </c>
      <c r="J20" s="45">
        <v>25</v>
      </c>
      <c r="K20" s="45">
        <v>25</v>
      </c>
      <c r="L20" s="45">
        <v>25</v>
      </c>
      <c r="M20" s="45">
        <v>25</v>
      </c>
      <c r="N20" s="45">
        <v>25</v>
      </c>
      <c r="O20" s="45">
        <v>25</v>
      </c>
      <c r="P20" s="45">
        <v>25</v>
      </c>
      <c r="Q20" s="45">
        <v>25</v>
      </c>
      <c r="R20" s="45">
        <v>25</v>
      </c>
      <c r="S20" s="45">
        <v>25</v>
      </c>
      <c r="T20" s="45">
        <v>25</v>
      </c>
      <c r="U20" s="45">
        <v>25</v>
      </c>
      <c r="V20" s="45">
        <v>25</v>
      </c>
      <c r="W20" s="45">
        <v>25</v>
      </c>
      <c r="X20" s="45">
        <v>25</v>
      </c>
      <c r="Y20" s="45">
        <v>25</v>
      </c>
      <c r="Z20" s="45">
        <v>25</v>
      </c>
      <c r="AA20" s="45">
        <v>25</v>
      </c>
      <c r="AB20" s="45">
        <v>25</v>
      </c>
      <c r="AC20" s="45">
        <v>25</v>
      </c>
      <c r="AD20" s="45">
        <v>25</v>
      </c>
      <c r="AE20" s="45">
        <v>25</v>
      </c>
      <c r="AF20" s="45">
        <v>25</v>
      </c>
      <c r="AG20" s="51">
        <v>25</v>
      </c>
      <c r="AH20" s="48">
        <f t="shared" si="2"/>
        <v>25</v>
      </c>
      <c r="AI20" s="49">
        <f t="shared" si="3"/>
        <v>17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23.9</v>
      </c>
      <c r="C21" s="45">
        <v>23.9</v>
      </c>
      <c r="D21" s="45">
        <v>23.9</v>
      </c>
      <c r="E21" s="45">
        <v>23.9</v>
      </c>
      <c r="F21" s="45">
        <v>23.9</v>
      </c>
      <c r="G21" s="45">
        <v>23.9</v>
      </c>
      <c r="H21" s="45">
        <v>23.9</v>
      </c>
      <c r="I21" s="45">
        <v>23.9</v>
      </c>
      <c r="J21" s="45">
        <v>23.7</v>
      </c>
      <c r="K21" s="45">
        <v>23.7</v>
      </c>
      <c r="L21" s="45">
        <v>23.7</v>
      </c>
      <c r="M21" s="45">
        <v>23.7</v>
      </c>
      <c r="N21" s="45">
        <v>23.7</v>
      </c>
      <c r="O21" s="45">
        <v>23.5</v>
      </c>
      <c r="P21" s="45">
        <v>23.5</v>
      </c>
      <c r="Q21" s="45">
        <v>23.5</v>
      </c>
      <c r="R21" s="45">
        <v>23.5</v>
      </c>
      <c r="S21" s="45">
        <v>23.5</v>
      </c>
      <c r="T21" s="45">
        <v>23.5</v>
      </c>
      <c r="U21" s="45">
        <v>23.5</v>
      </c>
      <c r="V21" s="45">
        <v>23.5</v>
      </c>
      <c r="W21" s="45">
        <v>23.7</v>
      </c>
      <c r="X21" s="45">
        <v>23.9</v>
      </c>
      <c r="Y21" s="45">
        <v>23.9</v>
      </c>
      <c r="Z21" s="45">
        <v>23.9</v>
      </c>
      <c r="AA21" s="45">
        <v>23.9</v>
      </c>
      <c r="AB21" s="45">
        <v>23.9</v>
      </c>
      <c r="AC21" s="45">
        <v>23.9</v>
      </c>
      <c r="AD21" s="45">
        <v>20</v>
      </c>
      <c r="AE21" s="45">
        <v>20</v>
      </c>
      <c r="AF21" s="45">
        <v>20</v>
      </c>
      <c r="AG21" s="51">
        <v>23.5</v>
      </c>
      <c r="AH21" s="48">
        <f t="shared" si="2"/>
        <v>23.9</v>
      </c>
      <c r="AI21" s="49">
        <f t="shared" si="3"/>
        <v>20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16</v>
      </c>
      <c r="C22" s="45">
        <v>16</v>
      </c>
      <c r="D22" s="45">
        <v>16</v>
      </c>
      <c r="E22" s="45">
        <v>16</v>
      </c>
      <c r="F22" s="45">
        <v>16</v>
      </c>
      <c r="G22" s="45">
        <v>16</v>
      </c>
      <c r="H22" s="45">
        <v>16</v>
      </c>
      <c r="I22" s="45">
        <v>16</v>
      </c>
      <c r="J22" s="45">
        <v>22</v>
      </c>
      <c r="K22" s="45">
        <v>22</v>
      </c>
      <c r="L22" s="45">
        <v>22</v>
      </c>
      <c r="M22" s="45">
        <v>22</v>
      </c>
      <c r="N22" s="45">
        <v>22</v>
      </c>
      <c r="O22" s="45">
        <v>22</v>
      </c>
      <c r="P22" s="45">
        <v>22</v>
      </c>
      <c r="Q22" s="45">
        <v>22</v>
      </c>
      <c r="R22" s="45">
        <v>22</v>
      </c>
      <c r="S22" s="45">
        <v>22</v>
      </c>
      <c r="T22" s="45">
        <v>22</v>
      </c>
      <c r="U22" s="45">
        <v>22</v>
      </c>
      <c r="V22" s="45">
        <v>22</v>
      </c>
      <c r="W22" s="45">
        <v>22</v>
      </c>
      <c r="X22" s="45">
        <v>20</v>
      </c>
      <c r="Y22" s="45">
        <v>20</v>
      </c>
      <c r="Z22" s="45">
        <v>20</v>
      </c>
      <c r="AA22" s="45">
        <v>20</v>
      </c>
      <c r="AB22" s="45">
        <v>20</v>
      </c>
      <c r="AC22" s="45">
        <v>20</v>
      </c>
      <c r="AD22" s="45">
        <v>20</v>
      </c>
      <c r="AE22" s="45">
        <v>20</v>
      </c>
      <c r="AF22" s="45">
        <v>20</v>
      </c>
      <c r="AG22" s="51">
        <v>22.2</v>
      </c>
      <c r="AH22" s="48">
        <f t="shared" si="2"/>
        <v>22</v>
      </c>
      <c r="AI22" s="49">
        <f t="shared" si="3"/>
        <v>16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22</v>
      </c>
      <c r="C23" s="45">
        <v>22</v>
      </c>
      <c r="D23" s="45">
        <v>22</v>
      </c>
      <c r="E23" s="45">
        <v>22</v>
      </c>
      <c r="F23" s="45">
        <v>22</v>
      </c>
      <c r="G23" s="45">
        <v>22</v>
      </c>
      <c r="H23" s="45">
        <v>22</v>
      </c>
      <c r="I23" s="45">
        <v>22</v>
      </c>
      <c r="J23" s="45">
        <v>22</v>
      </c>
      <c r="K23" s="45">
        <v>22</v>
      </c>
      <c r="L23" s="45">
        <v>22</v>
      </c>
      <c r="M23" s="45">
        <v>22</v>
      </c>
      <c r="N23" s="45">
        <v>22</v>
      </c>
      <c r="O23" s="45">
        <v>22</v>
      </c>
      <c r="P23" s="45">
        <v>22</v>
      </c>
      <c r="Q23" s="45">
        <v>22</v>
      </c>
      <c r="R23" s="45">
        <v>22</v>
      </c>
      <c r="S23" s="45">
        <v>22</v>
      </c>
      <c r="T23" s="45">
        <v>22</v>
      </c>
      <c r="U23" s="45">
        <v>22</v>
      </c>
      <c r="V23" s="45">
        <v>22</v>
      </c>
      <c r="W23" s="45">
        <v>22</v>
      </c>
      <c r="X23" s="45">
        <v>22</v>
      </c>
      <c r="Y23" s="45">
        <v>22</v>
      </c>
      <c r="Z23" s="45">
        <v>22</v>
      </c>
      <c r="AA23" s="45">
        <v>22</v>
      </c>
      <c r="AB23" s="45">
        <v>22</v>
      </c>
      <c r="AC23" s="45">
        <v>22</v>
      </c>
      <c r="AD23" s="45">
        <v>22</v>
      </c>
      <c r="AE23" s="45">
        <v>22</v>
      </c>
      <c r="AF23" s="45">
        <v>22</v>
      </c>
      <c r="AG23" s="51">
        <v>22.1</v>
      </c>
      <c r="AH23" s="48">
        <f t="shared" si="2"/>
        <v>22</v>
      </c>
      <c r="AI23" s="49">
        <f t="shared" si="3"/>
        <v>22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22</v>
      </c>
      <c r="C24" s="45">
        <v>22</v>
      </c>
      <c r="D24" s="45">
        <v>22</v>
      </c>
      <c r="E24" s="45">
        <v>22</v>
      </c>
      <c r="F24" s="45">
        <v>22</v>
      </c>
      <c r="G24" s="45">
        <v>22</v>
      </c>
      <c r="H24" s="45">
        <v>22</v>
      </c>
      <c r="I24" s="45">
        <v>22</v>
      </c>
      <c r="J24" s="45">
        <v>22</v>
      </c>
      <c r="K24" s="45">
        <v>22</v>
      </c>
      <c r="L24" s="45">
        <v>22</v>
      </c>
      <c r="M24" s="45">
        <v>22</v>
      </c>
      <c r="N24" s="45">
        <v>22</v>
      </c>
      <c r="O24" s="45">
        <v>22</v>
      </c>
      <c r="P24" s="45">
        <v>22</v>
      </c>
      <c r="Q24" s="45">
        <v>22</v>
      </c>
      <c r="R24" s="45">
        <v>22</v>
      </c>
      <c r="S24" s="45">
        <v>22</v>
      </c>
      <c r="T24" s="45">
        <v>22</v>
      </c>
      <c r="U24" s="45">
        <v>22</v>
      </c>
      <c r="V24" s="45">
        <v>22</v>
      </c>
      <c r="W24" s="45">
        <v>22</v>
      </c>
      <c r="X24" s="45">
        <v>22</v>
      </c>
      <c r="Y24" s="45">
        <v>22</v>
      </c>
      <c r="Z24" s="45">
        <v>22</v>
      </c>
      <c r="AA24" s="45">
        <v>22</v>
      </c>
      <c r="AB24" s="45">
        <v>22</v>
      </c>
      <c r="AC24" s="45">
        <v>22</v>
      </c>
      <c r="AD24" s="45">
        <v>22</v>
      </c>
      <c r="AE24" s="45">
        <v>22</v>
      </c>
      <c r="AF24" s="45">
        <v>22</v>
      </c>
      <c r="AG24" s="51">
        <v>22</v>
      </c>
      <c r="AH24" s="48">
        <f t="shared" si="2"/>
        <v>22</v>
      </c>
      <c r="AI24" s="49">
        <f t="shared" si="3"/>
        <v>22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19</v>
      </c>
      <c r="C25" s="45">
        <v>19</v>
      </c>
      <c r="D25" s="45">
        <v>19</v>
      </c>
      <c r="E25" s="45">
        <v>19</v>
      </c>
      <c r="F25" s="45">
        <v>19</v>
      </c>
      <c r="G25" s="45">
        <v>19</v>
      </c>
      <c r="H25" s="45">
        <v>19</v>
      </c>
      <c r="I25" s="45">
        <v>19</v>
      </c>
      <c r="J25" s="45">
        <v>19</v>
      </c>
      <c r="K25" s="45">
        <v>19</v>
      </c>
      <c r="L25" s="45">
        <v>22</v>
      </c>
      <c r="M25" s="45">
        <v>22</v>
      </c>
      <c r="N25" s="45">
        <v>22</v>
      </c>
      <c r="O25" s="45">
        <v>22</v>
      </c>
      <c r="P25" s="45">
        <v>22</v>
      </c>
      <c r="Q25" s="45">
        <v>22</v>
      </c>
      <c r="R25" s="45">
        <v>22</v>
      </c>
      <c r="S25" s="45">
        <v>22</v>
      </c>
      <c r="T25" s="45">
        <v>22</v>
      </c>
      <c r="U25" s="45">
        <v>22</v>
      </c>
      <c r="V25" s="45">
        <v>22</v>
      </c>
      <c r="W25" s="45">
        <v>22</v>
      </c>
      <c r="X25" s="45">
        <v>22</v>
      </c>
      <c r="Y25" s="45">
        <v>22</v>
      </c>
      <c r="Z25" s="45">
        <v>22</v>
      </c>
      <c r="AA25" s="45">
        <v>22</v>
      </c>
      <c r="AB25" s="45">
        <v>22</v>
      </c>
      <c r="AC25" s="45">
        <v>22</v>
      </c>
      <c r="AD25" s="45">
        <v>22</v>
      </c>
      <c r="AE25" s="45">
        <v>22</v>
      </c>
      <c r="AF25" s="45">
        <v>22</v>
      </c>
      <c r="AG25" s="51">
        <v>22</v>
      </c>
      <c r="AH25" s="48">
        <f t="shared" si="2"/>
        <v>22</v>
      </c>
      <c r="AI25" s="49">
        <f t="shared" si="3"/>
        <v>19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10</v>
      </c>
      <c r="K26" s="45">
        <v>10</v>
      </c>
      <c r="L26" s="45">
        <v>10</v>
      </c>
      <c r="M26" s="45">
        <v>10</v>
      </c>
      <c r="N26" s="45">
        <v>5</v>
      </c>
      <c r="O26" s="45">
        <v>5</v>
      </c>
      <c r="P26" s="45">
        <v>0</v>
      </c>
      <c r="Q26" s="45">
        <v>5</v>
      </c>
      <c r="R26" s="45">
        <v>5</v>
      </c>
      <c r="S26" s="45">
        <v>5</v>
      </c>
      <c r="T26" s="45">
        <v>5</v>
      </c>
      <c r="U26" s="45">
        <v>5</v>
      </c>
      <c r="V26" s="45">
        <v>5</v>
      </c>
      <c r="W26" s="45">
        <v>5</v>
      </c>
      <c r="X26" s="45">
        <v>10</v>
      </c>
      <c r="Y26" s="45">
        <v>10</v>
      </c>
      <c r="Z26" s="45">
        <v>10</v>
      </c>
      <c r="AA26" s="45">
        <v>10</v>
      </c>
      <c r="AB26" s="45">
        <v>10</v>
      </c>
      <c r="AC26" s="45">
        <v>10</v>
      </c>
      <c r="AD26" s="45">
        <v>0</v>
      </c>
      <c r="AE26" s="45">
        <v>0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>
        <v>14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14.9</v>
      </c>
      <c r="AH27" s="48">
        <f t="shared" si="2"/>
        <v>14</v>
      </c>
      <c r="AI27" s="49">
        <f t="shared" si="3"/>
        <v>14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6.8</v>
      </c>
      <c r="C28" s="45">
        <v>6.8</v>
      </c>
      <c r="D28" s="45">
        <v>6.8</v>
      </c>
      <c r="E28" s="45">
        <v>6.8</v>
      </c>
      <c r="F28" s="45">
        <v>6.8</v>
      </c>
      <c r="G28" s="45">
        <v>6.8</v>
      </c>
      <c r="H28" s="45">
        <v>6.8</v>
      </c>
      <c r="I28" s="45">
        <v>6.8</v>
      </c>
      <c r="J28" s="45">
        <v>6.8</v>
      </c>
      <c r="K28" s="45">
        <v>6.8</v>
      </c>
      <c r="L28" s="45">
        <v>6.8</v>
      </c>
      <c r="M28" s="45">
        <v>6.8</v>
      </c>
      <c r="N28" s="45">
        <v>6.8</v>
      </c>
      <c r="O28" s="45">
        <v>6.8</v>
      </c>
      <c r="P28" s="45">
        <v>6.8</v>
      </c>
      <c r="Q28" s="45">
        <v>6.8</v>
      </c>
      <c r="R28" s="45">
        <v>6.8</v>
      </c>
      <c r="S28" s="45">
        <v>6.8</v>
      </c>
      <c r="T28" s="45">
        <v>6.8</v>
      </c>
      <c r="U28" s="45">
        <v>6.8</v>
      </c>
      <c r="V28" s="45">
        <v>6.8</v>
      </c>
      <c r="W28" s="45">
        <v>6.8</v>
      </c>
      <c r="X28" s="45">
        <v>6.8</v>
      </c>
      <c r="Y28" s="45">
        <v>6.8</v>
      </c>
      <c r="Z28" s="45">
        <v>6.8</v>
      </c>
      <c r="AA28" s="45">
        <v>6.8</v>
      </c>
      <c r="AB28" s="45">
        <v>6.8</v>
      </c>
      <c r="AC28" s="45">
        <v>6.8</v>
      </c>
      <c r="AD28" s="45">
        <v>6.8</v>
      </c>
      <c r="AE28" s="45">
        <v>6.8</v>
      </c>
      <c r="AF28" s="45">
        <v>6.8</v>
      </c>
      <c r="AG28" s="51">
        <v>13.6</v>
      </c>
      <c r="AH28" s="48">
        <f t="shared" si="2"/>
        <v>6.8</v>
      </c>
      <c r="AI28" s="49">
        <f t="shared" si="3"/>
        <v>6.8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9</v>
      </c>
      <c r="C29" s="45">
        <v>9</v>
      </c>
      <c r="D29" s="45">
        <v>9</v>
      </c>
      <c r="E29" s="45">
        <v>9</v>
      </c>
      <c r="F29" s="45">
        <v>9</v>
      </c>
      <c r="G29" s="45">
        <v>9</v>
      </c>
      <c r="H29" s="45">
        <v>9</v>
      </c>
      <c r="I29" s="45">
        <v>9</v>
      </c>
      <c r="J29" s="45">
        <v>9</v>
      </c>
      <c r="K29" s="45">
        <v>9</v>
      </c>
      <c r="L29" s="45">
        <v>9</v>
      </c>
      <c r="M29" s="45">
        <v>9</v>
      </c>
      <c r="N29" s="45">
        <v>9</v>
      </c>
      <c r="O29" s="45">
        <v>9</v>
      </c>
      <c r="P29" s="45">
        <v>9</v>
      </c>
      <c r="Q29" s="45">
        <v>9</v>
      </c>
      <c r="R29" s="45">
        <v>9</v>
      </c>
      <c r="S29" s="45">
        <v>9</v>
      </c>
      <c r="T29" s="45">
        <v>9</v>
      </c>
      <c r="U29" s="45">
        <v>9</v>
      </c>
      <c r="V29" s="45">
        <v>9</v>
      </c>
      <c r="W29" s="45">
        <v>9</v>
      </c>
      <c r="X29" s="45">
        <v>12</v>
      </c>
      <c r="Y29" s="45">
        <v>12</v>
      </c>
      <c r="Z29" s="45">
        <v>12</v>
      </c>
      <c r="AA29" s="45">
        <v>12</v>
      </c>
      <c r="AB29" s="45">
        <v>12</v>
      </c>
      <c r="AC29" s="45">
        <v>12</v>
      </c>
      <c r="AD29" s="45">
        <v>12</v>
      </c>
      <c r="AE29" s="45">
        <v>12</v>
      </c>
      <c r="AF29" s="45">
        <v>12</v>
      </c>
      <c r="AG29" s="51">
        <v>13</v>
      </c>
      <c r="AH29" s="48">
        <f t="shared" si="2"/>
        <v>12</v>
      </c>
      <c r="AI29" s="49">
        <f t="shared" si="3"/>
        <v>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12</v>
      </c>
      <c r="L30" s="45">
        <v>12</v>
      </c>
      <c r="M30" s="45">
        <v>12</v>
      </c>
      <c r="N30" s="45">
        <v>12</v>
      </c>
      <c r="O30" s="45">
        <v>6</v>
      </c>
      <c r="P30" s="45">
        <v>4</v>
      </c>
      <c r="Q30" s="45">
        <v>4</v>
      </c>
      <c r="R30" s="45">
        <v>4</v>
      </c>
      <c r="S30" s="45">
        <v>4</v>
      </c>
      <c r="T30" s="45">
        <v>4</v>
      </c>
      <c r="U30" s="45">
        <v>4</v>
      </c>
      <c r="V30" s="45">
        <v>12</v>
      </c>
      <c r="W30" s="45">
        <v>12</v>
      </c>
      <c r="X30" s="45">
        <v>12</v>
      </c>
      <c r="Y30" s="45">
        <v>12</v>
      </c>
      <c r="Z30" s="45">
        <v>12</v>
      </c>
      <c r="AA30" s="45">
        <v>12</v>
      </c>
      <c r="AB30" s="45">
        <v>6</v>
      </c>
      <c r="AC30" s="45">
        <v>6</v>
      </c>
      <c r="AD30" s="45">
        <v>0</v>
      </c>
      <c r="AE30" s="45">
        <v>0</v>
      </c>
      <c r="AF30" s="45">
        <v>0</v>
      </c>
      <c r="AG30" s="51">
        <v>12</v>
      </c>
      <c r="AH30" s="48">
        <f t="shared" si="2"/>
        <v>12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12</v>
      </c>
      <c r="C31" s="45">
        <v>12</v>
      </c>
      <c r="D31" s="45">
        <v>12</v>
      </c>
      <c r="E31" s="45">
        <v>12</v>
      </c>
      <c r="F31" s="45">
        <v>12</v>
      </c>
      <c r="G31" s="45">
        <v>12</v>
      </c>
      <c r="H31" s="45">
        <v>12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2"/>
        <v>12</v>
      </c>
      <c r="AI31" s="49">
        <f t="shared" si="3"/>
        <v>12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6</v>
      </c>
      <c r="C32" s="45">
        <v>6</v>
      </c>
      <c r="D32" s="45">
        <v>6</v>
      </c>
      <c r="E32" s="45">
        <v>6</v>
      </c>
      <c r="F32" s="45">
        <v>6</v>
      </c>
      <c r="G32" s="45">
        <v>6</v>
      </c>
      <c r="H32" s="45">
        <v>6</v>
      </c>
      <c r="I32" s="45">
        <v>6</v>
      </c>
      <c r="J32" s="45">
        <v>6</v>
      </c>
      <c r="K32" s="45">
        <v>6</v>
      </c>
      <c r="L32" s="45">
        <v>6</v>
      </c>
      <c r="M32" s="45">
        <v>6</v>
      </c>
      <c r="N32" s="45">
        <v>6</v>
      </c>
      <c r="O32" s="45">
        <v>6</v>
      </c>
      <c r="P32" s="45">
        <v>6</v>
      </c>
      <c r="Q32" s="45">
        <v>6</v>
      </c>
      <c r="R32" s="45">
        <v>6</v>
      </c>
      <c r="S32" s="45">
        <v>6</v>
      </c>
      <c r="T32" s="45">
        <v>6</v>
      </c>
      <c r="U32" s="45">
        <v>6</v>
      </c>
      <c r="V32" s="45">
        <v>6</v>
      </c>
      <c r="W32" s="45">
        <v>6</v>
      </c>
      <c r="X32" s="45">
        <v>12</v>
      </c>
      <c r="Y32" s="45">
        <v>12</v>
      </c>
      <c r="Z32" s="45">
        <v>12</v>
      </c>
      <c r="AA32" s="45">
        <v>12</v>
      </c>
      <c r="AB32" s="45">
        <v>12</v>
      </c>
      <c r="AC32" s="45">
        <v>12</v>
      </c>
      <c r="AD32" s="45">
        <v>12</v>
      </c>
      <c r="AE32" s="45">
        <v>12</v>
      </c>
      <c r="AF32" s="45">
        <v>12</v>
      </c>
      <c r="AG32" s="51">
        <v>12</v>
      </c>
      <c r="AH32" s="48">
        <f t="shared" si="2"/>
        <v>12</v>
      </c>
      <c r="AI32" s="49">
        <f t="shared" si="3"/>
        <v>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12</v>
      </c>
      <c r="C33" s="45">
        <v>12</v>
      </c>
      <c r="D33" s="45">
        <v>12</v>
      </c>
      <c r="E33" s="45">
        <v>12</v>
      </c>
      <c r="F33" s="45">
        <v>12</v>
      </c>
      <c r="G33" s="45">
        <v>12</v>
      </c>
      <c r="H33" s="45">
        <v>12</v>
      </c>
      <c r="I33" s="45">
        <v>12</v>
      </c>
      <c r="J33" s="45">
        <v>12</v>
      </c>
      <c r="K33" s="45">
        <v>12</v>
      </c>
      <c r="L33" s="45">
        <v>12</v>
      </c>
      <c r="M33" s="45">
        <v>12</v>
      </c>
      <c r="N33" s="45">
        <v>12</v>
      </c>
      <c r="O33" s="45">
        <v>12</v>
      </c>
      <c r="P33" s="45">
        <v>12</v>
      </c>
      <c r="Q33" s="45">
        <v>12</v>
      </c>
      <c r="R33" s="45">
        <v>12</v>
      </c>
      <c r="S33" s="45">
        <v>12</v>
      </c>
      <c r="T33" s="45">
        <v>12</v>
      </c>
      <c r="U33" s="45">
        <v>12</v>
      </c>
      <c r="V33" s="45">
        <v>12</v>
      </c>
      <c r="W33" s="45">
        <v>12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3">
        <v>22</v>
      </c>
      <c r="AH33" s="48">
        <f t="shared" si="2"/>
        <v>12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12</v>
      </c>
      <c r="C34" s="45">
        <v>12</v>
      </c>
      <c r="D34" s="45">
        <v>12</v>
      </c>
      <c r="E34" s="45">
        <v>12</v>
      </c>
      <c r="F34" s="45">
        <v>12</v>
      </c>
      <c r="G34" s="45">
        <v>12</v>
      </c>
      <c r="H34" s="45">
        <v>12</v>
      </c>
      <c r="I34" s="45">
        <v>12</v>
      </c>
      <c r="J34" s="45">
        <v>12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52">
        <v>11.88</v>
      </c>
      <c r="AH34" s="48">
        <f t="shared" si="2"/>
        <v>12</v>
      </c>
      <c r="AI34" s="49">
        <f t="shared" si="3"/>
        <v>0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7</v>
      </c>
      <c r="C35" s="45">
        <v>7</v>
      </c>
      <c r="D35" s="45">
        <v>7</v>
      </c>
      <c r="E35" s="45">
        <v>7</v>
      </c>
      <c r="F35" s="45">
        <v>7</v>
      </c>
      <c r="G35" s="45">
        <v>7</v>
      </c>
      <c r="H35" s="45">
        <v>7</v>
      </c>
      <c r="I35" s="45">
        <v>7</v>
      </c>
      <c r="J35" s="45">
        <v>7</v>
      </c>
      <c r="K35" s="45">
        <v>7</v>
      </c>
      <c r="L35" s="45">
        <v>7</v>
      </c>
      <c r="M35" s="45">
        <v>7</v>
      </c>
      <c r="N35" s="45">
        <v>7</v>
      </c>
      <c r="O35" s="45">
        <v>7</v>
      </c>
      <c r="P35" s="45">
        <v>7</v>
      </c>
      <c r="Q35" s="45">
        <v>7</v>
      </c>
      <c r="R35" s="45">
        <v>7</v>
      </c>
      <c r="S35" s="45">
        <v>7</v>
      </c>
      <c r="T35" s="45">
        <v>7</v>
      </c>
      <c r="U35" s="45">
        <v>7</v>
      </c>
      <c r="V35" s="45">
        <v>7</v>
      </c>
      <c r="W35" s="45">
        <v>7</v>
      </c>
      <c r="X35" s="45">
        <v>8</v>
      </c>
      <c r="Y35" s="45">
        <v>8</v>
      </c>
      <c r="Z35" s="45">
        <v>8</v>
      </c>
      <c r="AA35" s="45">
        <v>8</v>
      </c>
      <c r="AB35" s="45">
        <v>8</v>
      </c>
      <c r="AC35" s="45">
        <v>8</v>
      </c>
      <c r="AD35" s="45">
        <v>8</v>
      </c>
      <c r="AE35" s="45">
        <v>8</v>
      </c>
      <c r="AF35" s="45">
        <v>8</v>
      </c>
      <c r="AG35" s="55">
        <v>11</v>
      </c>
      <c r="AH35" s="48">
        <f t="shared" si="2"/>
        <v>8</v>
      </c>
      <c r="AI35" s="49">
        <f t="shared" si="3"/>
        <v>7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9.3000000000000007</v>
      </c>
      <c r="C36" s="45">
        <v>9.3000000000000007</v>
      </c>
      <c r="D36" s="45">
        <v>9.3000000000000007</v>
      </c>
      <c r="E36" s="45">
        <v>9.3000000000000007</v>
      </c>
      <c r="F36" s="45">
        <v>9.3000000000000007</v>
      </c>
      <c r="G36" s="45">
        <v>9.3000000000000007</v>
      </c>
      <c r="H36" s="45">
        <v>9.3000000000000007</v>
      </c>
      <c r="I36" s="45">
        <v>9.3000000000000007</v>
      </c>
      <c r="J36" s="45">
        <v>9.3000000000000007</v>
      </c>
      <c r="K36" s="45">
        <v>9.3000000000000007</v>
      </c>
      <c r="L36" s="45">
        <v>9.3000000000000007</v>
      </c>
      <c r="M36" s="45">
        <v>9.3000000000000007</v>
      </c>
      <c r="N36" s="45">
        <v>9.3000000000000007</v>
      </c>
      <c r="O36" s="45">
        <v>9.3000000000000007</v>
      </c>
      <c r="P36" s="45">
        <v>9.3000000000000007</v>
      </c>
      <c r="Q36" s="45">
        <v>9.3000000000000007</v>
      </c>
      <c r="R36" s="45">
        <v>9.3000000000000007</v>
      </c>
      <c r="S36" s="45">
        <v>9.3000000000000007</v>
      </c>
      <c r="T36" s="45">
        <v>9.3000000000000007</v>
      </c>
      <c r="U36" s="45">
        <v>9.3000000000000007</v>
      </c>
      <c r="V36" s="45">
        <v>9.3000000000000007</v>
      </c>
      <c r="W36" s="45">
        <v>9.3000000000000007</v>
      </c>
      <c r="X36" s="45">
        <v>9</v>
      </c>
      <c r="Y36" s="45">
        <v>9</v>
      </c>
      <c r="Z36" s="45">
        <v>9</v>
      </c>
      <c r="AA36" s="45">
        <v>9</v>
      </c>
      <c r="AB36" s="45">
        <v>9</v>
      </c>
      <c r="AC36" s="45">
        <v>9</v>
      </c>
      <c r="AD36" s="45">
        <v>9</v>
      </c>
      <c r="AE36" s="45">
        <v>9</v>
      </c>
      <c r="AF36" s="45">
        <v>9</v>
      </c>
      <c r="AG36" s="55">
        <v>10</v>
      </c>
      <c r="AH36" s="48">
        <f t="shared" si="2"/>
        <v>9.3000000000000007</v>
      </c>
      <c r="AI36" s="49">
        <f t="shared" si="3"/>
        <v>9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2</v>
      </c>
      <c r="N37" s="45">
        <v>2</v>
      </c>
      <c r="O37" s="45">
        <v>2</v>
      </c>
      <c r="P37" s="45">
        <v>2</v>
      </c>
      <c r="Q37" s="45">
        <v>2</v>
      </c>
      <c r="R37" s="45">
        <v>2</v>
      </c>
      <c r="S37" s="45">
        <v>2</v>
      </c>
      <c r="T37" s="45">
        <v>2</v>
      </c>
      <c r="U37" s="45">
        <v>2</v>
      </c>
      <c r="V37" s="45">
        <v>2</v>
      </c>
      <c r="W37" s="45">
        <v>2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2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300</v>
      </c>
      <c r="C38" s="57">
        <v>300</v>
      </c>
      <c r="D38" s="57">
        <v>300</v>
      </c>
      <c r="E38" s="57">
        <v>300</v>
      </c>
      <c r="F38" s="57">
        <v>300</v>
      </c>
      <c r="G38" s="57">
        <v>300</v>
      </c>
      <c r="H38" s="57">
        <v>300</v>
      </c>
      <c r="I38" s="57">
        <v>300</v>
      </c>
      <c r="J38" s="57">
        <v>300</v>
      </c>
      <c r="K38" s="57">
        <v>300</v>
      </c>
      <c r="L38" s="57">
        <v>300</v>
      </c>
      <c r="M38" s="57">
        <v>300</v>
      </c>
      <c r="N38" s="57">
        <v>300</v>
      </c>
      <c r="O38" s="57">
        <v>300</v>
      </c>
      <c r="P38" s="57">
        <v>300</v>
      </c>
      <c r="Q38" s="57">
        <v>300</v>
      </c>
      <c r="R38" s="57">
        <v>300</v>
      </c>
      <c r="S38" s="57">
        <v>300</v>
      </c>
      <c r="T38" s="57">
        <v>300</v>
      </c>
      <c r="U38" s="57">
        <v>300</v>
      </c>
      <c r="V38" s="57">
        <v>300</v>
      </c>
      <c r="W38" s="57">
        <v>300</v>
      </c>
      <c r="X38" s="57">
        <v>300</v>
      </c>
      <c r="Y38" s="57">
        <v>300</v>
      </c>
      <c r="Z38" s="57">
        <v>300</v>
      </c>
      <c r="AA38" s="57">
        <v>300</v>
      </c>
      <c r="AB38" s="57">
        <v>300</v>
      </c>
      <c r="AC38" s="57">
        <v>300</v>
      </c>
      <c r="AD38" s="57">
        <v>300</v>
      </c>
      <c r="AE38" s="57">
        <v>300</v>
      </c>
      <c r="AF38" s="57">
        <v>300</v>
      </c>
      <c r="AG38" s="55">
        <v>85</v>
      </c>
      <c r="AH38" s="48">
        <f t="shared" si="2"/>
        <v>300</v>
      </c>
      <c r="AI38" s="49">
        <f t="shared" si="3"/>
        <v>300</v>
      </c>
      <c r="AK38" s="50"/>
    </row>
    <row r="39" spans="1:88" ht="15.75" thickBot="1" x14ac:dyDescent="0.3">
      <c r="A39" s="58" t="s">
        <v>47</v>
      </c>
      <c r="B39" s="59">
        <v>134</v>
      </c>
      <c r="C39" s="59">
        <v>134</v>
      </c>
      <c r="D39" s="59">
        <v>134</v>
      </c>
      <c r="E39" s="59">
        <v>134</v>
      </c>
      <c r="F39" s="59">
        <v>134</v>
      </c>
      <c r="G39" s="59">
        <v>134</v>
      </c>
      <c r="H39" s="59">
        <v>134</v>
      </c>
      <c r="I39" s="59">
        <v>133</v>
      </c>
      <c r="J39" s="59">
        <v>127</v>
      </c>
      <c r="K39" s="59">
        <v>127</v>
      </c>
      <c r="L39" s="59">
        <v>134</v>
      </c>
      <c r="M39" s="59">
        <v>134</v>
      </c>
      <c r="N39" s="59">
        <v>134</v>
      </c>
      <c r="O39" s="59">
        <v>134</v>
      </c>
      <c r="P39" s="59">
        <v>134</v>
      </c>
      <c r="Q39" s="59">
        <v>134</v>
      </c>
      <c r="R39" s="59">
        <v>134</v>
      </c>
      <c r="S39" s="59">
        <f>36.7+96</f>
        <v>132.69999999999999</v>
      </c>
      <c r="T39" s="59">
        <f>34.4+96.5</f>
        <v>130.9</v>
      </c>
      <c r="U39" s="59">
        <f>35.7+96.4</f>
        <v>132.10000000000002</v>
      </c>
      <c r="V39" s="59">
        <f>30.3+96</f>
        <v>126.3</v>
      </c>
      <c r="W39" s="59">
        <f>34.2+95.6</f>
        <v>129.80000000000001</v>
      </c>
      <c r="X39" s="59">
        <v>127</v>
      </c>
      <c r="Y39" s="59">
        <v>127.3</v>
      </c>
      <c r="Z39" s="59">
        <f>34.2+98</f>
        <v>132.19999999999999</v>
      </c>
      <c r="AA39" s="59">
        <f>33.6+97.1</f>
        <v>130.69999999999999</v>
      </c>
      <c r="AB39" s="59">
        <f>33.7+97.9</f>
        <v>131.60000000000002</v>
      </c>
      <c r="AC39" s="59">
        <f>33.7+97.9</f>
        <v>131.60000000000002</v>
      </c>
      <c r="AD39" s="59">
        <f>33.7+97.9</f>
        <v>131.60000000000002</v>
      </c>
      <c r="AE39" s="59">
        <f>33.7+97.9</f>
        <v>131.60000000000002</v>
      </c>
      <c r="AF39" s="59">
        <f>33.7+97.9</f>
        <v>131.60000000000002</v>
      </c>
      <c r="AG39" s="55">
        <v>240</v>
      </c>
      <c r="AH39" s="48">
        <f t="shared" si="2"/>
        <v>134</v>
      </c>
      <c r="AI39" s="49">
        <f t="shared" si="3"/>
        <v>126.3</v>
      </c>
      <c r="AK39" s="50"/>
    </row>
    <row r="40" spans="1:88" ht="15.75" thickBot="1" x14ac:dyDescent="0.3">
      <c r="A40" s="60" t="s">
        <v>48</v>
      </c>
      <c r="B40" s="61">
        <f t="shared" ref="B40" si="4">SUM(B11:B38)</f>
        <v>712.90000000000009</v>
      </c>
      <c r="C40" s="61">
        <f t="shared" ref="C40:AG40" si="5">SUM(C11:C38)</f>
        <v>712.90000000000009</v>
      </c>
      <c r="D40" s="61">
        <f t="shared" si="5"/>
        <v>712.90000000000009</v>
      </c>
      <c r="E40" s="61">
        <f t="shared" si="5"/>
        <v>712.90000000000009</v>
      </c>
      <c r="F40" s="61">
        <f t="shared" si="5"/>
        <v>712.90000000000009</v>
      </c>
      <c r="G40" s="61">
        <f t="shared" si="5"/>
        <v>712.90000000000009</v>
      </c>
      <c r="H40" s="61">
        <f t="shared" si="5"/>
        <v>712.90000000000009</v>
      </c>
      <c r="I40" s="61">
        <f t="shared" si="5"/>
        <v>737.7</v>
      </c>
      <c r="J40" s="61">
        <f t="shared" si="5"/>
        <v>768.5</v>
      </c>
      <c r="K40" s="61">
        <f t="shared" si="5"/>
        <v>803.5</v>
      </c>
      <c r="L40" s="61">
        <f t="shared" si="5"/>
        <v>836.8</v>
      </c>
      <c r="M40" s="61">
        <f t="shared" si="5"/>
        <v>818.8</v>
      </c>
      <c r="N40" s="61">
        <f t="shared" si="5"/>
        <v>813.8</v>
      </c>
      <c r="O40" s="61">
        <f t="shared" si="5"/>
        <v>755.8</v>
      </c>
      <c r="P40" s="61">
        <f t="shared" si="5"/>
        <v>766.8</v>
      </c>
      <c r="Q40" s="61">
        <f t="shared" si="5"/>
        <v>778.8</v>
      </c>
      <c r="R40" s="61">
        <f t="shared" si="5"/>
        <v>773.8</v>
      </c>
      <c r="S40" s="61">
        <f t="shared" si="5"/>
        <v>764.8</v>
      </c>
      <c r="T40" s="61">
        <f t="shared" si="5"/>
        <v>764.8</v>
      </c>
      <c r="U40" s="61">
        <f t="shared" si="5"/>
        <v>764.8</v>
      </c>
      <c r="V40" s="61">
        <f t="shared" si="5"/>
        <v>782.8</v>
      </c>
      <c r="W40" s="61">
        <f t="shared" si="5"/>
        <v>783</v>
      </c>
      <c r="X40" s="61">
        <f t="shared" si="5"/>
        <v>794.09999999999991</v>
      </c>
      <c r="Y40" s="61">
        <f t="shared" si="5"/>
        <v>805.3</v>
      </c>
      <c r="Z40" s="61">
        <f t="shared" si="5"/>
        <v>805.3</v>
      </c>
      <c r="AA40" s="61">
        <f t="shared" si="5"/>
        <v>800.4</v>
      </c>
      <c r="AB40" s="61">
        <f t="shared" si="5"/>
        <v>777.40000000000009</v>
      </c>
      <c r="AC40" s="61">
        <f t="shared" si="5"/>
        <v>764.7</v>
      </c>
      <c r="AD40" s="61">
        <f t="shared" si="5"/>
        <v>744.8</v>
      </c>
      <c r="AE40" s="61">
        <f t="shared" si="5"/>
        <v>734.8</v>
      </c>
      <c r="AF40" s="61">
        <f t="shared" si="5"/>
        <v>729.8</v>
      </c>
      <c r="AG40" s="62">
        <f t="shared" si="5"/>
        <v>707.78000000000009</v>
      </c>
      <c r="AH40" s="48">
        <f t="shared" si="2"/>
        <v>836.8</v>
      </c>
      <c r="AI40" s="49">
        <f t="shared" si="3"/>
        <v>712.90000000000009</v>
      </c>
      <c r="AK40" s="50"/>
    </row>
    <row r="41" spans="1:88" x14ac:dyDescent="0.25">
      <c r="A41" s="63" t="s">
        <v>49</v>
      </c>
      <c r="B41" s="45">
        <v>330</v>
      </c>
      <c r="C41" s="45">
        <v>340</v>
      </c>
      <c r="D41" s="45">
        <v>320</v>
      </c>
      <c r="E41" s="45">
        <v>310</v>
      </c>
      <c r="F41" s="45">
        <v>305</v>
      </c>
      <c r="G41" s="45">
        <v>305</v>
      </c>
      <c r="H41" s="45">
        <v>305</v>
      </c>
      <c r="I41" s="45">
        <v>330</v>
      </c>
      <c r="J41" s="45">
        <v>370</v>
      </c>
      <c r="K41" s="45">
        <v>370</v>
      </c>
      <c r="L41" s="45">
        <v>410</v>
      </c>
      <c r="M41" s="45">
        <v>410</v>
      </c>
      <c r="N41" s="45">
        <v>360</v>
      </c>
      <c r="O41" s="45">
        <v>380</v>
      </c>
      <c r="P41" s="45">
        <v>380</v>
      </c>
      <c r="Q41" s="45">
        <v>365</v>
      </c>
      <c r="R41" s="45">
        <v>350</v>
      </c>
      <c r="S41" s="45">
        <v>350</v>
      </c>
      <c r="T41" s="45">
        <v>380</v>
      </c>
      <c r="U41" s="45">
        <v>340</v>
      </c>
      <c r="V41" s="45">
        <v>320</v>
      </c>
      <c r="W41" s="45">
        <v>320</v>
      </c>
      <c r="X41" s="45">
        <v>370</v>
      </c>
      <c r="Y41" s="45">
        <v>370</v>
      </c>
      <c r="Z41" s="45">
        <v>370</v>
      </c>
      <c r="AA41" s="45">
        <v>340</v>
      </c>
      <c r="AB41" s="45">
        <v>340</v>
      </c>
      <c r="AC41" s="45">
        <v>340</v>
      </c>
      <c r="AD41" s="45">
        <v>320</v>
      </c>
      <c r="AE41" s="45">
        <v>270</v>
      </c>
      <c r="AF41" s="45">
        <v>290</v>
      </c>
      <c r="AG41" s="52">
        <v>456</v>
      </c>
      <c r="AH41" s="48">
        <f t="shared" si="2"/>
        <v>410</v>
      </c>
      <c r="AI41" s="49">
        <f t="shared" si="3"/>
        <v>270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22</v>
      </c>
      <c r="C43" s="67">
        <v>22</v>
      </c>
      <c r="D43" s="67">
        <v>22</v>
      </c>
      <c r="E43" s="67">
        <v>22</v>
      </c>
      <c r="F43" s="67">
        <v>22</v>
      </c>
      <c r="G43" s="67">
        <v>22</v>
      </c>
      <c r="H43" s="67">
        <v>22</v>
      </c>
      <c r="I43" s="67">
        <v>22</v>
      </c>
      <c r="J43" s="67">
        <v>22</v>
      </c>
      <c r="K43" s="67">
        <v>22</v>
      </c>
      <c r="L43" s="67">
        <v>22</v>
      </c>
      <c r="M43" s="67">
        <v>22</v>
      </c>
      <c r="N43" s="67">
        <v>22</v>
      </c>
      <c r="O43" s="67">
        <v>22</v>
      </c>
      <c r="P43" s="67">
        <v>22</v>
      </c>
      <c r="Q43" s="67">
        <v>22</v>
      </c>
      <c r="R43" s="67">
        <v>22</v>
      </c>
      <c r="S43" s="67">
        <v>22</v>
      </c>
      <c r="T43" s="67">
        <v>22</v>
      </c>
      <c r="U43" s="67">
        <v>22</v>
      </c>
      <c r="V43" s="67">
        <v>22</v>
      </c>
      <c r="W43" s="67">
        <v>22</v>
      </c>
      <c r="X43" s="67">
        <v>22</v>
      </c>
      <c r="Y43" s="67">
        <v>22</v>
      </c>
      <c r="Z43" s="67">
        <v>22</v>
      </c>
      <c r="AA43" s="67">
        <v>22</v>
      </c>
      <c r="AB43" s="67">
        <v>22</v>
      </c>
      <c r="AC43" s="67">
        <v>22</v>
      </c>
      <c r="AD43" s="67">
        <v>22</v>
      </c>
      <c r="AE43" s="67">
        <v>22</v>
      </c>
      <c r="AF43" s="67">
        <v>22</v>
      </c>
      <c r="AG43" s="68">
        <v>22.1</v>
      </c>
      <c r="AH43" s="48">
        <f t="shared" si="2"/>
        <v>22</v>
      </c>
      <c r="AI43" s="49">
        <f t="shared" si="3"/>
        <v>22</v>
      </c>
      <c r="AK43" s="50"/>
    </row>
    <row r="44" spans="1:88" ht="15.75" thickBot="1" x14ac:dyDescent="0.3">
      <c r="A44" s="69" t="s">
        <v>52</v>
      </c>
      <c r="B44" s="61">
        <f t="shared" ref="B44" si="6">SUM(B41:B43)</f>
        <v>412</v>
      </c>
      <c r="C44" s="61">
        <f t="shared" ref="C44:AG44" si="7">SUM(C41:C43)</f>
        <v>422</v>
      </c>
      <c r="D44" s="61">
        <f t="shared" si="7"/>
        <v>402</v>
      </c>
      <c r="E44" s="61">
        <f t="shared" si="7"/>
        <v>392</v>
      </c>
      <c r="F44" s="61">
        <f t="shared" si="7"/>
        <v>387</v>
      </c>
      <c r="G44" s="61">
        <f t="shared" si="7"/>
        <v>387</v>
      </c>
      <c r="H44" s="61">
        <f t="shared" si="7"/>
        <v>387</v>
      </c>
      <c r="I44" s="61">
        <f t="shared" si="7"/>
        <v>412</v>
      </c>
      <c r="J44" s="61">
        <f t="shared" si="7"/>
        <v>452</v>
      </c>
      <c r="K44" s="61">
        <f t="shared" si="7"/>
        <v>452</v>
      </c>
      <c r="L44" s="61">
        <f t="shared" si="7"/>
        <v>492</v>
      </c>
      <c r="M44" s="61">
        <f t="shared" si="7"/>
        <v>492</v>
      </c>
      <c r="N44" s="61">
        <f t="shared" si="7"/>
        <v>442</v>
      </c>
      <c r="O44" s="61">
        <f t="shared" si="7"/>
        <v>462</v>
      </c>
      <c r="P44" s="61">
        <f t="shared" si="7"/>
        <v>462</v>
      </c>
      <c r="Q44" s="61">
        <f t="shared" si="7"/>
        <v>447</v>
      </c>
      <c r="R44" s="61">
        <f t="shared" si="7"/>
        <v>432</v>
      </c>
      <c r="S44" s="61">
        <f t="shared" si="7"/>
        <v>432</v>
      </c>
      <c r="T44" s="61">
        <f t="shared" si="7"/>
        <v>462</v>
      </c>
      <c r="U44" s="61">
        <f t="shared" si="7"/>
        <v>422</v>
      </c>
      <c r="V44" s="61">
        <f t="shared" si="7"/>
        <v>402</v>
      </c>
      <c r="W44" s="61">
        <f t="shared" si="7"/>
        <v>402</v>
      </c>
      <c r="X44" s="61">
        <f t="shared" si="7"/>
        <v>452</v>
      </c>
      <c r="Y44" s="61">
        <f t="shared" si="7"/>
        <v>452</v>
      </c>
      <c r="Z44" s="61">
        <f t="shared" si="7"/>
        <v>452</v>
      </c>
      <c r="AA44" s="61">
        <f t="shared" si="7"/>
        <v>422</v>
      </c>
      <c r="AB44" s="61">
        <f t="shared" si="7"/>
        <v>422</v>
      </c>
      <c r="AC44" s="61">
        <f t="shared" si="7"/>
        <v>422</v>
      </c>
      <c r="AD44" s="61">
        <f t="shared" si="7"/>
        <v>402</v>
      </c>
      <c r="AE44" s="61">
        <f t="shared" si="7"/>
        <v>352</v>
      </c>
      <c r="AF44" s="61">
        <f t="shared" si="7"/>
        <v>372</v>
      </c>
      <c r="AG44" s="62">
        <f t="shared" si="7"/>
        <v>538.1</v>
      </c>
      <c r="AH44" s="48">
        <f t="shared" si="2"/>
        <v>492</v>
      </c>
      <c r="AI44" s="49">
        <f t="shared" si="3"/>
        <v>352</v>
      </c>
      <c r="AK44" s="50"/>
    </row>
    <row r="45" spans="1:88" x14ac:dyDescent="0.25">
      <c r="A45" s="44" t="s">
        <v>53</v>
      </c>
      <c r="B45" s="45">
        <v>82</v>
      </c>
      <c r="C45" s="45">
        <v>82</v>
      </c>
      <c r="D45" s="45">
        <v>76.900000000000006</v>
      </c>
      <c r="E45" s="45">
        <v>92.4</v>
      </c>
      <c r="F45" s="45">
        <v>81.900000000000006</v>
      </c>
      <c r="G45" s="45">
        <v>91.9</v>
      </c>
      <c r="H45" s="45">
        <v>91.9</v>
      </c>
      <c r="I45" s="45">
        <v>92</v>
      </c>
      <c r="J45" s="45">
        <v>92.2</v>
      </c>
      <c r="K45" s="45">
        <v>92.2</v>
      </c>
      <c r="L45" s="45">
        <v>92</v>
      </c>
      <c r="M45" s="45">
        <v>92</v>
      </c>
      <c r="N45" s="45">
        <v>92</v>
      </c>
      <c r="O45" s="45">
        <v>94</v>
      </c>
      <c r="P45" s="45">
        <v>94</v>
      </c>
      <c r="Q45" s="45">
        <v>94</v>
      </c>
      <c r="R45" s="45">
        <v>94</v>
      </c>
      <c r="S45" s="45">
        <v>94</v>
      </c>
      <c r="T45" s="45">
        <v>94</v>
      </c>
      <c r="U45" s="45">
        <v>94</v>
      </c>
      <c r="V45" s="45">
        <v>94</v>
      </c>
      <c r="W45" s="45">
        <v>94</v>
      </c>
      <c r="X45" s="45">
        <v>94</v>
      </c>
      <c r="Y45" s="45">
        <v>94.1</v>
      </c>
      <c r="Z45" s="45">
        <v>94.1</v>
      </c>
      <c r="AA45" s="45">
        <v>94.1</v>
      </c>
      <c r="AB45" s="45">
        <v>94.1</v>
      </c>
      <c r="AC45" s="45">
        <v>94.1</v>
      </c>
      <c r="AD45" s="45">
        <v>94.1</v>
      </c>
      <c r="AE45" s="45">
        <v>94.1</v>
      </c>
      <c r="AF45" s="45">
        <v>81</v>
      </c>
      <c r="AG45" s="52">
        <v>144</v>
      </c>
      <c r="AH45" s="48">
        <f t="shared" si="2"/>
        <v>94.1</v>
      </c>
      <c r="AI45" s="49">
        <f t="shared" si="3"/>
        <v>76.900000000000006</v>
      </c>
      <c r="AK45" s="50"/>
    </row>
    <row r="46" spans="1:88" x14ac:dyDescent="0.25">
      <c r="A46" s="54" t="s">
        <v>54</v>
      </c>
      <c r="B46" s="65">
        <v>61.8</v>
      </c>
      <c r="C46" s="65">
        <v>61.8</v>
      </c>
      <c r="D46" s="65">
        <v>61.8</v>
      </c>
      <c r="E46" s="65">
        <v>61.9</v>
      </c>
      <c r="F46" s="65">
        <v>66</v>
      </c>
      <c r="G46" s="65">
        <v>71.2</v>
      </c>
      <c r="H46" s="65">
        <v>71.2</v>
      </c>
      <c r="I46" s="65">
        <v>72.3</v>
      </c>
      <c r="J46" s="65">
        <v>71.900000000000006</v>
      </c>
      <c r="K46" s="65">
        <v>71.900000000000006</v>
      </c>
      <c r="L46" s="65">
        <v>72.400000000000006</v>
      </c>
      <c r="M46" s="65">
        <v>72.400000000000006</v>
      </c>
      <c r="N46" s="65">
        <v>72.400000000000006</v>
      </c>
      <c r="O46" s="45">
        <v>71.8</v>
      </c>
      <c r="P46" s="45">
        <v>72</v>
      </c>
      <c r="Q46" s="45">
        <v>72</v>
      </c>
      <c r="R46" s="45">
        <v>72</v>
      </c>
      <c r="S46" s="45">
        <v>72</v>
      </c>
      <c r="T46" s="45">
        <v>72</v>
      </c>
      <c r="U46" s="45">
        <v>72</v>
      </c>
      <c r="V46" s="45">
        <v>60</v>
      </c>
      <c r="W46" s="45">
        <v>71</v>
      </c>
      <c r="X46" s="65">
        <v>71.8</v>
      </c>
      <c r="Y46" s="65">
        <v>71.8</v>
      </c>
      <c r="Z46" s="65">
        <v>71.2</v>
      </c>
      <c r="AA46" s="65">
        <v>71.2</v>
      </c>
      <c r="AB46" s="65">
        <v>71.2</v>
      </c>
      <c r="AC46" s="65">
        <v>71.2</v>
      </c>
      <c r="AD46" s="65">
        <v>71.2</v>
      </c>
      <c r="AE46" s="65">
        <v>60</v>
      </c>
      <c r="AF46" s="65">
        <v>51</v>
      </c>
      <c r="AG46" s="55">
        <v>70</v>
      </c>
      <c r="AH46" s="48">
        <f t="shared" si="2"/>
        <v>72.400000000000006</v>
      </c>
      <c r="AI46" s="49">
        <f t="shared" si="3"/>
        <v>51</v>
      </c>
      <c r="AK46" s="50"/>
    </row>
    <row r="47" spans="1:88" x14ac:dyDescent="0.25">
      <c r="A47" s="54" t="s">
        <v>55</v>
      </c>
      <c r="B47" s="65">
        <v>41</v>
      </c>
      <c r="C47" s="65">
        <v>41</v>
      </c>
      <c r="D47" s="65">
        <v>41.2</v>
      </c>
      <c r="E47" s="65">
        <v>40.5</v>
      </c>
      <c r="F47" s="65">
        <v>40.700000000000003</v>
      </c>
      <c r="G47" s="65">
        <v>40.4</v>
      </c>
      <c r="H47" s="65">
        <v>40.4</v>
      </c>
      <c r="I47" s="65">
        <v>42</v>
      </c>
      <c r="J47" s="65">
        <v>44</v>
      </c>
      <c r="K47" s="65">
        <v>44</v>
      </c>
      <c r="L47" s="65">
        <v>44.7</v>
      </c>
      <c r="M47" s="65">
        <v>60</v>
      </c>
      <c r="N47" s="65">
        <v>60</v>
      </c>
      <c r="O47" s="45">
        <v>60</v>
      </c>
      <c r="P47" s="45">
        <v>60</v>
      </c>
      <c r="Q47" s="45">
        <v>60</v>
      </c>
      <c r="R47" s="45">
        <v>60</v>
      </c>
      <c r="S47" s="45">
        <v>60</v>
      </c>
      <c r="T47" s="45">
        <v>60</v>
      </c>
      <c r="U47" s="45">
        <v>60</v>
      </c>
      <c r="V47" s="45">
        <v>60</v>
      </c>
      <c r="W47" s="45">
        <v>60</v>
      </c>
      <c r="X47" s="65">
        <v>61.1</v>
      </c>
      <c r="Y47" s="65">
        <v>61.4</v>
      </c>
      <c r="Z47" s="65">
        <v>61.2</v>
      </c>
      <c r="AA47" s="65">
        <v>61.2</v>
      </c>
      <c r="AB47" s="65">
        <v>61.2</v>
      </c>
      <c r="AC47" s="65">
        <v>61.2</v>
      </c>
      <c r="AD47" s="65">
        <v>51</v>
      </c>
      <c r="AE47" s="65">
        <v>40</v>
      </c>
      <c r="AF47" s="65">
        <v>41</v>
      </c>
      <c r="AG47" s="55">
        <v>69</v>
      </c>
      <c r="AH47" s="48">
        <f t="shared" si="2"/>
        <v>61.4</v>
      </c>
      <c r="AI47" s="49">
        <f t="shared" si="3"/>
        <v>40</v>
      </c>
      <c r="AK47" s="50"/>
    </row>
    <row r="48" spans="1:88" x14ac:dyDescent="0.25">
      <c r="A48" s="54" t="s">
        <v>56</v>
      </c>
      <c r="B48" s="57">
        <v>40</v>
      </c>
      <c r="C48" s="57">
        <v>52.4</v>
      </c>
      <c r="D48" s="57">
        <v>42.6</v>
      </c>
      <c r="E48" s="57">
        <v>30</v>
      </c>
      <c r="F48" s="57">
        <v>21.7</v>
      </c>
      <c r="G48" s="57">
        <v>30.5</v>
      </c>
      <c r="H48" s="57">
        <v>59.2</v>
      </c>
      <c r="I48" s="57">
        <v>59.7</v>
      </c>
      <c r="J48" s="57">
        <v>59.7</v>
      </c>
      <c r="K48" s="57">
        <v>59.7</v>
      </c>
      <c r="L48" s="57">
        <v>60</v>
      </c>
      <c r="M48" s="57">
        <v>0</v>
      </c>
      <c r="N48" s="57">
        <v>0</v>
      </c>
      <c r="O48" s="45">
        <v>0</v>
      </c>
      <c r="P48" s="45">
        <v>0</v>
      </c>
      <c r="Q48" s="45">
        <v>0</v>
      </c>
      <c r="R48" s="45">
        <v>0</v>
      </c>
      <c r="S48" s="45">
        <v>0</v>
      </c>
      <c r="T48" s="45">
        <v>0</v>
      </c>
      <c r="U48" s="45">
        <v>0</v>
      </c>
      <c r="V48" s="45">
        <v>51.7</v>
      </c>
      <c r="W48" s="45">
        <v>51.7</v>
      </c>
      <c r="X48" s="65">
        <v>60.9</v>
      </c>
      <c r="Y48" s="65">
        <v>60.9</v>
      </c>
      <c r="Z48" s="65">
        <v>60.9</v>
      </c>
      <c r="AA48" s="65">
        <v>60.9</v>
      </c>
      <c r="AB48" s="65">
        <v>60.9</v>
      </c>
      <c r="AC48" s="65">
        <v>60.9</v>
      </c>
      <c r="AD48" s="65">
        <v>60.9</v>
      </c>
      <c r="AE48" s="65">
        <v>60.9</v>
      </c>
      <c r="AF48" s="57">
        <v>45</v>
      </c>
      <c r="AG48" s="55">
        <v>60</v>
      </c>
      <c r="AH48" s="48">
        <f t="shared" si="2"/>
        <v>60.9</v>
      </c>
      <c r="AI48" s="49">
        <f t="shared" si="3"/>
        <v>0</v>
      </c>
      <c r="AK48" s="50"/>
    </row>
    <row r="49" spans="1:41" x14ac:dyDescent="0.25">
      <c r="A49" s="54" t="s">
        <v>57</v>
      </c>
      <c r="B49" s="57">
        <v>30</v>
      </c>
      <c r="C49" s="57">
        <v>30</v>
      </c>
      <c r="D49" s="57">
        <v>26.1</v>
      </c>
      <c r="E49" s="57">
        <v>15</v>
      </c>
      <c r="F49" s="57">
        <v>15</v>
      </c>
      <c r="G49" s="57">
        <v>15</v>
      </c>
      <c r="H49" s="57">
        <v>30</v>
      </c>
      <c r="I49" s="57">
        <v>30</v>
      </c>
      <c r="J49" s="57">
        <v>30</v>
      </c>
      <c r="K49" s="57">
        <v>30</v>
      </c>
      <c r="L49" s="57">
        <v>30</v>
      </c>
      <c r="M49" s="57">
        <v>30</v>
      </c>
      <c r="N49" s="57">
        <v>30</v>
      </c>
      <c r="O49" s="45">
        <v>29.8</v>
      </c>
      <c r="P49" s="45">
        <v>29.8</v>
      </c>
      <c r="Q49" s="45">
        <v>29.8</v>
      </c>
      <c r="R49" s="45">
        <v>29.8</v>
      </c>
      <c r="S49" s="45">
        <v>29.8</v>
      </c>
      <c r="T49" s="45">
        <v>29.8</v>
      </c>
      <c r="U49" s="45">
        <v>29.8</v>
      </c>
      <c r="V49" s="45">
        <v>29.8</v>
      </c>
      <c r="W49" s="45">
        <v>29.8</v>
      </c>
      <c r="X49" s="65">
        <v>29.5</v>
      </c>
      <c r="Y49" s="65">
        <v>29.5</v>
      </c>
      <c r="Z49" s="65">
        <v>29.4</v>
      </c>
      <c r="AA49" s="65">
        <v>29.4</v>
      </c>
      <c r="AB49" s="65">
        <v>29.4</v>
      </c>
      <c r="AC49" s="65">
        <v>29.4</v>
      </c>
      <c r="AD49" s="65">
        <v>29.4</v>
      </c>
      <c r="AE49" s="65">
        <v>29.4</v>
      </c>
      <c r="AF49" s="65">
        <v>29.4</v>
      </c>
      <c r="AG49" s="55">
        <v>30</v>
      </c>
      <c r="AH49" s="48">
        <f t="shared" si="2"/>
        <v>30</v>
      </c>
      <c r="AI49" s="49">
        <f t="shared" si="3"/>
        <v>15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8</v>
      </c>
      <c r="N50" s="65">
        <v>10</v>
      </c>
      <c r="O50" s="65">
        <v>12</v>
      </c>
      <c r="P50" s="65">
        <v>12</v>
      </c>
      <c r="Q50" s="65">
        <v>12</v>
      </c>
      <c r="R50" s="65">
        <v>14</v>
      </c>
      <c r="S50" s="65">
        <v>12</v>
      </c>
      <c r="T50" s="65">
        <v>12</v>
      </c>
      <c r="U50" s="65">
        <v>12</v>
      </c>
      <c r="V50" s="65">
        <v>0</v>
      </c>
      <c r="W50" s="65">
        <v>0</v>
      </c>
      <c r="X50" s="45">
        <v>0</v>
      </c>
      <c r="Y50" s="45">
        <v>0</v>
      </c>
      <c r="Z50" s="45">
        <v>0</v>
      </c>
      <c r="AA50" s="45">
        <v>0</v>
      </c>
      <c r="AB50" s="45">
        <v>0</v>
      </c>
      <c r="AC50" s="45">
        <v>0</v>
      </c>
      <c r="AD50" s="45">
        <v>0</v>
      </c>
      <c r="AE50" s="45">
        <v>0</v>
      </c>
      <c r="AF50" s="45">
        <v>0</v>
      </c>
      <c r="AG50" s="55">
        <v>25</v>
      </c>
      <c r="AH50" s="48">
        <f t="shared" si="2"/>
        <v>14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6</v>
      </c>
      <c r="C51" s="65">
        <v>6</v>
      </c>
      <c r="D51" s="65">
        <v>6</v>
      </c>
      <c r="E51" s="65">
        <v>5.8</v>
      </c>
      <c r="F51" s="65">
        <v>5.8</v>
      </c>
      <c r="G51" s="65">
        <v>5.9</v>
      </c>
      <c r="H51" s="65">
        <v>5.9</v>
      </c>
      <c r="I51" s="65">
        <v>6</v>
      </c>
      <c r="J51" s="65">
        <v>6</v>
      </c>
      <c r="K51" s="65">
        <v>6</v>
      </c>
      <c r="L51" s="65">
        <v>6</v>
      </c>
      <c r="M51" s="65">
        <v>6</v>
      </c>
      <c r="N51" s="65">
        <v>6</v>
      </c>
      <c r="O51" s="65">
        <v>6</v>
      </c>
      <c r="P51" s="65">
        <v>10.8</v>
      </c>
      <c r="Q51" s="65">
        <v>10.8</v>
      </c>
      <c r="R51" s="65">
        <v>10.8</v>
      </c>
      <c r="S51" s="65">
        <v>5</v>
      </c>
      <c r="T51" s="65">
        <v>5</v>
      </c>
      <c r="U51" s="65">
        <v>10.8</v>
      </c>
      <c r="V51" s="65">
        <v>10.8</v>
      </c>
      <c r="W51" s="65">
        <v>10.8</v>
      </c>
      <c r="X51" s="45">
        <v>11.5</v>
      </c>
      <c r="Y51" s="45">
        <v>11.5</v>
      </c>
      <c r="Z51" s="45">
        <v>11.5</v>
      </c>
      <c r="AA51" s="45">
        <v>11.5</v>
      </c>
      <c r="AB51" s="45">
        <v>11.5</v>
      </c>
      <c r="AC51" s="45">
        <v>11.5</v>
      </c>
      <c r="AD51" s="45">
        <v>11.5</v>
      </c>
      <c r="AE51" s="45">
        <v>11.5</v>
      </c>
      <c r="AF51" s="45">
        <v>11.5</v>
      </c>
      <c r="AG51" s="55">
        <v>24</v>
      </c>
      <c r="AH51" s="48">
        <f t="shared" si="2"/>
        <v>11.5</v>
      </c>
      <c r="AI51" s="49">
        <f t="shared" si="3"/>
        <v>5</v>
      </c>
      <c r="AK51" s="50"/>
    </row>
    <row r="52" spans="1:41" x14ac:dyDescent="0.25">
      <c r="A52" s="54" t="s">
        <v>60</v>
      </c>
      <c r="B52" s="65">
        <v>3</v>
      </c>
      <c r="C52" s="65">
        <v>3</v>
      </c>
      <c r="D52" s="65">
        <v>3</v>
      </c>
      <c r="E52" s="65">
        <v>3</v>
      </c>
      <c r="F52" s="65">
        <v>3</v>
      </c>
      <c r="G52" s="65">
        <v>3</v>
      </c>
      <c r="H52" s="65">
        <v>3</v>
      </c>
      <c r="I52" s="65">
        <v>3</v>
      </c>
      <c r="J52" s="65">
        <v>3</v>
      </c>
      <c r="K52" s="65">
        <v>3</v>
      </c>
      <c r="L52" s="65">
        <v>3</v>
      </c>
      <c r="M52" s="65">
        <v>3</v>
      </c>
      <c r="N52" s="65">
        <v>3</v>
      </c>
      <c r="O52" s="65">
        <v>3</v>
      </c>
      <c r="P52" s="65">
        <v>3</v>
      </c>
      <c r="Q52" s="65">
        <v>3</v>
      </c>
      <c r="R52" s="65">
        <v>3</v>
      </c>
      <c r="S52" s="65">
        <v>3</v>
      </c>
      <c r="T52" s="65">
        <v>3</v>
      </c>
      <c r="U52" s="65">
        <v>3</v>
      </c>
      <c r="V52" s="65">
        <v>3</v>
      </c>
      <c r="W52" s="65">
        <v>3</v>
      </c>
      <c r="X52" s="65">
        <v>3</v>
      </c>
      <c r="Y52" s="65">
        <v>3</v>
      </c>
      <c r="Z52" s="65">
        <v>3</v>
      </c>
      <c r="AA52" s="65">
        <v>3</v>
      </c>
      <c r="AB52" s="65">
        <v>3</v>
      </c>
      <c r="AC52" s="65">
        <v>3</v>
      </c>
      <c r="AD52" s="65">
        <v>3</v>
      </c>
      <c r="AE52" s="65">
        <v>3</v>
      </c>
      <c r="AF52" s="65">
        <v>3</v>
      </c>
      <c r="AG52" s="55">
        <v>15</v>
      </c>
      <c r="AH52" s="48">
        <f t="shared" si="2"/>
        <v>3</v>
      </c>
      <c r="AI52" s="49">
        <f t="shared" si="3"/>
        <v>3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0</v>
      </c>
      <c r="C53" s="65">
        <v>0</v>
      </c>
      <c r="D53" s="65">
        <v>0</v>
      </c>
      <c r="E53" s="65">
        <v>4</v>
      </c>
      <c r="F53" s="65">
        <v>4</v>
      </c>
      <c r="G53" s="65">
        <v>6</v>
      </c>
      <c r="H53" s="65">
        <v>6</v>
      </c>
      <c r="I53" s="65">
        <v>5.7</v>
      </c>
      <c r="J53" s="65">
        <v>5.7</v>
      </c>
      <c r="K53" s="65">
        <v>5.7</v>
      </c>
      <c r="L53" s="65">
        <v>5</v>
      </c>
      <c r="M53" s="65">
        <v>5</v>
      </c>
      <c r="N53" s="65">
        <v>5</v>
      </c>
      <c r="O53" s="65">
        <v>3.5</v>
      </c>
      <c r="P53" s="65">
        <v>4.2</v>
      </c>
      <c r="Q53" s="65">
        <v>4.2</v>
      </c>
      <c r="R53" s="65">
        <v>4.2</v>
      </c>
      <c r="S53" s="65">
        <v>4.2</v>
      </c>
      <c r="T53" s="65">
        <v>4.2</v>
      </c>
      <c r="U53" s="65">
        <v>4.2</v>
      </c>
      <c r="V53" s="65">
        <v>4.2</v>
      </c>
      <c r="W53" s="65">
        <v>4.2</v>
      </c>
      <c r="X53" s="65">
        <v>8</v>
      </c>
      <c r="Y53" s="65">
        <v>8</v>
      </c>
      <c r="Z53" s="65">
        <v>8.3000000000000007</v>
      </c>
      <c r="AA53" s="65">
        <v>8.3000000000000007</v>
      </c>
      <c r="AB53" s="65">
        <v>8.3000000000000007</v>
      </c>
      <c r="AC53" s="65">
        <v>8.3000000000000007</v>
      </c>
      <c r="AD53" s="65">
        <v>8.3000000000000007</v>
      </c>
      <c r="AE53" s="65">
        <v>8.3000000000000007</v>
      </c>
      <c r="AF53" s="65">
        <v>8.3000000000000007</v>
      </c>
      <c r="AG53" s="55">
        <v>14.1</v>
      </c>
      <c r="AH53" s="48">
        <f t="shared" si="2"/>
        <v>8.3000000000000007</v>
      </c>
      <c r="AI53" s="49">
        <f t="shared" si="3"/>
        <v>0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14.2</v>
      </c>
      <c r="C54" s="65">
        <v>14.2</v>
      </c>
      <c r="D54" s="65">
        <v>14.2</v>
      </c>
      <c r="E54" s="65">
        <v>10</v>
      </c>
      <c r="F54" s="65">
        <v>10</v>
      </c>
      <c r="G54" s="65">
        <v>14</v>
      </c>
      <c r="H54" s="65">
        <v>14</v>
      </c>
      <c r="I54" s="65">
        <v>14</v>
      </c>
      <c r="J54" s="65">
        <v>14</v>
      </c>
      <c r="K54" s="65">
        <v>14</v>
      </c>
      <c r="L54" s="65">
        <v>14</v>
      </c>
      <c r="M54" s="65">
        <v>14</v>
      </c>
      <c r="N54" s="65">
        <v>14</v>
      </c>
      <c r="O54" s="65">
        <v>14.1</v>
      </c>
      <c r="P54" s="65">
        <v>14.1</v>
      </c>
      <c r="Q54" s="65">
        <v>14.1</v>
      </c>
      <c r="R54" s="65">
        <v>14.1</v>
      </c>
      <c r="S54" s="65">
        <v>14.1</v>
      </c>
      <c r="T54" s="65">
        <v>14.1</v>
      </c>
      <c r="U54" s="65">
        <v>14.1</v>
      </c>
      <c r="V54" s="65">
        <v>14.1</v>
      </c>
      <c r="W54" s="65">
        <v>14.1</v>
      </c>
      <c r="X54" s="65">
        <v>14</v>
      </c>
      <c r="Y54" s="65">
        <v>14.1</v>
      </c>
      <c r="Z54" s="65">
        <v>14</v>
      </c>
      <c r="AA54" s="65">
        <v>14</v>
      </c>
      <c r="AB54" s="65">
        <v>14</v>
      </c>
      <c r="AC54" s="65">
        <v>14</v>
      </c>
      <c r="AD54" s="65">
        <v>14</v>
      </c>
      <c r="AE54" s="65">
        <v>14</v>
      </c>
      <c r="AF54" s="65">
        <v>14</v>
      </c>
      <c r="AG54" s="55">
        <v>14</v>
      </c>
      <c r="AH54" s="48">
        <f t="shared" si="2"/>
        <v>14.2</v>
      </c>
      <c r="AI54" s="49">
        <f t="shared" si="3"/>
        <v>10</v>
      </c>
      <c r="AK54" s="50"/>
    </row>
    <row r="55" spans="1:41" x14ac:dyDescent="0.25">
      <c r="A55" s="54" t="s">
        <v>63</v>
      </c>
      <c r="B55" s="65">
        <v>9</v>
      </c>
      <c r="C55" s="65">
        <v>9</v>
      </c>
      <c r="D55" s="65">
        <v>9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9</v>
      </c>
      <c r="S55" s="65">
        <v>9</v>
      </c>
      <c r="T55" s="65">
        <v>9</v>
      </c>
      <c r="U55" s="65">
        <v>9</v>
      </c>
      <c r="V55" s="65">
        <v>9</v>
      </c>
      <c r="W55" s="65">
        <v>9</v>
      </c>
      <c r="X55" s="65">
        <v>9</v>
      </c>
      <c r="Y55" s="65">
        <v>9</v>
      </c>
      <c r="Z55" s="65">
        <v>9</v>
      </c>
      <c r="AA55" s="65">
        <v>9</v>
      </c>
      <c r="AB55" s="65">
        <v>9</v>
      </c>
      <c r="AC55" s="65">
        <v>9</v>
      </c>
      <c r="AD55" s="65">
        <v>9</v>
      </c>
      <c r="AE55" s="65">
        <v>9</v>
      </c>
      <c r="AF55" s="65">
        <v>9</v>
      </c>
      <c r="AG55" s="55">
        <v>10.050000000000001</v>
      </c>
      <c r="AH55" s="48">
        <f t="shared" si="2"/>
        <v>9</v>
      </c>
      <c r="AI55" s="49">
        <f t="shared" si="3"/>
        <v>9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" si="8">SUM(B45:B57)</f>
        <v>296.74</v>
      </c>
      <c r="C58" s="61">
        <f t="shared" ref="C58:AG58" si="9">SUM(C45:C57)</f>
        <v>309.14000000000004</v>
      </c>
      <c r="D58" s="61">
        <f t="shared" si="9"/>
        <v>290.53999999999996</v>
      </c>
      <c r="E58" s="61">
        <f t="shared" si="9"/>
        <v>281.34000000000003</v>
      </c>
      <c r="F58" s="61">
        <f t="shared" si="9"/>
        <v>266.84000000000003</v>
      </c>
      <c r="G58" s="61">
        <f t="shared" si="9"/>
        <v>296.64000000000004</v>
      </c>
      <c r="H58" s="61">
        <f t="shared" si="9"/>
        <v>340.34000000000003</v>
      </c>
      <c r="I58" s="61">
        <f t="shared" si="9"/>
        <v>343.44</v>
      </c>
      <c r="J58" s="61">
        <f t="shared" si="9"/>
        <v>345.24</v>
      </c>
      <c r="K58" s="61">
        <f t="shared" si="9"/>
        <v>345.24</v>
      </c>
      <c r="L58" s="61">
        <f t="shared" si="9"/>
        <v>345.84000000000003</v>
      </c>
      <c r="M58" s="61">
        <f t="shared" si="9"/>
        <v>309.14</v>
      </c>
      <c r="N58" s="61">
        <f t="shared" si="9"/>
        <v>311.14</v>
      </c>
      <c r="O58" s="61">
        <f t="shared" si="9"/>
        <v>312.94000000000005</v>
      </c>
      <c r="P58" s="61">
        <f t="shared" si="9"/>
        <v>318.64000000000004</v>
      </c>
      <c r="Q58" s="61">
        <f t="shared" si="9"/>
        <v>318.64000000000004</v>
      </c>
      <c r="R58" s="61">
        <f t="shared" si="9"/>
        <v>320.64000000000004</v>
      </c>
      <c r="S58" s="61">
        <f t="shared" si="9"/>
        <v>312.84000000000003</v>
      </c>
      <c r="T58" s="61">
        <f t="shared" si="9"/>
        <v>312.84000000000003</v>
      </c>
      <c r="U58" s="61">
        <f t="shared" si="9"/>
        <v>318.64000000000004</v>
      </c>
      <c r="V58" s="61">
        <f t="shared" si="9"/>
        <v>346.34000000000003</v>
      </c>
      <c r="W58" s="61">
        <f t="shared" si="9"/>
        <v>357.34000000000003</v>
      </c>
      <c r="X58" s="61">
        <f t="shared" si="9"/>
        <v>372.54</v>
      </c>
      <c r="Y58" s="61">
        <f t="shared" si="9"/>
        <v>373.04</v>
      </c>
      <c r="Z58" s="61">
        <f t="shared" si="9"/>
        <v>372.34</v>
      </c>
      <c r="AA58" s="61">
        <f t="shared" si="9"/>
        <v>372.34</v>
      </c>
      <c r="AB58" s="61">
        <f t="shared" si="9"/>
        <v>372.34</v>
      </c>
      <c r="AC58" s="61">
        <f t="shared" si="9"/>
        <v>372.34</v>
      </c>
      <c r="AD58" s="61">
        <f t="shared" si="9"/>
        <v>362.14</v>
      </c>
      <c r="AE58" s="61">
        <f t="shared" si="9"/>
        <v>339.94</v>
      </c>
      <c r="AF58" s="61">
        <f t="shared" si="9"/>
        <v>302.94</v>
      </c>
      <c r="AG58" s="62">
        <f t="shared" si="9"/>
        <v>489.91</v>
      </c>
      <c r="AH58" s="48">
        <f t="shared" si="2"/>
        <v>373.04</v>
      </c>
      <c r="AI58" s="49">
        <f t="shared" si="3"/>
        <v>266.84000000000003</v>
      </c>
      <c r="AK58" s="50"/>
    </row>
    <row r="59" spans="1:41" x14ac:dyDescent="0.25">
      <c r="A59" s="44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67">
        <v>0</v>
      </c>
      <c r="AB61" s="67">
        <v>0</v>
      </c>
      <c r="AC61" s="67">
        <v>0</v>
      </c>
      <c r="AD61" s="67">
        <v>0</v>
      </c>
      <c r="AE61" s="67">
        <v>0</v>
      </c>
      <c r="AF61" s="67">
        <v>0</v>
      </c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" si="10">SUM(B59:B61)</f>
        <v>0</v>
      </c>
      <c r="C62" s="61">
        <f t="shared" ref="C62:AG62" si="11">SUM(C59:C61)</f>
        <v>0</v>
      </c>
      <c r="D62" s="61">
        <f t="shared" si="11"/>
        <v>0</v>
      </c>
      <c r="E62" s="61">
        <f t="shared" si="11"/>
        <v>0</v>
      </c>
      <c r="F62" s="61">
        <f t="shared" si="11"/>
        <v>0</v>
      </c>
      <c r="G62" s="61">
        <f t="shared" si="11"/>
        <v>0</v>
      </c>
      <c r="H62" s="61">
        <f t="shared" si="11"/>
        <v>0</v>
      </c>
      <c r="I62" s="61">
        <f t="shared" si="11"/>
        <v>0</v>
      </c>
      <c r="J62" s="61">
        <f t="shared" si="11"/>
        <v>0</v>
      </c>
      <c r="K62" s="61">
        <f t="shared" si="11"/>
        <v>0</v>
      </c>
      <c r="L62" s="61">
        <f t="shared" si="11"/>
        <v>0</v>
      </c>
      <c r="M62" s="61">
        <f t="shared" si="11"/>
        <v>0</v>
      </c>
      <c r="N62" s="61">
        <f t="shared" si="11"/>
        <v>0</v>
      </c>
      <c r="O62" s="61">
        <f t="shared" si="11"/>
        <v>0</v>
      </c>
      <c r="P62" s="61">
        <f t="shared" si="11"/>
        <v>0</v>
      </c>
      <c r="Q62" s="61">
        <f t="shared" si="11"/>
        <v>0</v>
      </c>
      <c r="R62" s="61">
        <f t="shared" si="11"/>
        <v>0</v>
      </c>
      <c r="S62" s="61">
        <f t="shared" si="11"/>
        <v>0</v>
      </c>
      <c r="T62" s="61">
        <f t="shared" si="11"/>
        <v>0</v>
      </c>
      <c r="U62" s="61">
        <f t="shared" si="11"/>
        <v>0</v>
      </c>
      <c r="V62" s="61">
        <f t="shared" si="11"/>
        <v>0</v>
      </c>
      <c r="W62" s="61">
        <f t="shared" si="11"/>
        <v>0</v>
      </c>
      <c r="X62" s="61">
        <f t="shared" si="11"/>
        <v>0</v>
      </c>
      <c r="Y62" s="61">
        <f t="shared" si="11"/>
        <v>0</v>
      </c>
      <c r="Z62" s="61">
        <f t="shared" si="11"/>
        <v>0</v>
      </c>
      <c r="AA62" s="61">
        <f t="shared" si="11"/>
        <v>0</v>
      </c>
      <c r="AB62" s="61">
        <f t="shared" si="11"/>
        <v>0</v>
      </c>
      <c r="AC62" s="61">
        <f t="shared" si="11"/>
        <v>0</v>
      </c>
      <c r="AD62" s="61">
        <f t="shared" si="11"/>
        <v>0</v>
      </c>
      <c r="AE62" s="61">
        <f t="shared" si="11"/>
        <v>0</v>
      </c>
      <c r="AF62" s="61">
        <f t="shared" ref="AF62" si="12">SUM(AF59:AF61)</f>
        <v>0</v>
      </c>
      <c r="AG62" s="62">
        <f t="shared" si="11"/>
        <v>106</v>
      </c>
      <c r="AH62" s="48">
        <f t="shared" si="2"/>
        <v>0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37</v>
      </c>
      <c r="Y63" s="45">
        <v>40</v>
      </c>
      <c r="Z63" s="45">
        <v>33.4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40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-377</v>
      </c>
      <c r="C65" s="65">
        <v>-369.5</v>
      </c>
      <c r="D65" s="65">
        <v>-405</v>
      </c>
      <c r="E65" s="65">
        <v>-371</v>
      </c>
      <c r="F65" s="65">
        <v>-379</v>
      </c>
      <c r="G65" s="65">
        <v>-386.9</v>
      </c>
      <c r="H65" s="65">
        <v>-380.8</v>
      </c>
      <c r="I65" s="65">
        <v>-381</v>
      </c>
      <c r="J65" s="65">
        <v>-387</v>
      </c>
      <c r="K65" s="65">
        <v>-370</v>
      </c>
      <c r="L65" s="65">
        <v>-370</v>
      </c>
      <c r="M65" s="65">
        <v>-370</v>
      </c>
      <c r="N65" s="65">
        <v>-374</v>
      </c>
      <c r="O65" s="65">
        <v>-352</v>
      </c>
      <c r="P65" s="65">
        <v>-348.3</v>
      </c>
      <c r="Q65" s="65">
        <v>-380</v>
      </c>
      <c r="R65" s="65">
        <v>-380</v>
      </c>
      <c r="S65" s="65">
        <v>-325.5</v>
      </c>
      <c r="T65" s="65">
        <v>-370</v>
      </c>
      <c r="U65" s="65">
        <v>-365</v>
      </c>
      <c r="V65" s="65">
        <v>-365.2</v>
      </c>
      <c r="W65" s="65">
        <v>-354</v>
      </c>
      <c r="X65" s="65">
        <v>-253</v>
      </c>
      <c r="Y65" s="65">
        <v>-280</v>
      </c>
      <c r="Z65" s="65">
        <v>-367.5</v>
      </c>
      <c r="AA65" s="65">
        <v>-339.4</v>
      </c>
      <c r="AB65" s="65">
        <v>-367.3</v>
      </c>
      <c r="AC65" s="65">
        <v>-350</v>
      </c>
      <c r="AD65" s="65">
        <v>-380</v>
      </c>
      <c r="AE65" s="65">
        <v>-390</v>
      </c>
      <c r="AF65" s="65">
        <v>-380</v>
      </c>
      <c r="AG65" s="75"/>
      <c r="AH65" s="48">
        <f t="shared" si="2"/>
        <v>-253</v>
      </c>
      <c r="AI65" s="49">
        <f t="shared" si="3"/>
        <v>-405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>
        <v>0</v>
      </c>
      <c r="C68" s="77">
        <v>0</v>
      </c>
      <c r="D68" s="77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>
        <v>0</v>
      </c>
      <c r="C69" s="77">
        <v>0</v>
      </c>
      <c r="D69" s="77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9">
        <v>0</v>
      </c>
      <c r="C72" s="79">
        <v>0</v>
      </c>
      <c r="D72" s="79">
        <v>0</v>
      </c>
      <c r="E72" s="76">
        <v>0</v>
      </c>
      <c r="F72" s="76">
        <v>0</v>
      </c>
      <c r="G72" s="76">
        <v>0</v>
      </c>
      <c r="H72" s="76">
        <v>0</v>
      </c>
      <c r="I72" s="76">
        <v>0</v>
      </c>
      <c r="J72" s="76">
        <v>0</v>
      </c>
      <c r="K72" s="76">
        <v>0</v>
      </c>
      <c r="L72" s="76">
        <v>0</v>
      </c>
      <c r="M72" s="76">
        <v>0</v>
      </c>
      <c r="N72" s="76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9">
        <v>0</v>
      </c>
      <c r="C73" s="79">
        <v>0</v>
      </c>
      <c r="D73" s="79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" si="13">SUMIF(B63:B73,"&gt;0")</f>
        <v>0</v>
      </c>
      <c r="C74" s="61">
        <f t="shared" ref="C74:AF74" si="14">SUMIF(C63:C73,"&gt;0")</f>
        <v>0</v>
      </c>
      <c r="D74" s="61">
        <f t="shared" si="14"/>
        <v>0</v>
      </c>
      <c r="E74" s="61">
        <f t="shared" si="14"/>
        <v>0</v>
      </c>
      <c r="F74" s="61">
        <f t="shared" si="14"/>
        <v>0</v>
      </c>
      <c r="G74" s="61">
        <f t="shared" si="14"/>
        <v>0</v>
      </c>
      <c r="H74" s="61">
        <f t="shared" si="14"/>
        <v>0</v>
      </c>
      <c r="I74" s="61">
        <f t="shared" si="14"/>
        <v>0</v>
      </c>
      <c r="J74" s="61">
        <f t="shared" si="14"/>
        <v>0</v>
      </c>
      <c r="K74" s="61">
        <f t="shared" si="14"/>
        <v>0</v>
      </c>
      <c r="L74" s="61">
        <f t="shared" si="14"/>
        <v>0</v>
      </c>
      <c r="M74" s="61">
        <f t="shared" si="14"/>
        <v>0</v>
      </c>
      <c r="N74" s="61">
        <f t="shared" ref="N74" si="15">SUMIF(N63:N73,"&gt;0")</f>
        <v>0</v>
      </c>
      <c r="O74" s="61">
        <f t="shared" si="14"/>
        <v>0</v>
      </c>
      <c r="P74" s="61">
        <f t="shared" si="14"/>
        <v>0</v>
      </c>
      <c r="Q74" s="61">
        <f t="shared" si="14"/>
        <v>0</v>
      </c>
      <c r="R74" s="61">
        <f t="shared" si="14"/>
        <v>0</v>
      </c>
      <c r="S74" s="61">
        <f t="shared" si="14"/>
        <v>0</v>
      </c>
      <c r="T74" s="61">
        <f t="shared" si="14"/>
        <v>0</v>
      </c>
      <c r="U74" s="61">
        <f t="shared" si="14"/>
        <v>0</v>
      </c>
      <c r="V74" s="61">
        <f t="shared" si="14"/>
        <v>0</v>
      </c>
      <c r="W74" s="61">
        <f t="shared" si="14"/>
        <v>0</v>
      </c>
      <c r="X74" s="61">
        <f t="shared" si="14"/>
        <v>37</v>
      </c>
      <c r="Y74" s="61">
        <f t="shared" si="14"/>
        <v>40</v>
      </c>
      <c r="Z74" s="61">
        <f t="shared" si="14"/>
        <v>33.4</v>
      </c>
      <c r="AA74" s="61">
        <f t="shared" si="14"/>
        <v>0</v>
      </c>
      <c r="AB74" s="61">
        <f t="shared" si="14"/>
        <v>0</v>
      </c>
      <c r="AC74" s="61">
        <f t="shared" si="14"/>
        <v>0</v>
      </c>
      <c r="AD74" s="61">
        <f t="shared" si="14"/>
        <v>0</v>
      </c>
      <c r="AE74" s="61">
        <f t="shared" si="14"/>
        <v>0</v>
      </c>
      <c r="AF74" s="61">
        <f t="shared" si="14"/>
        <v>0</v>
      </c>
      <c r="AG74" s="81">
        <f>SUM(AG63:AG73)</f>
        <v>0</v>
      </c>
      <c r="AH74" s="48">
        <f t="shared" si="2"/>
        <v>40</v>
      </c>
      <c r="AI74" s="49">
        <f t="shared" si="3"/>
        <v>0</v>
      </c>
      <c r="AK74" s="50"/>
    </row>
    <row r="75" spans="1:37" x14ac:dyDescent="0.25">
      <c r="A75" s="44" t="s">
        <v>83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75">
        <v>14.4</v>
      </c>
      <c r="AH76" s="48">
        <f t="shared" ref="AH76:AH109" si="16">MAX(B76:AF76)</f>
        <v>0</v>
      </c>
      <c r="AI76" s="49">
        <f t="shared" ref="AI76:AI109" si="17">MIN(B76:AF76)</f>
        <v>0</v>
      </c>
      <c r="AK76" s="50"/>
    </row>
    <row r="77" spans="1:37" ht="15.75" thickBot="1" x14ac:dyDescent="0.3">
      <c r="A77" s="78" t="s">
        <v>85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79">
        <v>0</v>
      </c>
      <c r="AC77" s="79">
        <v>0</v>
      </c>
      <c r="AD77" s="79">
        <v>0</v>
      </c>
      <c r="AE77" s="79">
        <v>0</v>
      </c>
      <c r="AF77" s="79">
        <v>0</v>
      </c>
      <c r="AG77" s="80">
        <v>2</v>
      </c>
      <c r="AH77" s="48">
        <f t="shared" si="16"/>
        <v>0</v>
      </c>
      <c r="AI77" s="49">
        <f t="shared" si="17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16"/>
        <v>0</v>
      </c>
      <c r="AI78" s="49">
        <f t="shared" si="17"/>
        <v>0</v>
      </c>
    </row>
    <row r="79" spans="1:37" ht="15.75" thickBot="1" x14ac:dyDescent="0.3">
      <c r="A79" s="74" t="s">
        <v>87</v>
      </c>
      <c r="B79" s="83">
        <f t="shared" ref="B79" si="18">B40+B44+B62+B58+B74+B78</f>
        <v>1421.64</v>
      </c>
      <c r="C79" s="83">
        <f t="shared" ref="C79:AG79" si="19">C40+C44+C62+C58+C74+C78</f>
        <v>1444.0400000000002</v>
      </c>
      <c r="D79" s="83">
        <f t="shared" si="19"/>
        <v>1405.44</v>
      </c>
      <c r="E79" s="83">
        <f t="shared" si="19"/>
        <v>1386.2400000000002</v>
      </c>
      <c r="F79" s="83">
        <f t="shared" si="19"/>
        <v>1366.7400000000002</v>
      </c>
      <c r="G79" s="83">
        <f t="shared" si="19"/>
        <v>1396.5400000000002</v>
      </c>
      <c r="H79" s="83">
        <f t="shared" si="19"/>
        <v>1440.2400000000002</v>
      </c>
      <c r="I79" s="83">
        <f t="shared" si="19"/>
        <v>1493.14</v>
      </c>
      <c r="J79" s="83">
        <f t="shared" si="19"/>
        <v>1565.74</v>
      </c>
      <c r="K79" s="83">
        <f t="shared" si="19"/>
        <v>1600.74</v>
      </c>
      <c r="L79" s="83">
        <f t="shared" si="19"/>
        <v>1674.6399999999999</v>
      </c>
      <c r="M79" s="83">
        <f t="shared" si="19"/>
        <v>1619.94</v>
      </c>
      <c r="N79" s="83">
        <f t="shared" si="19"/>
        <v>1566.94</v>
      </c>
      <c r="O79" s="83">
        <f t="shared" si="19"/>
        <v>1530.74</v>
      </c>
      <c r="P79" s="83">
        <f t="shared" si="19"/>
        <v>1547.44</v>
      </c>
      <c r="Q79" s="83">
        <f t="shared" si="19"/>
        <v>1544.44</v>
      </c>
      <c r="R79" s="83">
        <f t="shared" si="19"/>
        <v>1526.44</v>
      </c>
      <c r="S79" s="83">
        <f t="shared" si="19"/>
        <v>1509.6399999999999</v>
      </c>
      <c r="T79" s="83">
        <f t="shared" si="19"/>
        <v>1539.6399999999999</v>
      </c>
      <c r="U79" s="83">
        <f t="shared" si="19"/>
        <v>1505.44</v>
      </c>
      <c r="V79" s="83">
        <f t="shared" si="19"/>
        <v>1531.1399999999999</v>
      </c>
      <c r="W79" s="83">
        <f t="shared" si="19"/>
        <v>1542.3400000000001</v>
      </c>
      <c r="X79" s="83">
        <f t="shared" si="19"/>
        <v>1655.6399999999999</v>
      </c>
      <c r="Y79" s="83">
        <f t="shared" si="19"/>
        <v>1670.34</v>
      </c>
      <c r="Z79" s="83">
        <f t="shared" si="19"/>
        <v>1663.04</v>
      </c>
      <c r="AA79" s="83">
        <f t="shared" si="19"/>
        <v>1594.74</v>
      </c>
      <c r="AB79" s="83">
        <f t="shared" si="19"/>
        <v>1571.74</v>
      </c>
      <c r="AC79" s="83">
        <f t="shared" si="19"/>
        <v>1559.04</v>
      </c>
      <c r="AD79" s="83">
        <f t="shared" si="19"/>
        <v>1508.94</v>
      </c>
      <c r="AE79" s="83">
        <f t="shared" si="19"/>
        <v>1426.74</v>
      </c>
      <c r="AF79" s="83">
        <f t="shared" si="19"/>
        <v>1404.74</v>
      </c>
      <c r="AG79" s="62">
        <f t="shared" si="19"/>
        <v>1897.1900000000003</v>
      </c>
      <c r="AH79" s="48">
        <f t="shared" si="16"/>
        <v>1674.6399999999999</v>
      </c>
      <c r="AI79" s="49">
        <f t="shared" si="17"/>
        <v>1366.7400000000002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16"/>
        <v>0</v>
      </c>
      <c r="AI80" s="49">
        <f t="shared" si="17"/>
        <v>0</v>
      </c>
    </row>
    <row r="81" spans="1:37" ht="15.75" thickBot="1" x14ac:dyDescent="0.3">
      <c r="A81" s="74" t="s">
        <v>89</v>
      </c>
      <c r="B81" s="83">
        <f t="shared" ref="B81" si="20">B79+B80</f>
        <v>1421.64</v>
      </c>
      <c r="C81" s="83">
        <f t="shared" ref="C81:AF81" si="21">C79+C80</f>
        <v>1444.0400000000002</v>
      </c>
      <c r="D81" s="83">
        <f t="shared" si="21"/>
        <v>1405.44</v>
      </c>
      <c r="E81" s="83">
        <f t="shared" si="21"/>
        <v>1386.2400000000002</v>
      </c>
      <c r="F81" s="83">
        <f t="shared" si="21"/>
        <v>1366.7400000000002</v>
      </c>
      <c r="G81" s="83">
        <f t="shared" si="21"/>
        <v>1396.5400000000002</v>
      </c>
      <c r="H81" s="83">
        <f t="shared" si="21"/>
        <v>1440.2400000000002</v>
      </c>
      <c r="I81" s="83">
        <f t="shared" si="21"/>
        <v>1493.14</v>
      </c>
      <c r="J81" s="83">
        <f t="shared" si="21"/>
        <v>1565.74</v>
      </c>
      <c r="K81" s="83">
        <f t="shared" si="21"/>
        <v>1600.74</v>
      </c>
      <c r="L81" s="83">
        <f t="shared" si="21"/>
        <v>1674.6399999999999</v>
      </c>
      <c r="M81" s="83">
        <f t="shared" si="21"/>
        <v>1619.94</v>
      </c>
      <c r="N81" s="83">
        <f t="shared" si="21"/>
        <v>1566.94</v>
      </c>
      <c r="O81" s="83">
        <f t="shared" si="21"/>
        <v>1530.74</v>
      </c>
      <c r="P81" s="83">
        <f t="shared" si="21"/>
        <v>1547.44</v>
      </c>
      <c r="Q81" s="83">
        <f t="shared" si="21"/>
        <v>1544.44</v>
      </c>
      <c r="R81" s="83">
        <f t="shared" si="21"/>
        <v>1526.44</v>
      </c>
      <c r="S81" s="83">
        <f t="shared" si="21"/>
        <v>1509.6399999999999</v>
      </c>
      <c r="T81" s="83">
        <f t="shared" si="21"/>
        <v>1539.6399999999999</v>
      </c>
      <c r="U81" s="83">
        <f t="shared" si="21"/>
        <v>1505.44</v>
      </c>
      <c r="V81" s="83">
        <f t="shared" si="21"/>
        <v>1531.1399999999999</v>
      </c>
      <c r="W81" s="83">
        <f t="shared" si="21"/>
        <v>1542.3400000000001</v>
      </c>
      <c r="X81" s="83">
        <f t="shared" si="21"/>
        <v>1655.6399999999999</v>
      </c>
      <c r="Y81" s="83">
        <f t="shared" si="21"/>
        <v>1670.34</v>
      </c>
      <c r="Z81" s="83">
        <f t="shared" si="21"/>
        <v>1663.04</v>
      </c>
      <c r="AA81" s="83">
        <f t="shared" si="21"/>
        <v>1594.74</v>
      </c>
      <c r="AB81" s="83">
        <f t="shared" si="21"/>
        <v>1571.74</v>
      </c>
      <c r="AC81" s="83">
        <f t="shared" si="21"/>
        <v>1559.04</v>
      </c>
      <c r="AD81" s="83">
        <f t="shared" si="21"/>
        <v>1508.94</v>
      </c>
      <c r="AE81" s="83">
        <f t="shared" si="21"/>
        <v>1426.74</v>
      </c>
      <c r="AF81" s="83">
        <f t="shared" si="21"/>
        <v>1404.74</v>
      </c>
      <c r="AG81" s="81">
        <f>AG78+AG74+AG62+AG58+AG40+AG80</f>
        <v>1359.0900000000001</v>
      </c>
      <c r="AH81" s="48">
        <f t="shared" si="16"/>
        <v>1674.6399999999999</v>
      </c>
      <c r="AI81" s="49">
        <f t="shared" si="17"/>
        <v>1366.7400000000002</v>
      </c>
    </row>
    <row r="82" spans="1:37" ht="15.75" thickBot="1" x14ac:dyDescent="0.3">
      <c r="A82" s="74" t="s">
        <v>90</v>
      </c>
      <c r="B82" s="83">
        <f t="shared" ref="B82" si="22">B81-B89</f>
        <v>1044.6400000000001</v>
      </c>
      <c r="C82" s="83">
        <f t="shared" ref="C82:AF82" si="23">C81-C89</f>
        <v>1074.5400000000002</v>
      </c>
      <c r="D82" s="83">
        <f t="shared" si="23"/>
        <v>1000.44</v>
      </c>
      <c r="E82" s="83">
        <f t="shared" si="23"/>
        <v>1015.2400000000002</v>
      </c>
      <c r="F82" s="83">
        <f t="shared" si="23"/>
        <v>987.74000000000024</v>
      </c>
      <c r="G82" s="83">
        <f t="shared" si="23"/>
        <v>1009.6400000000002</v>
      </c>
      <c r="H82" s="83">
        <f t="shared" si="23"/>
        <v>1059.4400000000003</v>
      </c>
      <c r="I82" s="83">
        <f t="shared" si="23"/>
        <v>1112.1400000000001</v>
      </c>
      <c r="J82" s="83">
        <f t="shared" si="23"/>
        <v>1178.74</v>
      </c>
      <c r="K82" s="83">
        <f t="shared" si="23"/>
        <v>1230.74</v>
      </c>
      <c r="L82" s="83">
        <f t="shared" si="23"/>
        <v>1304.6399999999999</v>
      </c>
      <c r="M82" s="83">
        <f t="shared" si="23"/>
        <v>1249.94</v>
      </c>
      <c r="N82" s="83">
        <f t="shared" si="23"/>
        <v>1192.94</v>
      </c>
      <c r="O82" s="83">
        <f t="shared" si="23"/>
        <v>1178.74</v>
      </c>
      <c r="P82" s="83">
        <f t="shared" si="23"/>
        <v>1199.1400000000001</v>
      </c>
      <c r="Q82" s="83">
        <f t="shared" si="23"/>
        <v>1164.44</v>
      </c>
      <c r="R82" s="83">
        <f t="shared" si="23"/>
        <v>1146.44</v>
      </c>
      <c r="S82" s="83">
        <f t="shared" si="23"/>
        <v>1184.1399999999999</v>
      </c>
      <c r="T82" s="83">
        <f t="shared" si="23"/>
        <v>1169.6399999999999</v>
      </c>
      <c r="U82" s="83">
        <f t="shared" si="23"/>
        <v>1140.44</v>
      </c>
      <c r="V82" s="83">
        <f t="shared" si="23"/>
        <v>1165.9399999999998</v>
      </c>
      <c r="W82" s="83">
        <f t="shared" si="23"/>
        <v>1188.3400000000001</v>
      </c>
      <c r="X82" s="83">
        <f t="shared" si="23"/>
        <v>1402.6399999999999</v>
      </c>
      <c r="Y82" s="83">
        <f t="shared" si="23"/>
        <v>1390.34</v>
      </c>
      <c r="Z82" s="83">
        <f t="shared" si="23"/>
        <v>1295.54</v>
      </c>
      <c r="AA82" s="83">
        <f t="shared" si="23"/>
        <v>1255.3400000000001</v>
      </c>
      <c r="AB82" s="83">
        <f t="shared" si="23"/>
        <v>1204.44</v>
      </c>
      <c r="AC82" s="83">
        <f t="shared" si="23"/>
        <v>1209.04</v>
      </c>
      <c r="AD82" s="83">
        <f t="shared" si="23"/>
        <v>1128.94</v>
      </c>
      <c r="AE82" s="83">
        <f t="shared" si="23"/>
        <v>1036.74</v>
      </c>
      <c r="AF82" s="83">
        <f t="shared" si="23"/>
        <v>1024.74</v>
      </c>
      <c r="AG82" s="81"/>
      <c r="AH82" s="48">
        <f t="shared" si="16"/>
        <v>1402.6399999999999</v>
      </c>
      <c r="AI82" s="49">
        <f t="shared" si="17"/>
        <v>987.74000000000024</v>
      </c>
    </row>
    <row r="83" spans="1:37" x14ac:dyDescent="0.25">
      <c r="A83" s="44" t="s">
        <v>74</v>
      </c>
      <c r="B83" s="76">
        <f t="shared" ref="B83" si="24">IF(B66&lt;0,B66*-1,0)</f>
        <v>0</v>
      </c>
      <c r="C83" s="76">
        <f t="shared" ref="C83:AF83" si="25">IF(C66&lt;0,C66*-1,0)</f>
        <v>0</v>
      </c>
      <c r="D83" s="76">
        <f t="shared" si="25"/>
        <v>0</v>
      </c>
      <c r="E83" s="76">
        <f t="shared" si="25"/>
        <v>0</v>
      </c>
      <c r="F83" s="76">
        <f t="shared" si="25"/>
        <v>0</v>
      </c>
      <c r="G83" s="76">
        <f t="shared" si="25"/>
        <v>0</v>
      </c>
      <c r="H83" s="76">
        <f t="shared" si="25"/>
        <v>0</v>
      </c>
      <c r="I83" s="76">
        <f t="shared" si="25"/>
        <v>0</v>
      </c>
      <c r="J83" s="76">
        <f t="shared" si="25"/>
        <v>0</v>
      </c>
      <c r="K83" s="76">
        <f t="shared" si="25"/>
        <v>0</v>
      </c>
      <c r="L83" s="76">
        <f t="shared" si="25"/>
        <v>0</v>
      </c>
      <c r="M83" s="76">
        <f t="shared" si="25"/>
        <v>0</v>
      </c>
      <c r="N83" s="76">
        <f t="shared" si="25"/>
        <v>0</v>
      </c>
      <c r="O83" s="76">
        <f t="shared" si="25"/>
        <v>0</v>
      </c>
      <c r="P83" s="76">
        <f t="shared" si="25"/>
        <v>0</v>
      </c>
      <c r="Q83" s="76">
        <f t="shared" si="25"/>
        <v>0</v>
      </c>
      <c r="R83" s="76">
        <f t="shared" si="25"/>
        <v>0</v>
      </c>
      <c r="S83" s="76">
        <f t="shared" si="25"/>
        <v>0</v>
      </c>
      <c r="T83" s="76">
        <f t="shared" si="25"/>
        <v>0</v>
      </c>
      <c r="U83" s="76">
        <f t="shared" si="25"/>
        <v>0</v>
      </c>
      <c r="V83" s="76">
        <f t="shared" si="25"/>
        <v>0</v>
      </c>
      <c r="W83" s="76">
        <f t="shared" si="25"/>
        <v>0</v>
      </c>
      <c r="X83" s="76">
        <f t="shared" si="25"/>
        <v>0</v>
      </c>
      <c r="Y83" s="76">
        <f t="shared" si="25"/>
        <v>0</v>
      </c>
      <c r="Z83" s="76">
        <f t="shared" si="25"/>
        <v>0</v>
      </c>
      <c r="AA83" s="76">
        <f t="shared" si="25"/>
        <v>0</v>
      </c>
      <c r="AB83" s="76">
        <f t="shared" si="25"/>
        <v>0</v>
      </c>
      <c r="AC83" s="76">
        <f t="shared" si="25"/>
        <v>0</v>
      </c>
      <c r="AD83" s="76">
        <f t="shared" si="25"/>
        <v>0</v>
      </c>
      <c r="AE83" s="76">
        <f t="shared" si="25"/>
        <v>0</v>
      </c>
      <c r="AF83" s="76">
        <f t="shared" si="25"/>
        <v>0</v>
      </c>
      <c r="AG83" s="52"/>
      <c r="AH83" s="48">
        <f t="shared" si="16"/>
        <v>0</v>
      </c>
      <c r="AI83" s="49">
        <f t="shared" si="17"/>
        <v>0</v>
      </c>
    </row>
    <row r="84" spans="1:37" x14ac:dyDescent="0.25">
      <c r="A84" s="54" t="s">
        <v>72</v>
      </c>
      <c r="B84" s="76">
        <f t="shared" ref="B84" si="26">IF(B64&lt;0,B64*-1,0)</f>
        <v>0</v>
      </c>
      <c r="C84" s="76">
        <f t="shared" ref="C84:AF84" si="27">IF(C64&lt;0,C64*-1,0)</f>
        <v>0</v>
      </c>
      <c r="D84" s="76">
        <f t="shared" si="27"/>
        <v>0</v>
      </c>
      <c r="E84" s="76">
        <f t="shared" si="27"/>
        <v>0</v>
      </c>
      <c r="F84" s="76">
        <f t="shared" si="27"/>
        <v>0</v>
      </c>
      <c r="G84" s="76">
        <f t="shared" si="27"/>
        <v>0</v>
      </c>
      <c r="H84" s="76">
        <f t="shared" si="27"/>
        <v>0</v>
      </c>
      <c r="I84" s="76">
        <f t="shared" si="27"/>
        <v>0</v>
      </c>
      <c r="J84" s="76">
        <f t="shared" si="27"/>
        <v>0</v>
      </c>
      <c r="K84" s="76">
        <f t="shared" si="27"/>
        <v>0</v>
      </c>
      <c r="L84" s="76">
        <f t="shared" si="27"/>
        <v>0</v>
      </c>
      <c r="M84" s="76">
        <f t="shared" si="27"/>
        <v>0</v>
      </c>
      <c r="N84" s="76">
        <f t="shared" si="27"/>
        <v>0</v>
      </c>
      <c r="O84" s="76">
        <f t="shared" si="27"/>
        <v>0</v>
      </c>
      <c r="P84" s="76">
        <f t="shared" si="27"/>
        <v>0</v>
      </c>
      <c r="Q84" s="76">
        <f t="shared" si="27"/>
        <v>0</v>
      </c>
      <c r="R84" s="76">
        <f t="shared" si="27"/>
        <v>0</v>
      </c>
      <c r="S84" s="76">
        <f t="shared" si="27"/>
        <v>0</v>
      </c>
      <c r="T84" s="76">
        <f t="shared" si="27"/>
        <v>0</v>
      </c>
      <c r="U84" s="76">
        <f t="shared" si="27"/>
        <v>0</v>
      </c>
      <c r="V84" s="76">
        <f t="shared" si="27"/>
        <v>0</v>
      </c>
      <c r="W84" s="76">
        <f t="shared" si="27"/>
        <v>0</v>
      </c>
      <c r="X84" s="76">
        <f t="shared" si="27"/>
        <v>0</v>
      </c>
      <c r="Y84" s="76">
        <f t="shared" si="27"/>
        <v>0</v>
      </c>
      <c r="Z84" s="76">
        <f t="shared" si="27"/>
        <v>0</v>
      </c>
      <c r="AA84" s="76">
        <f t="shared" si="27"/>
        <v>0</v>
      </c>
      <c r="AB84" s="76">
        <f t="shared" si="27"/>
        <v>0</v>
      </c>
      <c r="AC84" s="76">
        <f t="shared" si="27"/>
        <v>0</v>
      </c>
      <c r="AD84" s="76">
        <f t="shared" si="27"/>
        <v>0</v>
      </c>
      <c r="AE84" s="76">
        <f t="shared" si="27"/>
        <v>0</v>
      </c>
      <c r="AF84" s="76">
        <f t="shared" si="27"/>
        <v>0</v>
      </c>
      <c r="AG84" s="55"/>
      <c r="AH84" s="48">
        <f t="shared" si="16"/>
        <v>0</v>
      </c>
      <c r="AI84" s="49">
        <f t="shared" si="17"/>
        <v>0</v>
      </c>
    </row>
    <row r="85" spans="1:37" x14ac:dyDescent="0.25">
      <c r="A85" s="78" t="s">
        <v>91</v>
      </c>
      <c r="B85" s="76">
        <f t="shared" ref="B85" si="28">IF(B67&lt;0,B67*-1,0)</f>
        <v>0</v>
      </c>
      <c r="C85" s="76">
        <f t="shared" ref="C85:AF85" si="29">IF(C67&lt;0,C67*-1,0)</f>
        <v>0</v>
      </c>
      <c r="D85" s="76">
        <f t="shared" si="29"/>
        <v>0</v>
      </c>
      <c r="E85" s="76">
        <f t="shared" si="29"/>
        <v>0</v>
      </c>
      <c r="F85" s="76">
        <f t="shared" si="29"/>
        <v>0</v>
      </c>
      <c r="G85" s="76">
        <f t="shared" si="29"/>
        <v>0</v>
      </c>
      <c r="H85" s="76">
        <f t="shared" si="29"/>
        <v>0</v>
      </c>
      <c r="I85" s="76">
        <f t="shared" si="29"/>
        <v>0</v>
      </c>
      <c r="J85" s="76">
        <f t="shared" si="29"/>
        <v>0</v>
      </c>
      <c r="K85" s="76">
        <f t="shared" si="29"/>
        <v>0</v>
      </c>
      <c r="L85" s="76">
        <f t="shared" si="29"/>
        <v>0</v>
      </c>
      <c r="M85" s="76">
        <f t="shared" si="29"/>
        <v>0</v>
      </c>
      <c r="N85" s="76">
        <f t="shared" si="29"/>
        <v>0</v>
      </c>
      <c r="O85" s="76">
        <f t="shared" si="29"/>
        <v>0</v>
      </c>
      <c r="P85" s="76">
        <f t="shared" si="29"/>
        <v>0</v>
      </c>
      <c r="Q85" s="76">
        <f t="shared" si="29"/>
        <v>0</v>
      </c>
      <c r="R85" s="76">
        <f t="shared" si="29"/>
        <v>0</v>
      </c>
      <c r="S85" s="76">
        <f t="shared" si="29"/>
        <v>0</v>
      </c>
      <c r="T85" s="76">
        <f t="shared" si="29"/>
        <v>0</v>
      </c>
      <c r="U85" s="76">
        <f t="shared" si="29"/>
        <v>0</v>
      </c>
      <c r="V85" s="76">
        <f t="shared" si="29"/>
        <v>0</v>
      </c>
      <c r="W85" s="76">
        <f t="shared" si="29"/>
        <v>0</v>
      </c>
      <c r="X85" s="76">
        <f t="shared" si="29"/>
        <v>0</v>
      </c>
      <c r="Y85" s="76">
        <f t="shared" si="29"/>
        <v>0</v>
      </c>
      <c r="Z85" s="76">
        <f t="shared" si="29"/>
        <v>0</v>
      </c>
      <c r="AA85" s="76">
        <f t="shared" si="29"/>
        <v>0</v>
      </c>
      <c r="AB85" s="76">
        <f t="shared" si="29"/>
        <v>0</v>
      </c>
      <c r="AC85" s="76">
        <f t="shared" si="29"/>
        <v>0</v>
      </c>
      <c r="AD85" s="76">
        <f t="shared" si="29"/>
        <v>0</v>
      </c>
      <c r="AE85" s="76">
        <f t="shared" si="29"/>
        <v>0</v>
      </c>
      <c r="AF85" s="76">
        <f t="shared" si="29"/>
        <v>0</v>
      </c>
      <c r="AG85" s="86"/>
      <c r="AH85" s="48">
        <f t="shared" si="16"/>
        <v>0</v>
      </c>
      <c r="AI85" s="49">
        <f t="shared" si="17"/>
        <v>0</v>
      </c>
    </row>
    <row r="86" spans="1:37" x14ac:dyDescent="0.25">
      <c r="A86" s="78" t="s">
        <v>92</v>
      </c>
      <c r="B86" s="76">
        <f t="shared" ref="B86" si="30">IF(B65&lt;0,B65*-1,0)</f>
        <v>377</v>
      </c>
      <c r="C86" s="76">
        <f t="shared" ref="C86:AF86" si="31">IF(C65&lt;0,C65*-1,0)</f>
        <v>369.5</v>
      </c>
      <c r="D86" s="76">
        <f t="shared" si="31"/>
        <v>405</v>
      </c>
      <c r="E86" s="76">
        <f t="shared" si="31"/>
        <v>371</v>
      </c>
      <c r="F86" s="76">
        <f t="shared" si="31"/>
        <v>379</v>
      </c>
      <c r="G86" s="76">
        <f t="shared" si="31"/>
        <v>386.9</v>
      </c>
      <c r="H86" s="76">
        <f t="shared" si="31"/>
        <v>380.8</v>
      </c>
      <c r="I86" s="76">
        <f t="shared" si="31"/>
        <v>381</v>
      </c>
      <c r="J86" s="76">
        <f t="shared" si="31"/>
        <v>387</v>
      </c>
      <c r="K86" s="76">
        <f t="shared" si="31"/>
        <v>370</v>
      </c>
      <c r="L86" s="76">
        <f t="shared" si="31"/>
        <v>370</v>
      </c>
      <c r="M86" s="76">
        <f t="shared" si="31"/>
        <v>370</v>
      </c>
      <c r="N86" s="76">
        <f t="shared" si="31"/>
        <v>374</v>
      </c>
      <c r="O86" s="76">
        <f t="shared" si="31"/>
        <v>352</v>
      </c>
      <c r="P86" s="76">
        <f t="shared" si="31"/>
        <v>348.3</v>
      </c>
      <c r="Q86" s="76">
        <f t="shared" si="31"/>
        <v>380</v>
      </c>
      <c r="R86" s="76">
        <f t="shared" si="31"/>
        <v>380</v>
      </c>
      <c r="S86" s="76">
        <f t="shared" si="31"/>
        <v>325.5</v>
      </c>
      <c r="T86" s="76">
        <f t="shared" si="31"/>
        <v>370</v>
      </c>
      <c r="U86" s="76">
        <f t="shared" si="31"/>
        <v>365</v>
      </c>
      <c r="V86" s="76">
        <f t="shared" si="31"/>
        <v>365.2</v>
      </c>
      <c r="W86" s="76">
        <f t="shared" si="31"/>
        <v>354</v>
      </c>
      <c r="X86" s="76">
        <f t="shared" si="31"/>
        <v>253</v>
      </c>
      <c r="Y86" s="76">
        <f t="shared" si="31"/>
        <v>280</v>
      </c>
      <c r="Z86" s="76">
        <f t="shared" si="31"/>
        <v>367.5</v>
      </c>
      <c r="AA86" s="76">
        <f t="shared" si="31"/>
        <v>339.4</v>
      </c>
      <c r="AB86" s="76">
        <f t="shared" si="31"/>
        <v>367.3</v>
      </c>
      <c r="AC86" s="76">
        <f t="shared" si="31"/>
        <v>350</v>
      </c>
      <c r="AD86" s="76">
        <f t="shared" si="31"/>
        <v>380</v>
      </c>
      <c r="AE86" s="76">
        <f t="shared" si="31"/>
        <v>390</v>
      </c>
      <c r="AF86" s="76">
        <f t="shared" si="31"/>
        <v>380</v>
      </c>
      <c r="AG86" s="86"/>
      <c r="AH86" s="48">
        <f t="shared" si="16"/>
        <v>405</v>
      </c>
      <c r="AI86" s="49">
        <f t="shared" si="17"/>
        <v>253</v>
      </c>
    </row>
    <row r="87" spans="1:37" x14ac:dyDescent="0.25">
      <c r="A87" s="78" t="s">
        <v>71</v>
      </c>
      <c r="B87" s="76">
        <f t="shared" ref="B87" si="32">IF(B63&lt;0,B63*-1,0)</f>
        <v>0</v>
      </c>
      <c r="C87" s="76">
        <f t="shared" ref="C87:AF87" si="33">IF(C63&lt;0,C63*-1,0)</f>
        <v>0</v>
      </c>
      <c r="D87" s="76">
        <f t="shared" si="33"/>
        <v>0</v>
      </c>
      <c r="E87" s="76">
        <f t="shared" si="33"/>
        <v>0</v>
      </c>
      <c r="F87" s="76">
        <f t="shared" si="33"/>
        <v>0</v>
      </c>
      <c r="G87" s="76">
        <f t="shared" si="33"/>
        <v>0</v>
      </c>
      <c r="H87" s="76">
        <f t="shared" si="33"/>
        <v>0</v>
      </c>
      <c r="I87" s="76">
        <f t="shared" si="33"/>
        <v>0</v>
      </c>
      <c r="J87" s="76">
        <f t="shared" si="33"/>
        <v>0</v>
      </c>
      <c r="K87" s="76">
        <f t="shared" si="33"/>
        <v>0</v>
      </c>
      <c r="L87" s="76">
        <f t="shared" si="33"/>
        <v>0</v>
      </c>
      <c r="M87" s="76">
        <f t="shared" si="33"/>
        <v>0</v>
      </c>
      <c r="N87" s="76">
        <f t="shared" si="33"/>
        <v>0</v>
      </c>
      <c r="O87" s="76">
        <f t="shared" si="33"/>
        <v>0</v>
      </c>
      <c r="P87" s="76">
        <f t="shared" si="33"/>
        <v>0</v>
      </c>
      <c r="Q87" s="76">
        <f t="shared" si="33"/>
        <v>0</v>
      </c>
      <c r="R87" s="76">
        <f t="shared" si="33"/>
        <v>0</v>
      </c>
      <c r="S87" s="76">
        <f t="shared" si="33"/>
        <v>0</v>
      </c>
      <c r="T87" s="76">
        <f t="shared" si="33"/>
        <v>0</v>
      </c>
      <c r="U87" s="76">
        <f t="shared" si="33"/>
        <v>0</v>
      </c>
      <c r="V87" s="76">
        <f t="shared" si="33"/>
        <v>0</v>
      </c>
      <c r="W87" s="76">
        <f t="shared" si="33"/>
        <v>0</v>
      </c>
      <c r="X87" s="76">
        <f t="shared" si="33"/>
        <v>0</v>
      </c>
      <c r="Y87" s="76">
        <f t="shared" si="33"/>
        <v>0</v>
      </c>
      <c r="Z87" s="76">
        <f t="shared" si="33"/>
        <v>0</v>
      </c>
      <c r="AA87" s="76">
        <f t="shared" si="33"/>
        <v>0</v>
      </c>
      <c r="AB87" s="76">
        <f t="shared" si="33"/>
        <v>0</v>
      </c>
      <c r="AC87" s="76">
        <f t="shared" si="33"/>
        <v>0</v>
      </c>
      <c r="AD87" s="76">
        <f t="shared" si="33"/>
        <v>0</v>
      </c>
      <c r="AE87" s="76">
        <f t="shared" si="33"/>
        <v>0</v>
      </c>
      <c r="AF87" s="76">
        <f t="shared" si="33"/>
        <v>0</v>
      </c>
      <c r="AG87" s="86"/>
      <c r="AH87" s="48">
        <f t="shared" si="16"/>
        <v>0</v>
      </c>
      <c r="AI87" s="49">
        <f t="shared" si="17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16"/>
        <v>0</v>
      </c>
      <c r="AI88" s="49">
        <f t="shared" si="17"/>
        <v>0</v>
      </c>
    </row>
    <row r="89" spans="1:37" ht="15.75" thickBot="1" x14ac:dyDescent="0.3">
      <c r="A89" s="87" t="s">
        <v>94</v>
      </c>
      <c r="B89" s="61">
        <f t="shared" ref="B89:AF89" si="34">SUM(B83:B88)</f>
        <v>377</v>
      </c>
      <c r="C89" s="61">
        <f t="shared" si="34"/>
        <v>369.5</v>
      </c>
      <c r="D89" s="61">
        <f t="shared" si="34"/>
        <v>405</v>
      </c>
      <c r="E89" s="61">
        <f t="shared" si="34"/>
        <v>371</v>
      </c>
      <c r="F89" s="61">
        <f t="shared" si="34"/>
        <v>379</v>
      </c>
      <c r="G89" s="61">
        <f t="shared" si="34"/>
        <v>386.9</v>
      </c>
      <c r="H89" s="61">
        <f t="shared" si="34"/>
        <v>380.8</v>
      </c>
      <c r="I89" s="61">
        <f t="shared" si="34"/>
        <v>381</v>
      </c>
      <c r="J89" s="61">
        <f t="shared" si="34"/>
        <v>387</v>
      </c>
      <c r="K89" s="61">
        <f t="shared" si="34"/>
        <v>370</v>
      </c>
      <c r="L89" s="61">
        <f t="shared" si="34"/>
        <v>370</v>
      </c>
      <c r="M89" s="61">
        <f t="shared" si="34"/>
        <v>370</v>
      </c>
      <c r="N89" s="61">
        <f t="shared" si="34"/>
        <v>374</v>
      </c>
      <c r="O89" s="61">
        <f t="shared" si="34"/>
        <v>352</v>
      </c>
      <c r="P89" s="61">
        <f t="shared" si="34"/>
        <v>348.3</v>
      </c>
      <c r="Q89" s="61">
        <f t="shared" si="34"/>
        <v>380</v>
      </c>
      <c r="R89" s="61">
        <f t="shared" si="34"/>
        <v>380</v>
      </c>
      <c r="S89" s="61">
        <f t="shared" si="34"/>
        <v>325.5</v>
      </c>
      <c r="T89" s="61">
        <f t="shared" si="34"/>
        <v>370</v>
      </c>
      <c r="U89" s="61">
        <f t="shared" si="34"/>
        <v>365</v>
      </c>
      <c r="V89" s="61">
        <f t="shared" si="34"/>
        <v>365.2</v>
      </c>
      <c r="W89" s="61">
        <f t="shared" si="34"/>
        <v>354</v>
      </c>
      <c r="X89" s="61">
        <f t="shared" si="34"/>
        <v>253</v>
      </c>
      <c r="Y89" s="61">
        <f t="shared" si="34"/>
        <v>280</v>
      </c>
      <c r="Z89" s="61">
        <f t="shared" si="34"/>
        <v>367.5</v>
      </c>
      <c r="AA89" s="61">
        <f t="shared" si="34"/>
        <v>339.4</v>
      </c>
      <c r="AB89" s="61">
        <f t="shared" si="34"/>
        <v>367.3</v>
      </c>
      <c r="AC89" s="61">
        <f t="shared" si="34"/>
        <v>350</v>
      </c>
      <c r="AD89" s="61">
        <f t="shared" si="34"/>
        <v>380</v>
      </c>
      <c r="AE89" s="61">
        <f t="shared" si="34"/>
        <v>390</v>
      </c>
      <c r="AF89" s="61">
        <f t="shared" si="34"/>
        <v>380</v>
      </c>
      <c r="AG89" s="81"/>
      <c r="AH89" s="48">
        <f t="shared" si="16"/>
        <v>405</v>
      </c>
      <c r="AI89" s="49">
        <f t="shared" si="17"/>
        <v>253</v>
      </c>
      <c r="AK89" s="50"/>
    </row>
    <row r="90" spans="1:37" ht="15.75" thickBot="1" x14ac:dyDescent="0.3">
      <c r="A90" s="74" t="s">
        <v>95</v>
      </c>
      <c r="B90" s="61">
        <f t="shared" ref="B90:AF90" si="35">B74-B89</f>
        <v>-377</v>
      </c>
      <c r="C90" s="61">
        <f t="shared" si="35"/>
        <v>-369.5</v>
      </c>
      <c r="D90" s="61">
        <f t="shared" si="35"/>
        <v>-405</v>
      </c>
      <c r="E90" s="61">
        <f t="shared" si="35"/>
        <v>-371</v>
      </c>
      <c r="F90" s="61">
        <f t="shared" si="35"/>
        <v>-379</v>
      </c>
      <c r="G90" s="61">
        <f t="shared" si="35"/>
        <v>-386.9</v>
      </c>
      <c r="H90" s="61">
        <f t="shared" si="35"/>
        <v>-380.8</v>
      </c>
      <c r="I90" s="61">
        <f t="shared" si="35"/>
        <v>-381</v>
      </c>
      <c r="J90" s="61">
        <f t="shared" si="35"/>
        <v>-387</v>
      </c>
      <c r="K90" s="61">
        <f t="shared" si="35"/>
        <v>-370</v>
      </c>
      <c r="L90" s="61">
        <f t="shared" si="35"/>
        <v>-370</v>
      </c>
      <c r="M90" s="61">
        <f t="shared" si="35"/>
        <v>-370</v>
      </c>
      <c r="N90" s="61">
        <f t="shared" si="35"/>
        <v>-374</v>
      </c>
      <c r="O90" s="61">
        <f t="shared" si="35"/>
        <v>-352</v>
      </c>
      <c r="P90" s="61">
        <f t="shared" si="35"/>
        <v>-348.3</v>
      </c>
      <c r="Q90" s="61">
        <f t="shared" si="35"/>
        <v>-380</v>
      </c>
      <c r="R90" s="61">
        <f t="shared" si="35"/>
        <v>-380</v>
      </c>
      <c r="S90" s="61">
        <f t="shared" si="35"/>
        <v>-325.5</v>
      </c>
      <c r="T90" s="61">
        <f t="shared" si="35"/>
        <v>-370</v>
      </c>
      <c r="U90" s="61">
        <f t="shared" si="35"/>
        <v>-365</v>
      </c>
      <c r="V90" s="61">
        <f t="shared" si="35"/>
        <v>-365.2</v>
      </c>
      <c r="W90" s="61">
        <f t="shared" si="35"/>
        <v>-354</v>
      </c>
      <c r="X90" s="61">
        <f t="shared" si="35"/>
        <v>-216</v>
      </c>
      <c r="Y90" s="61">
        <f t="shared" si="35"/>
        <v>-240</v>
      </c>
      <c r="Z90" s="61">
        <f t="shared" si="35"/>
        <v>-334.1</v>
      </c>
      <c r="AA90" s="61">
        <f t="shared" si="35"/>
        <v>-339.4</v>
      </c>
      <c r="AB90" s="61">
        <f t="shared" si="35"/>
        <v>-367.3</v>
      </c>
      <c r="AC90" s="61">
        <f t="shared" si="35"/>
        <v>-350</v>
      </c>
      <c r="AD90" s="61">
        <f t="shared" si="35"/>
        <v>-380</v>
      </c>
      <c r="AE90" s="61">
        <f t="shared" si="35"/>
        <v>-390</v>
      </c>
      <c r="AF90" s="61">
        <f t="shared" si="35"/>
        <v>-380</v>
      </c>
      <c r="AG90" s="81"/>
      <c r="AH90" s="48">
        <f t="shared" si="16"/>
        <v>-216</v>
      </c>
      <c r="AI90" s="49">
        <f t="shared" si="17"/>
        <v>-405</v>
      </c>
    </row>
    <row r="91" spans="1:37" x14ac:dyDescent="0.25">
      <c r="A91" s="88" t="s">
        <v>96</v>
      </c>
      <c r="B91" s="89">
        <v>50.03</v>
      </c>
      <c r="C91" s="89">
        <v>50.003999999999998</v>
      </c>
      <c r="D91" s="89">
        <v>49.9</v>
      </c>
      <c r="E91" s="89">
        <v>49.997999999999998</v>
      </c>
      <c r="F91" s="89">
        <v>50.029000000000003</v>
      </c>
      <c r="G91" s="89">
        <v>49.993000000000002</v>
      </c>
      <c r="H91" s="89">
        <v>50.031999999999996</v>
      </c>
      <c r="I91" s="89">
        <v>50.052999999999997</v>
      </c>
      <c r="J91" s="89">
        <v>50.02</v>
      </c>
      <c r="K91" s="89">
        <v>50.042000000000002</v>
      </c>
      <c r="L91" s="89">
        <v>50.057000000000002</v>
      </c>
      <c r="M91" s="89">
        <v>50.057000000000002</v>
      </c>
      <c r="N91" s="89">
        <v>50.057000000000002</v>
      </c>
      <c r="O91" s="89">
        <v>50.03</v>
      </c>
      <c r="P91" s="89">
        <v>50.03</v>
      </c>
      <c r="Q91" s="89">
        <v>50.03</v>
      </c>
      <c r="R91" s="89">
        <v>50.03</v>
      </c>
      <c r="S91" s="89">
        <v>50.03</v>
      </c>
      <c r="T91" s="89">
        <v>50.04</v>
      </c>
      <c r="U91" s="89">
        <v>50.043999999999997</v>
      </c>
      <c r="V91" s="89">
        <v>50.017000000000003</v>
      </c>
      <c r="W91" s="89">
        <v>50.036999999999999</v>
      </c>
      <c r="X91" s="89">
        <v>50.04</v>
      </c>
      <c r="Y91" s="89">
        <v>50.012999999999998</v>
      </c>
      <c r="Z91" s="89">
        <v>50.076999999999998</v>
      </c>
      <c r="AA91" s="89">
        <v>50.064999999999998</v>
      </c>
      <c r="AB91" s="89">
        <v>50.073</v>
      </c>
      <c r="AC91" s="89">
        <v>50.073</v>
      </c>
      <c r="AD91" s="89">
        <v>50.045000000000002</v>
      </c>
      <c r="AE91" s="89">
        <v>50.045000000000002</v>
      </c>
      <c r="AF91" s="89">
        <v>50.01</v>
      </c>
      <c r="AG91" s="90"/>
      <c r="AH91" s="48">
        <f t="shared" si="16"/>
        <v>50.076999999999998</v>
      </c>
      <c r="AI91" s="49">
        <f t="shared" si="17"/>
        <v>49.9</v>
      </c>
    </row>
    <row r="92" spans="1:37" x14ac:dyDescent="0.25">
      <c r="A92" s="91" t="s">
        <v>97</v>
      </c>
      <c r="B92" s="65">
        <v>124.4</v>
      </c>
      <c r="C92" s="65">
        <v>126.4</v>
      </c>
      <c r="D92" s="65">
        <v>126.9</v>
      </c>
      <c r="E92" s="65">
        <v>125</v>
      </c>
      <c r="F92" s="65">
        <v>125</v>
      </c>
      <c r="G92" s="65">
        <v>124.6</v>
      </c>
      <c r="H92" s="65">
        <v>124.6</v>
      </c>
      <c r="I92" s="65">
        <v>124</v>
      </c>
      <c r="J92" s="65">
        <v>124</v>
      </c>
      <c r="K92" s="65">
        <v>124</v>
      </c>
      <c r="L92" s="65">
        <v>123</v>
      </c>
      <c r="M92" s="65">
        <v>123</v>
      </c>
      <c r="N92" s="65">
        <v>123</v>
      </c>
      <c r="O92" s="65">
        <v>121</v>
      </c>
      <c r="P92" s="65">
        <v>120.7</v>
      </c>
      <c r="Q92" s="65">
        <v>120.7</v>
      </c>
      <c r="R92" s="65">
        <v>120.7</v>
      </c>
      <c r="S92" s="65">
        <v>121.6</v>
      </c>
      <c r="T92" s="65">
        <v>123</v>
      </c>
      <c r="U92" s="65">
        <v>123</v>
      </c>
      <c r="V92" s="65">
        <v>124.7</v>
      </c>
      <c r="W92" s="65">
        <v>124.5</v>
      </c>
      <c r="X92" s="65">
        <v>125.5</v>
      </c>
      <c r="Y92" s="65">
        <v>125.7</v>
      </c>
      <c r="Z92" s="65">
        <v>126.3</v>
      </c>
      <c r="AA92" s="65">
        <v>126.5</v>
      </c>
      <c r="AB92" s="65">
        <v>125.6</v>
      </c>
      <c r="AC92" s="65">
        <v>125.6</v>
      </c>
      <c r="AD92" s="65">
        <v>128</v>
      </c>
      <c r="AE92" s="65">
        <v>128</v>
      </c>
      <c r="AF92" s="65">
        <v>126</v>
      </c>
      <c r="AG92" s="92"/>
      <c r="AH92" s="48">
        <f t="shared" si="16"/>
        <v>128</v>
      </c>
      <c r="AI92" s="49">
        <f t="shared" si="17"/>
        <v>120.7</v>
      </c>
    </row>
    <row r="93" spans="1:37" x14ac:dyDescent="0.25">
      <c r="A93" s="91" t="s">
        <v>98</v>
      </c>
      <c r="B93" s="65">
        <v>129.4</v>
      </c>
      <c r="C93" s="65">
        <v>130.80000000000001</v>
      </c>
      <c r="D93" s="65">
        <v>131.4</v>
      </c>
      <c r="E93" s="65">
        <v>130</v>
      </c>
      <c r="F93" s="65">
        <v>130</v>
      </c>
      <c r="G93" s="65">
        <v>129</v>
      </c>
      <c r="H93" s="65">
        <v>129</v>
      </c>
      <c r="I93" s="65">
        <v>128.30000000000001</v>
      </c>
      <c r="J93" s="65">
        <v>128.30000000000001</v>
      </c>
      <c r="K93" s="65">
        <v>128.30000000000001</v>
      </c>
      <c r="L93" s="65">
        <v>126.8</v>
      </c>
      <c r="M93" s="65">
        <v>126.8</v>
      </c>
      <c r="N93" s="65">
        <v>126.8</v>
      </c>
      <c r="O93" s="65">
        <v>122.7</v>
      </c>
      <c r="P93" s="65">
        <v>122.9</v>
      </c>
      <c r="Q93" s="65">
        <v>122.9</v>
      </c>
      <c r="R93" s="65">
        <v>122.9</v>
      </c>
      <c r="S93" s="65">
        <v>124.6</v>
      </c>
      <c r="T93" s="65">
        <v>126</v>
      </c>
      <c r="U93" s="65">
        <v>126</v>
      </c>
      <c r="V93" s="65">
        <v>128.4</v>
      </c>
      <c r="W93" s="65">
        <v>128.1</v>
      </c>
      <c r="X93" s="65">
        <v>128</v>
      </c>
      <c r="Y93" s="65">
        <v>128.4</v>
      </c>
      <c r="Z93" s="65">
        <v>129.19999999999999</v>
      </c>
      <c r="AA93" s="65">
        <v>129.5</v>
      </c>
      <c r="AB93" s="65">
        <v>128.69999999999999</v>
      </c>
      <c r="AC93" s="65">
        <v>128.69999999999999</v>
      </c>
      <c r="AD93" s="65">
        <v>131</v>
      </c>
      <c r="AE93" s="65">
        <v>131</v>
      </c>
      <c r="AF93" s="65">
        <v>131</v>
      </c>
      <c r="AG93" s="92"/>
      <c r="AH93" s="48">
        <f t="shared" si="16"/>
        <v>131.4</v>
      </c>
      <c r="AI93" s="49">
        <f t="shared" si="17"/>
        <v>122.7</v>
      </c>
    </row>
    <row r="94" spans="1:37" x14ac:dyDescent="0.25">
      <c r="A94" s="91" t="s">
        <v>99</v>
      </c>
      <c r="B94" s="65">
        <v>129.4</v>
      </c>
      <c r="C94" s="65">
        <v>131.6</v>
      </c>
      <c r="D94" s="65">
        <v>131.80000000000001</v>
      </c>
      <c r="E94" s="65">
        <v>129</v>
      </c>
      <c r="F94" s="65">
        <v>129</v>
      </c>
      <c r="G94" s="65">
        <v>128.9</v>
      </c>
      <c r="H94" s="65">
        <v>128.9</v>
      </c>
      <c r="I94" s="65">
        <v>129</v>
      </c>
      <c r="J94" s="65">
        <v>129</v>
      </c>
      <c r="K94" s="65">
        <v>129</v>
      </c>
      <c r="L94" s="65">
        <v>128.5</v>
      </c>
      <c r="M94" s="65">
        <v>128.5</v>
      </c>
      <c r="N94" s="65">
        <v>128.5</v>
      </c>
      <c r="O94" s="65">
        <v>128.19999999999999</v>
      </c>
      <c r="P94" s="65">
        <v>129.1</v>
      </c>
      <c r="Q94" s="65">
        <v>129.1</v>
      </c>
      <c r="R94" s="65">
        <v>129.1</v>
      </c>
      <c r="S94" s="65">
        <v>128</v>
      </c>
      <c r="T94" s="65">
        <v>128</v>
      </c>
      <c r="U94" s="65">
        <v>128</v>
      </c>
      <c r="V94" s="65">
        <v>130.6</v>
      </c>
      <c r="W94" s="65">
        <v>130.19999999999999</v>
      </c>
      <c r="X94" s="65">
        <v>129</v>
      </c>
      <c r="Y94" s="65">
        <v>130.19999999999999</v>
      </c>
      <c r="Z94" s="65">
        <v>131</v>
      </c>
      <c r="AA94" s="65">
        <v>130.69999999999999</v>
      </c>
      <c r="AB94" s="65">
        <v>131.6</v>
      </c>
      <c r="AC94" s="65">
        <v>131.6</v>
      </c>
      <c r="AD94" s="65">
        <v>130</v>
      </c>
      <c r="AE94" s="65">
        <v>130</v>
      </c>
      <c r="AF94" s="65">
        <v>130</v>
      </c>
      <c r="AG94" s="92"/>
      <c r="AH94" s="48">
        <f t="shared" si="16"/>
        <v>131.80000000000001</v>
      </c>
      <c r="AI94" s="49">
        <f t="shared" si="17"/>
        <v>128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>
        <v>134</v>
      </c>
      <c r="AE95" s="65">
        <v>134</v>
      </c>
      <c r="AF95" s="65"/>
      <c r="AG95" s="92"/>
      <c r="AH95" s="48">
        <f t="shared" si="16"/>
        <v>134</v>
      </c>
      <c r="AI95" s="49">
        <f t="shared" si="17"/>
        <v>134</v>
      </c>
    </row>
    <row r="96" spans="1:37" x14ac:dyDescent="0.25">
      <c r="A96" s="93" t="s">
        <v>101</v>
      </c>
      <c r="B96" s="94">
        <v>133</v>
      </c>
      <c r="C96" s="94">
        <v>133.19999999999999</v>
      </c>
      <c r="D96" s="94">
        <v>133.6</v>
      </c>
      <c r="E96" s="94">
        <v>133</v>
      </c>
      <c r="F96" s="94">
        <v>133</v>
      </c>
      <c r="G96" s="94">
        <v>133.5</v>
      </c>
      <c r="H96" s="94">
        <v>133.5</v>
      </c>
      <c r="I96" s="94">
        <v>130.69999999999999</v>
      </c>
      <c r="J96" s="94">
        <v>130.69999999999999</v>
      </c>
      <c r="K96" s="94">
        <v>130.69999999999999</v>
      </c>
      <c r="L96" s="94">
        <v>132</v>
      </c>
      <c r="M96" s="94">
        <v>132</v>
      </c>
      <c r="N96" s="94">
        <v>132</v>
      </c>
      <c r="O96" s="94">
        <v>133.80000000000001</v>
      </c>
      <c r="P96" s="94">
        <v>134.5</v>
      </c>
      <c r="Q96" s="94">
        <v>134.5</v>
      </c>
      <c r="R96" s="94">
        <v>134.5</v>
      </c>
      <c r="S96" s="94">
        <v>132.1</v>
      </c>
      <c r="T96" s="94">
        <v>131.69999999999999</v>
      </c>
      <c r="U96" s="94">
        <v>131.69999999999999</v>
      </c>
      <c r="V96" s="94">
        <v>134.6</v>
      </c>
      <c r="W96" s="94">
        <v>134.1</v>
      </c>
      <c r="X96" s="94">
        <v>133.69999999999999</v>
      </c>
      <c r="Y96" s="94">
        <v>133</v>
      </c>
      <c r="Z96" s="94">
        <v>135.19999999999999</v>
      </c>
      <c r="AA96" s="94">
        <v>134.6</v>
      </c>
      <c r="AB96" s="94">
        <v>132.1</v>
      </c>
      <c r="AC96" s="94">
        <v>132.1</v>
      </c>
      <c r="AD96" s="94">
        <v>134</v>
      </c>
      <c r="AE96" s="94">
        <v>134</v>
      </c>
      <c r="AF96" s="94">
        <v>131</v>
      </c>
      <c r="AG96" s="95"/>
      <c r="AH96" s="48">
        <f t="shared" si="16"/>
        <v>135.19999999999999</v>
      </c>
      <c r="AI96" s="49">
        <f t="shared" si="17"/>
        <v>130.69999999999999</v>
      </c>
    </row>
    <row r="97" spans="1:37" x14ac:dyDescent="0.25">
      <c r="A97" s="91" t="s">
        <v>102</v>
      </c>
      <c r="B97" s="65">
        <v>130.19999999999999</v>
      </c>
      <c r="C97" s="65">
        <v>132.19999999999999</v>
      </c>
      <c r="D97" s="65">
        <v>132.4</v>
      </c>
      <c r="E97" s="65">
        <v>131</v>
      </c>
      <c r="F97" s="65">
        <v>131</v>
      </c>
      <c r="G97" s="65">
        <v>133</v>
      </c>
      <c r="H97" s="65">
        <v>133</v>
      </c>
      <c r="I97" s="65">
        <v>128.9</v>
      </c>
      <c r="J97" s="65">
        <v>128.9</v>
      </c>
      <c r="K97" s="65">
        <v>128.9</v>
      </c>
      <c r="L97" s="65">
        <v>128</v>
      </c>
      <c r="M97" s="65">
        <v>128</v>
      </c>
      <c r="N97" s="65">
        <v>128</v>
      </c>
      <c r="O97" s="65">
        <v>128.4</v>
      </c>
      <c r="P97" s="65">
        <v>128.5</v>
      </c>
      <c r="Q97" s="65">
        <v>128.5</v>
      </c>
      <c r="R97" s="65">
        <v>128.5</v>
      </c>
      <c r="S97" s="65">
        <v>128.6</v>
      </c>
      <c r="T97" s="65">
        <v>127</v>
      </c>
      <c r="U97" s="65">
        <v>127</v>
      </c>
      <c r="V97" s="65">
        <v>132.4</v>
      </c>
      <c r="W97" s="65">
        <v>131.80000000000001</v>
      </c>
      <c r="X97" s="65">
        <v>130</v>
      </c>
      <c r="Y97" s="65">
        <v>131</v>
      </c>
      <c r="Z97" s="65">
        <v>134.69999999999999</v>
      </c>
      <c r="AA97" s="65">
        <v>131.1</v>
      </c>
      <c r="AB97" s="65">
        <v>126.3</v>
      </c>
      <c r="AC97" s="65">
        <v>126.3</v>
      </c>
      <c r="AD97" s="65">
        <v>130</v>
      </c>
      <c r="AE97" s="65">
        <v>130</v>
      </c>
      <c r="AF97" s="65">
        <v>127</v>
      </c>
      <c r="AG97" s="92"/>
      <c r="AH97" s="48">
        <f t="shared" si="16"/>
        <v>134.69999999999999</v>
      </c>
      <c r="AI97" s="49">
        <f t="shared" si="17"/>
        <v>126.3</v>
      </c>
    </row>
    <row r="98" spans="1:37" ht="15.75" thickBot="1" x14ac:dyDescent="0.3">
      <c r="A98" s="91" t="s">
        <v>103</v>
      </c>
      <c r="B98" s="96">
        <v>65.599999999999994</v>
      </c>
      <c r="C98" s="96">
        <v>66.2</v>
      </c>
      <c r="D98" s="96">
        <v>66.599999999999994</v>
      </c>
      <c r="E98" s="96">
        <v>66</v>
      </c>
      <c r="F98" s="96">
        <v>66</v>
      </c>
      <c r="G98" s="96">
        <v>65.5</v>
      </c>
      <c r="H98" s="96">
        <v>65.5</v>
      </c>
      <c r="I98" s="96">
        <v>64.8</v>
      </c>
      <c r="J98" s="96">
        <v>64.8</v>
      </c>
      <c r="K98" s="96">
        <v>64.8</v>
      </c>
      <c r="L98" s="96">
        <v>64.2</v>
      </c>
      <c r="M98" s="96">
        <v>64.2</v>
      </c>
      <c r="N98" s="96">
        <v>64.2</v>
      </c>
      <c r="O98" s="96">
        <v>62.4</v>
      </c>
      <c r="P98" s="96">
        <v>62.3</v>
      </c>
      <c r="Q98" s="96">
        <v>62.3</v>
      </c>
      <c r="R98" s="96">
        <v>62.3</v>
      </c>
      <c r="S98" s="96">
        <v>63.4</v>
      </c>
      <c r="T98" s="96">
        <v>64</v>
      </c>
      <c r="U98" s="96">
        <v>64</v>
      </c>
      <c r="V98" s="96">
        <v>64.7</v>
      </c>
      <c r="W98" s="96">
        <v>64.599999999999994</v>
      </c>
      <c r="X98" s="96">
        <v>64.7</v>
      </c>
      <c r="Y98" s="96">
        <v>64.8</v>
      </c>
      <c r="Z98" s="96">
        <v>65.3</v>
      </c>
      <c r="AA98" s="96">
        <v>65.5</v>
      </c>
      <c r="AB98" s="96">
        <v>64.7</v>
      </c>
      <c r="AC98" s="96">
        <v>65</v>
      </c>
      <c r="AD98" s="96">
        <v>66</v>
      </c>
      <c r="AE98" s="96">
        <v>66</v>
      </c>
      <c r="AF98" s="96">
        <v>66</v>
      </c>
      <c r="AG98" s="97"/>
      <c r="AH98" s="48">
        <f t="shared" si="16"/>
        <v>66.599999999999994</v>
      </c>
      <c r="AI98" s="49">
        <f t="shared" si="17"/>
        <v>62.3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16"/>
        <v>0</v>
      </c>
      <c r="AI99" s="49">
        <f t="shared" si="17"/>
        <v>0</v>
      </c>
    </row>
    <row r="100" spans="1:37" ht="15.75" thickBot="1" x14ac:dyDescent="0.3">
      <c r="A100" s="99" t="s">
        <v>104</v>
      </c>
      <c r="B100" s="100">
        <f t="shared" ref="B100:AF100" si="36">SUM(B15,B20,B22:B23,B48,B50:B51,B53,B55,B101:B105,B127,B133,B139,B148,B150,B162,B169,B172:B173,B180,B182,B184,B188:B190,B192:B194,B199,B205:B206,B208:B210,B218,B223)</f>
        <v>36.20000000000001</v>
      </c>
      <c r="C100" s="100">
        <f t="shared" si="36"/>
        <v>32.240000000000009</v>
      </c>
      <c r="D100" s="100">
        <f t="shared" si="36"/>
        <v>32.739999999999974</v>
      </c>
      <c r="E100" s="100">
        <f t="shared" si="36"/>
        <v>27.740000000000013</v>
      </c>
      <c r="F100" s="100">
        <f t="shared" si="36"/>
        <v>28.839999999999989</v>
      </c>
      <c r="G100" s="100">
        <f t="shared" si="36"/>
        <v>39.939999999999991</v>
      </c>
      <c r="H100" s="100">
        <f t="shared" si="36"/>
        <v>63.040000000000006</v>
      </c>
      <c r="I100" s="100">
        <f t="shared" si="36"/>
        <v>88.339999999999975</v>
      </c>
      <c r="J100" s="100">
        <f t="shared" si="36"/>
        <v>153.43999999999997</v>
      </c>
      <c r="K100" s="100">
        <f t="shared" si="36"/>
        <v>216.83999999999997</v>
      </c>
      <c r="L100" s="100">
        <f t="shared" si="36"/>
        <v>235.64000000000001</v>
      </c>
      <c r="M100" s="100">
        <f t="shared" si="36"/>
        <v>206.94</v>
      </c>
      <c r="N100" s="100">
        <f t="shared" si="36"/>
        <v>191.94</v>
      </c>
      <c r="O100" s="100">
        <f t="shared" si="36"/>
        <v>191.04000000000002</v>
      </c>
      <c r="P100" s="100">
        <f t="shared" si="36"/>
        <v>179.94</v>
      </c>
      <c r="Q100" s="100">
        <f t="shared" si="36"/>
        <v>171.6</v>
      </c>
      <c r="R100" s="100">
        <f t="shared" si="36"/>
        <v>176.6</v>
      </c>
      <c r="S100" s="100">
        <f t="shared" si="36"/>
        <v>173.1</v>
      </c>
      <c r="T100" s="100">
        <f t="shared" si="36"/>
        <v>184.2</v>
      </c>
      <c r="U100" s="100">
        <f t="shared" si="36"/>
        <v>190</v>
      </c>
      <c r="V100" s="100">
        <f t="shared" si="36"/>
        <v>195.20000000000002</v>
      </c>
      <c r="W100" s="100">
        <f t="shared" si="36"/>
        <v>204.5</v>
      </c>
      <c r="X100" s="100">
        <f t="shared" si="36"/>
        <v>254.5</v>
      </c>
      <c r="Y100" s="100">
        <f t="shared" si="36"/>
        <v>259.2</v>
      </c>
      <c r="Z100" s="100">
        <f t="shared" si="36"/>
        <v>252.8</v>
      </c>
      <c r="AA100" s="100">
        <f t="shared" si="36"/>
        <v>231.5</v>
      </c>
      <c r="AB100" s="100">
        <f t="shared" si="36"/>
        <v>204.5</v>
      </c>
      <c r="AC100" s="100">
        <f t="shared" si="36"/>
        <v>169.90000000000003</v>
      </c>
      <c r="AD100" s="100">
        <f t="shared" si="36"/>
        <v>111.30000000000001</v>
      </c>
      <c r="AE100" s="100">
        <f t="shared" si="36"/>
        <v>101.30000000000001</v>
      </c>
      <c r="AF100" s="100">
        <f t="shared" si="36"/>
        <v>58.800000000000011</v>
      </c>
      <c r="AG100" s="101"/>
      <c r="AH100" s="48">
        <f t="shared" si="16"/>
        <v>259.2</v>
      </c>
      <c r="AI100" s="49">
        <f t="shared" si="17"/>
        <v>27.740000000000013</v>
      </c>
    </row>
    <row r="101" spans="1:37" x14ac:dyDescent="0.25">
      <c r="A101" s="88" t="s">
        <v>105</v>
      </c>
      <c r="B101" s="102">
        <v>17.399999999999999</v>
      </c>
      <c r="C101" s="102">
        <v>13.9</v>
      </c>
      <c r="D101" s="102">
        <v>15.7</v>
      </c>
      <c r="E101" s="102">
        <v>19.2</v>
      </c>
      <c r="F101" s="102">
        <v>21</v>
      </c>
      <c r="G101" s="102">
        <v>23.6</v>
      </c>
      <c r="H101" s="102">
        <v>20.7</v>
      </c>
      <c r="I101" s="102">
        <v>21.3</v>
      </c>
      <c r="J101" s="102">
        <v>20.399999999999999</v>
      </c>
      <c r="K101" s="102">
        <v>27.9</v>
      </c>
      <c r="L101" s="102">
        <v>27.5</v>
      </c>
      <c r="M101" s="102">
        <v>72</v>
      </c>
      <c r="N101" s="102">
        <v>74</v>
      </c>
      <c r="O101" s="102">
        <v>67</v>
      </c>
      <c r="P101" s="102">
        <v>70.3</v>
      </c>
      <c r="Q101" s="102">
        <v>71</v>
      </c>
      <c r="R101" s="102">
        <v>74</v>
      </c>
      <c r="S101" s="102">
        <v>62.5</v>
      </c>
      <c r="T101" s="102">
        <v>61</v>
      </c>
      <c r="U101" s="102">
        <v>61</v>
      </c>
      <c r="V101" s="102">
        <v>32</v>
      </c>
      <c r="W101" s="102">
        <v>34.6</v>
      </c>
      <c r="X101" s="102">
        <v>27</v>
      </c>
      <c r="Y101" s="102">
        <v>34.200000000000003</v>
      </c>
      <c r="Z101" s="102">
        <v>34</v>
      </c>
      <c r="AA101" s="102">
        <v>34.200000000000003</v>
      </c>
      <c r="AB101" s="102">
        <v>30.5</v>
      </c>
      <c r="AC101" s="102">
        <v>22</v>
      </c>
      <c r="AD101" s="102">
        <v>23</v>
      </c>
      <c r="AE101" s="102">
        <v>23</v>
      </c>
      <c r="AF101" s="102">
        <v>19</v>
      </c>
      <c r="AG101" s="103">
        <v>75</v>
      </c>
      <c r="AH101" s="48">
        <f t="shared" si="16"/>
        <v>74</v>
      </c>
      <c r="AI101" s="49">
        <f t="shared" si="17"/>
        <v>13.9</v>
      </c>
    </row>
    <row r="102" spans="1:37" x14ac:dyDescent="0.25">
      <c r="A102" s="91" t="s">
        <v>106</v>
      </c>
      <c r="B102" s="104">
        <v>35.9</v>
      </c>
      <c r="C102" s="104">
        <v>31</v>
      </c>
      <c r="D102" s="104">
        <v>34</v>
      </c>
      <c r="E102" s="104">
        <v>38.799999999999997</v>
      </c>
      <c r="F102" s="104">
        <v>41.2</v>
      </c>
      <c r="G102" s="104">
        <v>43.1</v>
      </c>
      <c r="H102" s="104">
        <v>39.6</v>
      </c>
      <c r="I102" s="104">
        <v>40.1</v>
      </c>
      <c r="J102" s="104">
        <v>39.299999999999997</v>
      </c>
      <c r="K102" s="104">
        <v>51.8</v>
      </c>
      <c r="L102" s="104">
        <v>50</v>
      </c>
      <c r="M102" s="104">
        <v>0</v>
      </c>
      <c r="N102" s="104">
        <v>0</v>
      </c>
      <c r="O102" s="104">
        <v>0</v>
      </c>
      <c r="P102" s="104">
        <v>0</v>
      </c>
      <c r="Q102" s="104">
        <v>0</v>
      </c>
      <c r="R102" s="104">
        <v>0</v>
      </c>
      <c r="S102" s="104">
        <v>0</v>
      </c>
      <c r="T102" s="104">
        <v>0</v>
      </c>
      <c r="U102" s="104">
        <v>0</v>
      </c>
      <c r="V102" s="104">
        <v>51</v>
      </c>
      <c r="W102" s="104">
        <v>55.2</v>
      </c>
      <c r="X102" s="104">
        <v>44</v>
      </c>
      <c r="Y102" s="104">
        <v>53.6</v>
      </c>
      <c r="Z102" s="104">
        <v>54</v>
      </c>
      <c r="AA102" s="104">
        <v>54.4</v>
      </c>
      <c r="AB102" s="104">
        <v>48.9</v>
      </c>
      <c r="AC102" s="104">
        <v>37</v>
      </c>
      <c r="AD102" s="104">
        <v>39</v>
      </c>
      <c r="AE102" s="104">
        <v>39</v>
      </c>
      <c r="AF102" s="104">
        <v>38</v>
      </c>
      <c r="AG102" s="103">
        <v>240</v>
      </c>
      <c r="AH102" s="48">
        <f t="shared" si="16"/>
        <v>55.2</v>
      </c>
      <c r="AI102" s="49">
        <f t="shared" si="17"/>
        <v>0</v>
      </c>
    </row>
    <row r="103" spans="1:37" x14ac:dyDescent="0.25">
      <c r="A103" s="91" t="s">
        <v>107</v>
      </c>
      <c r="B103" s="104">
        <f>-62-67</f>
        <v>-129</v>
      </c>
      <c r="C103" s="104">
        <f>-65-69</f>
        <v>-134</v>
      </c>
      <c r="D103" s="104">
        <f>-63.6-67.8</f>
        <v>-131.4</v>
      </c>
      <c r="E103" s="104">
        <v>-135</v>
      </c>
      <c r="F103" s="104">
        <v>-130</v>
      </c>
      <c r="G103" s="104">
        <v>-135</v>
      </c>
      <c r="H103" s="104">
        <v>-134</v>
      </c>
      <c r="I103" s="104">
        <v>-120.7</v>
      </c>
      <c r="J103" s="104">
        <v>-105</v>
      </c>
      <c r="K103" s="104">
        <v>-104.6</v>
      </c>
      <c r="L103" s="104">
        <v>-96.7</v>
      </c>
      <c r="M103" s="104">
        <v>-51</v>
      </c>
      <c r="N103" s="104">
        <v>-57</v>
      </c>
      <c r="O103" s="104">
        <f>-36.9-39.8</f>
        <v>-76.699999999999989</v>
      </c>
      <c r="P103" s="104">
        <f>-44-46.9</f>
        <v>-90.9</v>
      </c>
      <c r="Q103" s="104">
        <v>-99</v>
      </c>
      <c r="R103" s="104">
        <v>-98</v>
      </c>
      <c r="S103" s="104">
        <v>-64</v>
      </c>
      <c r="T103" s="104">
        <v>-54</v>
      </c>
      <c r="U103" s="104">
        <v>-54</v>
      </c>
      <c r="V103" s="104">
        <v>-131</v>
      </c>
      <c r="W103" s="104">
        <v>-130</v>
      </c>
      <c r="X103" s="104">
        <v>-86</v>
      </c>
      <c r="Y103" s="104">
        <v>-96.8</v>
      </c>
      <c r="Z103" s="104">
        <v>-102</v>
      </c>
      <c r="AA103" s="104">
        <v>-122</v>
      </c>
      <c r="AB103" s="104">
        <v>-130.80000000000001</v>
      </c>
      <c r="AC103" s="104">
        <v>-143</v>
      </c>
      <c r="AD103" s="104">
        <v>-124</v>
      </c>
      <c r="AE103" s="104">
        <v>-124</v>
      </c>
      <c r="AF103" s="104">
        <v>-141</v>
      </c>
      <c r="AG103" s="103">
        <v>240</v>
      </c>
      <c r="AH103" s="48">
        <f t="shared" si="16"/>
        <v>-51</v>
      </c>
      <c r="AI103" s="49">
        <f t="shared" si="17"/>
        <v>-143</v>
      </c>
    </row>
    <row r="104" spans="1:37" x14ac:dyDescent="0.25">
      <c r="A104" s="91" t="s">
        <v>108</v>
      </c>
      <c r="B104" s="104">
        <v>1.9</v>
      </c>
      <c r="C104" s="104">
        <v>-2</v>
      </c>
      <c r="D104" s="104">
        <v>0.9</v>
      </c>
      <c r="E104" s="104">
        <v>0</v>
      </c>
      <c r="F104" s="104">
        <v>0.2</v>
      </c>
      <c r="G104" s="104">
        <v>0.9</v>
      </c>
      <c r="H104" s="104">
        <v>0.7</v>
      </c>
      <c r="I104" s="104">
        <v>3.3</v>
      </c>
      <c r="J104" s="104">
        <v>8</v>
      </c>
      <c r="K104" s="104">
        <v>9.5</v>
      </c>
      <c r="L104" s="104">
        <v>10.9</v>
      </c>
      <c r="M104" s="104">
        <v>14</v>
      </c>
      <c r="N104" s="104">
        <v>14</v>
      </c>
      <c r="O104" s="104">
        <v>8</v>
      </c>
      <c r="P104" s="104">
        <v>7</v>
      </c>
      <c r="Q104" s="104">
        <v>7</v>
      </c>
      <c r="R104" s="104">
        <v>6</v>
      </c>
      <c r="S104" s="104">
        <v>10.9</v>
      </c>
      <c r="T104" s="104">
        <v>13</v>
      </c>
      <c r="U104" s="104">
        <v>13</v>
      </c>
      <c r="V104" s="104">
        <v>5.9</v>
      </c>
      <c r="W104" s="104">
        <v>7.7</v>
      </c>
      <c r="X104" s="104">
        <v>16</v>
      </c>
      <c r="Y104" s="104">
        <v>13.6</v>
      </c>
      <c r="Z104" s="104">
        <v>12.7</v>
      </c>
      <c r="AA104" s="104">
        <v>9.8000000000000007</v>
      </c>
      <c r="AB104" s="104">
        <v>6.6</v>
      </c>
      <c r="AC104" s="104">
        <v>5.2</v>
      </c>
      <c r="AD104" s="104">
        <v>6.6</v>
      </c>
      <c r="AE104" s="104">
        <v>6.6</v>
      </c>
      <c r="AF104" s="104">
        <v>2</v>
      </c>
      <c r="AG104" s="103">
        <v>60</v>
      </c>
      <c r="AH104" s="48">
        <f t="shared" si="16"/>
        <v>16</v>
      </c>
      <c r="AI104" s="49">
        <f t="shared" si="17"/>
        <v>-2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30.4</v>
      </c>
      <c r="K105" s="106">
        <v>56.9</v>
      </c>
      <c r="L105" s="106">
        <v>64</v>
      </c>
      <c r="M105" s="106">
        <v>64</v>
      </c>
      <c r="N105" s="106">
        <v>51</v>
      </c>
      <c r="O105" s="106">
        <v>82.3</v>
      </c>
      <c r="P105" s="106">
        <v>82.6</v>
      </c>
      <c r="Q105" s="106">
        <v>82.6</v>
      </c>
      <c r="R105" s="106">
        <v>82.6</v>
      </c>
      <c r="S105" s="106">
        <v>59.5</v>
      </c>
      <c r="T105" s="106">
        <v>60</v>
      </c>
      <c r="U105" s="106">
        <v>60</v>
      </c>
      <c r="V105" s="106">
        <v>82.4</v>
      </c>
      <c r="W105" s="106">
        <v>82.1</v>
      </c>
      <c r="X105" s="106">
        <v>82</v>
      </c>
      <c r="Y105" s="106">
        <v>83.1</v>
      </c>
      <c r="Z105" s="106">
        <v>82.3</v>
      </c>
      <c r="AA105" s="106">
        <v>83.2</v>
      </c>
      <c r="AB105" s="106">
        <v>82.4</v>
      </c>
      <c r="AC105" s="106">
        <v>82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16"/>
        <v>83.2</v>
      </c>
      <c r="AI105" s="49">
        <f t="shared" si="17"/>
        <v>0</v>
      </c>
    </row>
    <row r="106" spans="1:37" x14ac:dyDescent="0.25">
      <c r="A106" s="105" t="s">
        <v>110</v>
      </c>
      <c r="B106" s="106">
        <v>29.3</v>
      </c>
      <c r="C106" s="106">
        <v>14.4</v>
      </c>
      <c r="D106" s="106">
        <v>17.399999999999999</v>
      </c>
      <c r="E106" s="106">
        <v>8.1999999999999993</v>
      </c>
      <c r="F106" s="106">
        <v>11.1</v>
      </c>
      <c r="G106" s="106">
        <v>12</v>
      </c>
      <c r="H106" s="106">
        <v>15.2</v>
      </c>
      <c r="I106" s="106">
        <v>20.2</v>
      </c>
      <c r="J106" s="106">
        <v>31</v>
      </c>
      <c r="K106" s="106">
        <v>40.700000000000003</v>
      </c>
      <c r="L106" s="106">
        <v>42.6</v>
      </c>
      <c r="M106" s="106">
        <v>40</v>
      </c>
      <c r="N106" s="106">
        <v>40</v>
      </c>
      <c r="O106" s="106">
        <v>13.5</v>
      </c>
      <c r="P106" s="106">
        <v>11.9</v>
      </c>
      <c r="Q106" s="106">
        <v>11.9</v>
      </c>
      <c r="R106" s="106">
        <v>11.9</v>
      </c>
      <c r="S106" s="106">
        <v>43</v>
      </c>
      <c r="T106" s="106">
        <v>30</v>
      </c>
      <c r="U106" s="106">
        <v>30</v>
      </c>
      <c r="V106" s="106">
        <v>-11.1</v>
      </c>
      <c r="W106" s="106">
        <v>-8.1999999999999993</v>
      </c>
      <c r="X106" s="106">
        <v>35</v>
      </c>
      <c r="Y106" s="106">
        <v>16.600000000000001</v>
      </c>
      <c r="Z106" s="106">
        <v>11.3</v>
      </c>
      <c r="AA106" s="106">
        <v>-9.8000000000000007</v>
      </c>
      <c r="AB106" s="106">
        <v>-14.5</v>
      </c>
      <c r="AC106" s="106">
        <v>-11</v>
      </c>
      <c r="AD106" s="106">
        <v>-6</v>
      </c>
      <c r="AE106" s="106">
        <v>-6</v>
      </c>
      <c r="AF106" s="106">
        <v>0</v>
      </c>
      <c r="AG106" s="107"/>
      <c r="AH106" s="48">
        <f t="shared" si="16"/>
        <v>43</v>
      </c>
      <c r="AI106" s="49">
        <f t="shared" si="17"/>
        <v>-14.5</v>
      </c>
    </row>
    <row r="107" spans="1:37" x14ac:dyDescent="0.25">
      <c r="A107" s="105" t="s">
        <v>111</v>
      </c>
      <c r="B107" s="106">
        <v>6.5</v>
      </c>
      <c r="C107" s="106">
        <v>10.5</v>
      </c>
      <c r="D107" s="106">
        <v>5.7</v>
      </c>
      <c r="E107" s="106">
        <v>-12</v>
      </c>
      <c r="F107" s="106">
        <v>-14.9</v>
      </c>
      <c r="G107" s="106">
        <v>-12.4</v>
      </c>
      <c r="H107" s="106">
        <v>-5.8</v>
      </c>
      <c r="I107" s="106">
        <v>-9.9</v>
      </c>
      <c r="J107" s="106">
        <v>-1</v>
      </c>
      <c r="K107" s="106">
        <v>12.3</v>
      </c>
      <c r="L107" s="106">
        <v>0</v>
      </c>
      <c r="M107" s="106">
        <v>-21</v>
      </c>
      <c r="N107" s="106">
        <v>-21</v>
      </c>
      <c r="O107" s="106">
        <v>-9.1999999999999993</v>
      </c>
      <c r="P107" s="106">
        <v>-6.6</v>
      </c>
      <c r="Q107" s="106">
        <v>-6.6</v>
      </c>
      <c r="R107" s="106">
        <v>-6.6</v>
      </c>
      <c r="S107" s="106">
        <v>0</v>
      </c>
      <c r="T107" s="106">
        <v>2.4</v>
      </c>
      <c r="U107" s="106">
        <v>2.4</v>
      </c>
      <c r="V107" s="106">
        <v>14.2</v>
      </c>
      <c r="W107" s="106">
        <v>20.9</v>
      </c>
      <c r="X107" s="106">
        <v>57</v>
      </c>
      <c r="Y107" s="106">
        <v>35.200000000000003</v>
      </c>
      <c r="Z107" s="106">
        <v>29.3</v>
      </c>
      <c r="AA107" s="106">
        <v>31.9</v>
      </c>
      <c r="AB107" s="106">
        <v>40.799999999999997</v>
      </c>
      <c r="AC107" s="106">
        <v>41</v>
      </c>
      <c r="AD107" s="106">
        <v>22</v>
      </c>
      <c r="AE107" s="106">
        <v>22</v>
      </c>
      <c r="AF107" s="106">
        <v>0</v>
      </c>
      <c r="AG107" s="108"/>
      <c r="AH107" s="48">
        <f t="shared" si="16"/>
        <v>57</v>
      </c>
      <c r="AI107" s="49">
        <f t="shared" si="17"/>
        <v>-21</v>
      </c>
    </row>
    <row r="108" spans="1:37" x14ac:dyDescent="0.25">
      <c r="A108" s="109" t="s">
        <v>112</v>
      </c>
      <c r="B108" s="94">
        <v>84.1</v>
      </c>
      <c r="C108" s="94">
        <v>73</v>
      </c>
      <c r="D108" s="94">
        <v>85</v>
      </c>
      <c r="E108" s="94">
        <v>93.8</v>
      </c>
      <c r="F108" s="94">
        <v>96.9</v>
      </c>
      <c r="G108" s="94">
        <v>94.5</v>
      </c>
      <c r="H108" s="94">
        <v>89.5</v>
      </c>
      <c r="I108" s="94">
        <v>90.7</v>
      </c>
      <c r="J108" s="94">
        <v>82.3</v>
      </c>
      <c r="K108" s="94">
        <v>77.8</v>
      </c>
      <c r="L108" s="94">
        <v>76.8</v>
      </c>
      <c r="M108" s="94">
        <v>73</v>
      </c>
      <c r="N108" s="94">
        <v>73</v>
      </c>
      <c r="O108" s="94">
        <v>72.8</v>
      </c>
      <c r="P108" s="94">
        <v>65.3</v>
      </c>
      <c r="Q108" s="94">
        <v>65.3</v>
      </c>
      <c r="R108" s="94">
        <v>65.3</v>
      </c>
      <c r="S108" s="94">
        <v>76.400000000000006</v>
      </c>
      <c r="T108" s="94">
        <v>73</v>
      </c>
      <c r="U108" s="94">
        <v>73</v>
      </c>
      <c r="V108" s="94">
        <v>62.1</v>
      </c>
      <c r="W108" s="94">
        <v>59.2</v>
      </c>
      <c r="X108" s="94">
        <v>52</v>
      </c>
      <c r="Y108" s="94">
        <v>65</v>
      </c>
      <c r="Z108" s="94">
        <v>65.7</v>
      </c>
      <c r="AA108" s="94">
        <v>68</v>
      </c>
      <c r="AB108" s="94">
        <v>74.400000000000006</v>
      </c>
      <c r="AC108" s="94">
        <v>78</v>
      </c>
      <c r="AD108" s="94">
        <v>88</v>
      </c>
      <c r="AE108" s="94">
        <v>88</v>
      </c>
      <c r="AF108" s="94">
        <v>92</v>
      </c>
      <c r="AG108" s="108"/>
      <c r="AH108" s="48">
        <f t="shared" si="16"/>
        <v>96.9</v>
      </c>
      <c r="AI108" s="49">
        <f t="shared" si="17"/>
        <v>52</v>
      </c>
    </row>
    <row r="109" spans="1:37" ht="15.75" thickBot="1" x14ac:dyDescent="0.3">
      <c r="A109" s="109" t="s">
        <v>113</v>
      </c>
      <c r="B109" s="94">
        <v>96</v>
      </c>
      <c r="C109" s="94">
        <v>94</v>
      </c>
      <c r="D109" s="94">
        <v>93.9</v>
      </c>
      <c r="E109" s="94">
        <v>102</v>
      </c>
      <c r="F109" s="94">
        <v>97</v>
      </c>
      <c r="G109" s="94">
        <v>97.6</v>
      </c>
      <c r="H109" s="94">
        <v>93.5</v>
      </c>
      <c r="I109" s="94">
        <v>85.6</v>
      </c>
      <c r="J109" s="94">
        <v>74.400000000000006</v>
      </c>
      <c r="K109" s="94">
        <v>74.8</v>
      </c>
      <c r="L109" s="94">
        <v>70</v>
      </c>
      <c r="M109" s="94">
        <v>67</v>
      </c>
      <c r="N109" s="94">
        <v>66</v>
      </c>
      <c r="O109" s="94">
        <v>80.2</v>
      </c>
      <c r="P109" s="94">
        <v>84.9</v>
      </c>
      <c r="Q109" s="94">
        <v>94</v>
      </c>
      <c r="R109" s="94">
        <v>90</v>
      </c>
      <c r="S109" s="94">
        <v>68.3</v>
      </c>
      <c r="T109" s="94">
        <v>65</v>
      </c>
      <c r="U109" s="94">
        <v>65</v>
      </c>
      <c r="V109" s="94">
        <v>94</v>
      </c>
      <c r="W109" s="94">
        <v>87.4</v>
      </c>
      <c r="X109" s="94">
        <v>50</v>
      </c>
      <c r="Y109" s="94">
        <v>66.599999999999994</v>
      </c>
      <c r="Z109" s="94">
        <v>73.7</v>
      </c>
      <c r="AA109" s="94">
        <v>86</v>
      </c>
      <c r="AB109" s="94">
        <v>92.6</v>
      </c>
      <c r="AC109" s="94">
        <v>95</v>
      </c>
      <c r="AD109" s="94">
        <v>86</v>
      </c>
      <c r="AE109" s="94">
        <v>101</v>
      </c>
      <c r="AF109" s="94">
        <v>98</v>
      </c>
      <c r="AG109" s="108"/>
      <c r="AH109" s="48">
        <f t="shared" si="16"/>
        <v>102</v>
      </c>
      <c r="AI109" s="49">
        <f t="shared" si="17"/>
        <v>50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37">SUM(B111:B215)</f>
        <v>0</v>
      </c>
      <c r="C216" s="125">
        <f t="shared" si="37"/>
        <v>0</v>
      </c>
      <c r="D216" s="125">
        <f t="shared" si="37"/>
        <v>0</v>
      </c>
      <c r="E216" s="125">
        <f t="shared" si="37"/>
        <v>0</v>
      </c>
      <c r="F216" s="125">
        <f t="shared" si="37"/>
        <v>0</v>
      </c>
      <c r="G216" s="125">
        <f t="shared" si="37"/>
        <v>0</v>
      </c>
      <c r="H216" s="125">
        <f t="shared" si="37"/>
        <v>0</v>
      </c>
      <c r="I216" s="125">
        <f t="shared" si="37"/>
        <v>0</v>
      </c>
      <c r="J216" s="125">
        <f t="shared" si="37"/>
        <v>0</v>
      </c>
      <c r="K216" s="125">
        <f t="shared" si="37"/>
        <v>0</v>
      </c>
      <c r="L216" s="125">
        <f t="shared" si="37"/>
        <v>0</v>
      </c>
      <c r="M216" s="125">
        <f t="shared" si="37"/>
        <v>0</v>
      </c>
      <c r="N216" s="125">
        <f t="shared" si="37"/>
        <v>0</v>
      </c>
      <c r="O216" s="125">
        <f t="shared" si="37"/>
        <v>0</v>
      </c>
      <c r="P216" s="125">
        <f t="shared" si="37"/>
        <v>0</v>
      </c>
      <c r="Q216" s="125">
        <f t="shared" si="37"/>
        <v>0</v>
      </c>
      <c r="R216" s="125">
        <f t="shared" si="37"/>
        <v>0</v>
      </c>
      <c r="S216" s="125">
        <f t="shared" si="37"/>
        <v>0</v>
      </c>
      <c r="T216" s="125">
        <f t="shared" si="37"/>
        <v>0</v>
      </c>
      <c r="U216" s="125">
        <f t="shared" si="37"/>
        <v>0</v>
      </c>
      <c r="V216" s="125">
        <f t="shared" si="37"/>
        <v>0</v>
      </c>
      <c r="W216" s="125">
        <f t="shared" si="37"/>
        <v>0</v>
      </c>
      <c r="X216" s="125">
        <f t="shared" si="37"/>
        <v>0</v>
      </c>
      <c r="Y216" s="125">
        <f t="shared" si="37"/>
        <v>0</v>
      </c>
      <c r="Z216" s="125">
        <f t="shared" si="37"/>
        <v>0</v>
      </c>
      <c r="AA216" s="125">
        <f t="shared" si="37"/>
        <v>0</v>
      </c>
      <c r="AB216" s="125">
        <f t="shared" si="37"/>
        <v>0</v>
      </c>
      <c r="AC216" s="125">
        <f t="shared" si="37"/>
        <v>0</v>
      </c>
      <c r="AD216" s="125">
        <f t="shared" si="37"/>
        <v>0</v>
      </c>
      <c r="AE216" s="125">
        <f t="shared" si="37"/>
        <v>0</v>
      </c>
      <c r="AF216" s="126">
        <f t="shared" si="37"/>
        <v>0</v>
      </c>
      <c r="AG216" s="127">
        <f t="shared" si="37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38">AF218</f>
        <v>0</v>
      </c>
      <c r="C218" s="129">
        <v>0.3</v>
      </c>
      <c r="D218" s="129">
        <f t="shared" ref="D218:P223" si="39">C218</f>
        <v>0.3</v>
      </c>
      <c r="E218" s="129">
        <f t="shared" si="39"/>
        <v>0.3</v>
      </c>
      <c r="F218" s="129">
        <f t="shared" si="39"/>
        <v>0.3</v>
      </c>
      <c r="G218" s="129">
        <f t="shared" si="39"/>
        <v>0.3</v>
      </c>
      <c r="H218" s="129">
        <f t="shared" si="39"/>
        <v>0.3</v>
      </c>
      <c r="I218" s="129">
        <f t="shared" si="39"/>
        <v>0.3</v>
      </c>
      <c r="J218" s="129">
        <f t="shared" si="39"/>
        <v>0.3</v>
      </c>
      <c r="K218" s="129">
        <f t="shared" si="39"/>
        <v>0.3</v>
      </c>
      <c r="L218" s="129">
        <f t="shared" si="39"/>
        <v>0.3</v>
      </c>
      <c r="M218" s="129">
        <f t="shared" si="39"/>
        <v>0.3</v>
      </c>
      <c r="N218" s="129">
        <f t="shared" si="39"/>
        <v>0.3</v>
      </c>
      <c r="O218" s="129">
        <f t="shared" si="39"/>
        <v>0.3</v>
      </c>
      <c r="P218" s="129">
        <f t="shared" si="39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38"/>
        <v>0</v>
      </c>
      <c r="C219" s="117">
        <v>0.4</v>
      </c>
      <c r="D219" s="117">
        <f t="shared" si="39"/>
        <v>0.4</v>
      </c>
      <c r="E219" s="117">
        <f t="shared" si="39"/>
        <v>0.4</v>
      </c>
      <c r="F219" s="117">
        <f t="shared" si="39"/>
        <v>0.4</v>
      </c>
      <c r="G219" s="117">
        <f t="shared" si="39"/>
        <v>0.4</v>
      </c>
      <c r="H219" s="117">
        <f t="shared" si="39"/>
        <v>0.4</v>
      </c>
      <c r="I219" s="117">
        <f t="shared" si="39"/>
        <v>0.4</v>
      </c>
      <c r="J219" s="117">
        <f t="shared" si="39"/>
        <v>0.4</v>
      </c>
      <c r="K219" s="117">
        <f t="shared" si="39"/>
        <v>0.4</v>
      </c>
      <c r="L219" s="117">
        <f t="shared" si="39"/>
        <v>0.4</v>
      </c>
      <c r="M219" s="117">
        <f t="shared" si="39"/>
        <v>0.4</v>
      </c>
      <c r="N219" s="117">
        <f t="shared" si="39"/>
        <v>0.4</v>
      </c>
      <c r="O219" s="117">
        <f t="shared" si="39"/>
        <v>0.4</v>
      </c>
      <c r="P219" s="117">
        <f t="shared" si="39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38"/>
        <v>0</v>
      </c>
      <c r="C220" s="117">
        <v>1.5</v>
      </c>
      <c r="D220" s="117">
        <f t="shared" si="39"/>
        <v>1.5</v>
      </c>
      <c r="E220" s="117">
        <f t="shared" si="39"/>
        <v>1.5</v>
      </c>
      <c r="F220" s="117">
        <f t="shared" si="39"/>
        <v>1.5</v>
      </c>
      <c r="G220" s="117">
        <f t="shared" si="39"/>
        <v>1.5</v>
      </c>
      <c r="H220" s="117">
        <f t="shared" si="39"/>
        <v>1.5</v>
      </c>
      <c r="I220" s="117">
        <f t="shared" si="39"/>
        <v>1.5</v>
      </c>
      <c r="J220" s="117">
        <f t="shared" si="39"/>
        <v>1.5</v>
      </c>
      <c r="K220" s="117">
        <f t="shared" si="39"/>
        <v>1.5</v>
      </c>
      <c r="L220" s="117">
        <f t="shared" si="39"/>
        <v>1.5</v>
      </c>
      <c r="M220" s="117">
        <f t="shared" si="39"/>
        <v>1.5</v>
      </c>
      <c r="N220" s="117">
        <f t="shared" si="39"/>
        <v>1.5</v>
      </c>
      <c r="O220" s="117">
        <f t="shared" si="39"/>
        <v>1.5</v>
      </c>
      <c r="P220" s="117">
        <f t="shared" si="39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38"/>
        <v>0</v>
      </c>
      <c r="C221" s="117">
        <v>0.3</v>
      </c>
      <c r="D221" s="117">
        <f t="shared" si="39"/>
        <v>0.3</v>
      </c>
      <c r="E221" s="117">
        <f t="shared" si="39"/>
        <v>0.3</v>
      </c>
      <c r="F221" s="117">
        <f t="shared" si="39"/>
        <v>0.3</v>
      </c>
      <c r="G221" s="117">
        <f t="shared" si="39"/>
        <v>0.3</v>
      </c>
      <c r="H221" s="117">
        <f t="shared" si="39"/>
        <v>0.3</v>
      </c>
      <c r="I221" s="117">
        <f t="shared" si="39"/>
        <v>0.3</v>
      </c>
      <c r="J221" s="117">
        <f t="shared" si="39"/>
        <v>0.3</v>
      </c>
      <c r="K221" s="117">
        <f t="shared" si="39"/>
        <v>0.3</v>
      </c>
      <c r="L221" s="117">
        <f t="shared" si="39"/>
        <v>0.3</v>
      </c>
      <c r="M221" s="117">
        <f t="shared" si="39"/>
        <v>0.3</v>
      </c>
      <c r="N221" s="117">
        <f t="shared" si="39"/>
        <v>0.3</v>
      </c>
      <c r="O221" s="117">
        <f t="shared" si="39"/>
        <v>0.3</v>
      </c>
      <c r="P221" s="117">
        <f t="shared" si="39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38"/>
        <v>0</v>
      </c>
      <c r="C222" s="117">
        <v>0.4</v>
      </c>
      <c r="D222" s="117">
        <f t="shared" si="39"/>
        <v>0.4</v>
      </c>
      <c r="E222" s="117">
        <f t="shared" si="39"/>
        <v>0.4</v>
      </c>
      <c r="F222" s="117">
        <f t="shared" si="39"/>
        <v>0.4</v>
      </c>
      <c r="G222" s="117">
        <f t="shared" si="39"/>
        <v>0.4</v>
      </c>
      <c r="H222" s="117">
        <f t="shared" si="39"/>
        <v>0.4</v>
      </c>
      <c r="I222" s="117">
        <f t="shared" si="39"/>
        <v>0.4</v>
      </c>
      <c r="J222" s="117">
        <f t="shared" si="39"/>
        <v>0.4</v>
      </c>
      <c r="K222" s="117">
        <f t="shared" si="39"/>
        <v>0.4</v>
      </c>
      <c r="L222" s="117">
        <f t="shared" si="39"/>
        <v>0.4</v>
      </c>
      <c r="M222" s="117">
        <f t="shared" si="39"/>
        <v>0.4</v>
      </c>
      <c r="N222" s="117">
        <f t="shared" si="39"/>
        <v>0.4</v>
      </c>
      <c r="O222" s="117">
        <f t="shared" si="39"/>
        <v>0.4</v>
      </c>
      <c r="P222" s="117">
        <f t="shared" si="39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38"/>
        <v>0</v>
      </c>
      <c r="C223" s="121">
        <v>0.64</v>
      </c>
      <c r="D223" s="121">
        <f t="shared" si="39"/>
        <v>0.64</v>
      </c>
      <c r="E223" s="121">
        <f t="shared" si="39"/>
        <v>0.64</v>
      </c>
      <c r="F223" s="121">
        <f t="shared" si="39"/>
        <v>0.64</v>
      </c>
      <c r="G223" s="121">
        <f t="shared" si="39"/>
        <v>0.64</v>
      </c>
      <c r="H223" s="121">
        <f t="shared" si="39"/>
        <v>0.64</v>
      </c>
      <c r="I223" s="121">
        <f t="shared" si="39"/>
        <v>0.64</v>
      </c>
      <c r="J223" s="121">
        <f t="shared" si="39"/>
        <v>0.64</v>
      </c>
      <c r="K223" s="121">
        <f t="shared" si="39"/>
        <v>0.64</v>
      </c>
      <c r="L223" s="121">
        <f t="shared" si="39"/>
        <v>0.64</v>
      </c>
      <c r="M223" s="121">
        <f t="shared" si="39"/>
        <v>0.64</v>
      </c>
      <c r="N223" s="121">
        <f t="shared" si="39"/>
        <v>0.64</v>
      </c>
      <c r="O223" s="121">
        <f t="shared" si="39"/>
        <v>0.64</v>
      </c>
      <c r="P223" s="121">
        <f t="shared" si="39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40">SUM(B218:B223)</f>
        <v>0</v>
      </c>
      <c r="C224" s="125">
        <f t="shared" si="40"/>
        <v>3.54</v>
      </c>
      <c r="D224" s="125">
        <f t="shared" si="40"/>
        <v>3.54</v>
      </c>
      <c r="E224" s="125">
        <f t="shared" si="40"/>
        <v>3.54</v>
      </c>
      <c r="F224" s="125">
        <f t="shared" si="40"/>
        <v>3.54</v>
      </c>
      <c r="G224" s="125">
        <f t="shared" si="40"/>
        <v>3.54</v>
      </c>
      <c r="H224" s="125">
        <f t="shared" si="40"/>
        <v>3.54</v>
      </c>
      <c r="I224" s="125">
        <f t="shared" si="40"/>
        <v>3.54</v>
      </c>
      <c r="J224" s="125">
        <f t="shared" si="40"/>
        <v>3.54</v>
      </c>
      <c r="K224" s="125">
        <f t="shared" si="40"/>
        <v>3.54</v>
      </c>
      <c r="L224" s="125">
        <f t="shared" si="40"/>
        <v>3.54</v>
      </c>
      <c r="M224" s="125">
        <f t="shared" si="40"/>
        <v>3.54</v>
      </c>
      <c r="N224" s="125">
        <f t="shared" si="40"/>
        <v>3.54</v>
      </c>
      <c r="O224" s="125">
        <f t="shared" si="40"/>
        <v>3.54</v>
      </c>
      <c r="P224" s="125">
        <f t="shared" si="40"/>
        <v>3.54</v>
      </c>
      <c r="Q224" s="125">
        <f t="shared" si="40"/>
        <v>0</v>
      </c>
      <c r="R224" s="125">
        <f t="shared" si="40"/>
        <v>0</v>
      </c>
      <c r="S224" s="125">
        <f t="shared" si="40"/>
        <v>0</v>
      </c>
      <c r="T224" s="125">
        <f t="shared" si="40"/>
        <v>0</v>
      </c>
      <c r="U224" s="125">
        <f t="shared" si="40"/>
        <v>0</v>
      </c>
      <c r="V224" s="125">
        <f t="shared" si="40"/>
        <v>0</v>
      </c>
      <c r="W224" s="125">
        <f t="shared" si="40"/>
        <v>0</v>
      </c>
      <c r="X224" s="125">
        <f t="shared" si="40"/>
        <v>0</v>
      </c>
      <c r="Y224" s="125">
        <f t="shared" si="40"/>
        <v>0</v>
      </c>
      <c r="Z224" s="125">
        <f t="shared" si="40"/>
        <v>0</v>
      </c>
      <c r="AA224" s="125">
        <f t="shared" si="40"/>
        <v>0</v>
      </c>
      <c r="AB224" s="125">
        <f t="shared" si="40"/>
        <v>0</v>
      </c>
      <c r="AC224" s="125">
        <f t="shared" si="40"/>
        <v>0</v>
      </c>
      <c r="AD224" s="125">
        <f t="shared" si="40"/>
        <v>0</v>
      </c>
      <c r="AE224" s="125">
        <f t="shared" si="40"/>
        <v>0</v>
      </c>
      <c r="AF224" s="125">
        <f t="shared" si="40"/>
        <v>0</v>
      </c>
      <c r="AG224" s="134">
        <f t="shared" si="40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1674.6399999999999</v>
      </c>
      <c r="C233" s="150">
        <f>INDEX(G9:N9,1,MATCH(MAX(G81:N81),G81:N81,0))</f>
        <v>0.3125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3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2079/06/3)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2079/06/3)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41">B81</f>
        <v>1421.64</v>
      </c>
      <c r="U238" s="159">
        <f t="shared" si="41"/>
        <v>1444.0400000000002</v>
      </c>
      <c r="V238" s="159">
        <f t="shared" si="41"/>
        <v>1405.44</v>
      </c>
      <c r="W238" s="159">
        <f t="shared" si="41"/>
        <v>1386.2400000000002</v>
      </c>
      <c r="X238" s="159">
        <f t="shared" si="41"/>
        <v>1366.7400000000002</v>
      </c>
      <c r="Y238" s="159">
        <f t="shared" si="41"/>
        <v>1396.5400000000002</v>
      </c>
      <c r="Z238" s="159">
        <f t="shared" si="41"/>
        <v>1440.2400000000002</v>
      </c>
      <c r="AA238" s="159">
        <f t="shared" si="41"/>
        <v>1493.14</v>
      </c>
      <c r="AB238" s="159">
        <f t="shared" si="41"/>
        <v>1565.74</v>
      </c>
      <c r="AC238" s="159">
        <f t="shared" si="41"/>
        <v>1600.74</v>
      </c>
      <c r="AD238" s="159">
        <f t="shared" si="41"/>
        <v>1674.6399999999999</v>
      </c>
      <c r="AE238" s="159">
        <f t="shared" si="41"/>
        <v>1619.94</v>
      </c>
      <c r="AF238" s="159">
        <f t="shared" si="41"/>
        <v>1566.94</v>
      </c>
      <c r="AG238" s="159">
        <f t="shared" si="41"/>
        <v>1530.74</v>
      </c>
      <c r="AH238" s="159">
        <f t="shared" si="41"/>
        <v>1547.44</v>
      </c>
      <c r="AI238" s="159">
        <f t="shared" si="41"/>
        <v>1544.44</v>
      </c>
      <c r="AJ238" s="159">
        <f t="shared" si="41"/>
        <v>1526.44</v>
      </c>
      <c r="AK238" s="159">
        <f t="shared" si="41"/>
        <v>1509.6399999999999</v>
      </c>
      <c r="AL238" s="159">
        <f t="shared" si="41"/>
        <v>1539.6399999999999</v>
      </c>
      <c r="AM238" s="159">
        <f t="shared" si="41"/>
        <v>1505.44</v>
      </c>
      <c r="AN238" s="159">
        <f t="shared" si="41"/>
        <v>1531.1399999999999</v>
      </c>
      <c r="AO238" s="159">
        <f t="shared" si="41"/>
        <v>1542.3400000000001</v>
      </c>
      <c r="AP238" s="159">
        <f t="shared" si="41"/>
        <v>1655.6399999999999</v>
      </c>
      <c r="AQ238" s="159">
        <f t="shared" si="41"/>
        <v>1670.34</v>
      </c>
      <c r="AR238" s="159">
        <f t="shared" si="41"/>
        <v>1663.04</v>
      </c>
      <c r="AS238" s="159">
        <f t="shared" si="41"/>
        <v>1594.74</v>
      </c>
      <c r="AT238" s="159">
        <f t="shared" si="41"/>
        <v>1571.74</v>
      </c>
      <c r="AU238" s="159">
        <f t="shared" si="41"/>
        <v>1559.04</v>
      </c>
      <c r="AV238" s="159">
        <f t="shared" si="41"/>
        <v>1508.94</v>
      </c>
      <c r="AW238" s="159">
        <f t="shared" si="41"/>
        <v>1426.74</v>
      </c>
      <c r="AX238" s="159">
        <f t="shared" si="41"/>
        <v>1404.74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42">C223</f>
        <v>0.64</v>
      </c>
      <c r="C259" s="162">
        <f t="shared" si="42"/>
        <v>0.64</v>
      </c>
      <c r="D259" s="162">
        <f t="shared" si="42"/>
        <v>0.64</v>
      </c>
      <c r="E259" s="162">
        <f t="shared" si="42"/>
        <v>0.64</v>
      </c>
      <c r="F259" s="162">
        <f t="shared" si="42"/>
        <v>0.64</v>
      </c>
      <c r="G259" s="162">
        <f t="shared" si="42"/>
        <v>0.64</v>
      </c>
      <c r="H259" s="162">
        <f t="shared" si="42"/>
        <v>0.64</v>
      </c>
      <c r="I259" s="162">
        <f t="shared" si="42"/>
        <v>0.64</v>
      </c>
      <c r="J259" s="162">
        <f t="shared" si="42"/>
        <v>0.64</v>
      </c>
      <c r="K259" s="162">
        <f t="shared" si="42"/>
        <v>0.64</v>
      </c>
      <c r="L259" s="162">
        <f t="shared" si="42"/>
        <v>0.64</v>
      </c>
      <c r="M259" s="162">
        <f t="shared" si="42"/>
        <v>0.64</v>
      </c>
      <c r="N259" s="162">
        <f t="shared" si="42"/>
        <v>0.64</v>
      </c>
      <c r="O259" s="162">
        <f t="shared" si="42"/>
        <v>0.64</v>
      </c>
      <c r="P259" s="162">
        <f t="shared" si="42"/>
        <v>0</v>
      </c>
      <c r="Q259" s="162">
        <f t="shared" si="42"/>
        <v>0</v>
      </c>
      <c r="R259" s="162">
        <f t="shared" si="42"/>
        <v>0</v>
      </c>
      <c r="S259" s="162">
        <f t="shared" si="42"/>
        <v>0</v>
      </c>
      <c r="T259" s="162">
        <f t="shared" si="42"/>
        <v>0</v>
      </c>
      <c r="U259" s="162">
        <f t="shared" si="42"/>
        <v>0</v>
      </c>
      <c r="V259" s="162">
        <f t="shared" si="42"/>
        <v>0</v>
      </c>
      <c r="W259" s="162">
        <f t="shared" si="42"/>
        <v>0</v>
      </c>
      <c r="X259" s="162">
        <f t="shared" si="42"/>
        <v>0</v>
      </c>
      <c r="Y259" s="162">
        <f t="shared" si="42"/>
        <v>0</v>
      </c>
      <c r="Z259" s="162">
        <f t="shared" si="42"/>
        <v>0</v>
      </c>
      <c r="AA259" s="162">
        <f t="shared" si="42"/>
        <v>0</v>
      </c>
      <c r="AB259" s="162">
        <f t="shared" si="42"/>
        <v>0</v>
      </c>
      <c r="AC259" s="162">
        <f t="shared" si="42"/>
        <v>0</v>
      </c>
      <c r="AD259" s="162">
        <f t="shared" si="42"/>
        <v>0</v>
      </c>
      <c r="AE259" s="162">
        <f t="shared" si="42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43">IF(B227&lt;100,"",B227-520)</f>
        <v/>
      </c>
      <c r="C260" s="163" t="str">
        <f t="shared" si="43"/>
        <v/>
      </c>
      <c r="D260" s="163" t="str">
        <f t="shared" si="43"/>
        <v/>
      </c>
      <c r="E260" s="163" t="str">
        <f t="shared" si="43"/>
        <v/>
      </c>
      <c r="F260" s="163" t="str">
        <f t="shared" si="43"/>
        <v/>
      </c>
      <c r="G260" s="163" t="str">
        <f t="shared" si="43"/>
        <v/>
      </c>
      <c r="H260" s="163" t="str">
        <f t="shared" si="43"/>
        <v/>
      </c>
      <c r="I260" s="163" t="str">
        <f t="shared" si="43"/>
        <v/>
      </c>
      <c r="J260" s="163" t="str">
        <f t="shared" si="43"/>
        <v/>
      </c>
      <c r="K260" s="163" t="str">
        <f t="shared" si="43"/>
        <v/>
      </c>
      <c r="L260" s="163" t="str">
        <f t="shared" si="43"/>
        <v/>
      </c>
      <c r="M260" s="163" t="str">
        <f t="shared" si="43"/>
        <v/>
      </c>
      <c r="N260" s="163" t="str">
        <f t="shared" si="43"/>
        <v/>
      </c>
      <c r="O260" s="163" t="str">
        <f t="shared" si="43"/>
        <v/>
      </c>
      <c r="P260" s="163" t="str">
        <f t="shared" si="43"/>
        <v/>
      </c>
      <c r="Q260" s="163" t="str">
        <f t="shared" si="43"/>
        <v/>
      </c>
      <c r="R260" s="163" t="str">
        <f t="shared" si="43"/>
        <v/>
      </c>
      <c r="S260" s="163" t="str">
        <f t="shared" si="43"/>
        <v/>
      </c>
      <c r="T260" s="163" t="str">
        <f t="shared" si="43"/>
        <v/>
      </c>
      <c r="U260" s="163" t="str">
        <f t="shared" si="43"/>
        <v/>
      </c>
      <c r="V260" s="163" t="str">
        <f t="shared" si="43"/>
        <v/>
      </c>
      <c r="W260" s="163" t="str">
        <f t="shared" si="43"/>
        <v/>
      </c>
      <c r="X260" s="163" t="str">
        <f t="shared" si="43"/>
        <v/>
      </c>
      <c r="Y260" s="163" t="str">
        <f t="shared" si="43"/>
        <v/>
      </c>
      <c r="Z260" s="163" t="str">
        <f t="shared" si="43"/>
        <v/>
      </c>
      <c r="AA260" s="163" t="str">
        <f t="shared" si="43"/>
        <v/>
      </c>
      <c r="AB260" s="163" t="str">
        <f t="shared" si="43"/>
        <v/>
      </c>
      <c r="AC260" s="163" t="str">
        <f t="shared" si="43"/>
        <v/>
      </c>
      <c r="AD260" s="163" t="str">
        <f t="shared" si="43"/>
        <v/>
      </c>
      <c r="AE260" s="163" t="str">
        <f t="shared" si="43"/>
        <v/>
      </c>
      <c r="AF260" s="163" t="str">
        <f t="shared" si="43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44">IF(B228&lt;100,"",B228-620)</f>
        <v/>
      </c>
      <c r="C261" s="163" t="str">
        <f t="shared" si="44"/>
        <v/>
      </c>
      <c r="D261" s="163" t="str">
        <f t="shared" si="44"/>
        <v/>
      </c>
      <c r="E261" s="163" t="str">
        <f t="shared" si="44"/>
        <v/>
      </c>
      <c r="F261" s="163" t="str">
        <f t="shared" si="44"/>
        <v/>
      </c>
      <c r="G261" s="163" t="str">
        <f t="shared" si="44"/>
        <v/>
      </c>
      <c r="H261" s="163" t="str">
        <f t="shared" si="44"/>
        <v/>
      </c>
      <c r="I261" s="163" t="str">
        <f t="shared" si="44"/>
        <v/>
      </c>
      <c r="J261" s="163" t="str">
        <f t="shared" si="44"/>
        <v/>
      </c>
      <c r="K261" s="163" t="str">
        <f t="shared" si="44"/>
        <v/>
      </c>
      <c r="L261" s="163" t="str">
        <f t="shared" si="44"/>
        <v/>
      </c>
      <c r="M261" s="163" t="str">
        <f t="shared" si="44"/>
        <v/>
      </c>
      <c r="N261" s="163" t="str">
        <f t="shared" si="44"/>
        <v/>
      </c>
      <c r="O261" s="163" t="str">
        <f t="shared" si="44"/>
        <v/>
      </c>
      <c r="P261" s="163" t="str">
        <f t="shared" si="44"/>
        <v/>
      </c>
      <c r="Q261" s="163" t="str">
        <f t="shared" si="44"/>
        <v/>
      </c>
      <c r="R261" s="163" t="str">
        <f t="shared" si="44"/>
        <v/>
      </c>
      <c r="S261" s="163" t="str">
        <f t="shared" si="44"/>
        <v/>
      </c>
      <c r="T261" s="163" t="str">
        <f t="shared" si="44"/>
        <v/>
      </c>
      <c r="U261" s="163" t="str">
        <f t="shared" si="44"/>
        <v/>
      </c>
      <c r="V261" s="163" t="str">
        <f t="shared" si="44"/>
        <v/>
      </c>
      <c r="W261" s="163" t="str">
        <f t="shared" si="44"/>
        <v/>
      </c>
      <c r="X261" s="163" t="str">
        <f t="shared" si="44"/>
        <v/>
      </c>
      <c r="Y261" s="163" t="str">
        <f t="shared" si="44"/>
        <v/>
      </c>
      <c r="Z261" s="163" t="str">
        <f t="shared" si="44"/>
        <v/>
      </c>
      <c r="AA261" s="163" t="str">
        <f t="shared" si="44"/>
        <v/>
      </c>
      <c r="AB261" s="163" t="str">
        <f t="shared" si="44"/>
        <v/>
      </c>
      <c r="AC261" s="163" t="str">
        <f t="shared" si="44"/>
        <v/>
      </c>
      <c r="AD261" s="163" t="str">
        <f t="shared" si="44"/>
        <v/>
      </c>
      <c r="AE261" s="163" t="str">
        <f t="shared" si="44"/>
        <v/>
      </c>
      <c r="AF261" s="163" t="str">
        <f t="shared" si="44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45">IF(B229&lt;100,"",B229-330)</f>
        <v/>
      </c>
      <c r="C262" s="163" t="str">
        <f t="shared" si="45"/>
        <v/>
      </c>
      <c r="D262" s="163" t="str">
        <f t="shared" si="45"/>
        <v/>
      </c>
      <c r="E262" s="163" t="str">
        <f t="shared" si="45"/>
        <v/>
      </c>
      <c r="F262" s="163" t="str">
        <f t="shared" si="45"/>
        <v/>
      </c>
      <c r="G262" s="163" t="str">
        <f t="shared" si="45"/>
        <v/>
      </c>
      <c r="H262" s="163" t="str">
        <f t="shared" si="45"/>
        <v/>
      </c>
      <c r="I262" s="163" t="str">
        <f t="shared" si="45"/>
        <v/>
      </c>
      <c r="J262" s="163" t="str">
        <f t="shared" si="45"/>
        <v/>
      </c>
      <c r="K262" s="163" t="str">
        <f t="shared" si="45"/>
        <v/>
      </c>
      <c r="L262" s="163" t="str">
        <f t="shared" si="45"/>
        <v/>
      </c>
      <c r="M262" s="163" t="str">
        <f t="shared" si="45"/>
        <v/>
      </c>
      <c r="N262" s="163" t="str">
        <f t="shared" si="45"/>
        <v/>
      </c>
      <c r="O262" s="163" t="str">
        <f t="shared" si="45"/>
        <v/>
      </c>
      <c r="P262" s="163" t="str">
        <f t="shared" si="45"/>
        <v/>
      </c>
      <c r="Q262" s="163" t="str">
        <f t="shared" si="45"/>
        <v/>
      </c>
      <c r="R262" s="163" t="str">
        <f t="shared" si="45"/>
        <v/>
      </c>
      <c r="S262" s="163" t="str">
        <f t="shared" si="45"/>
        <v/>
      </c>
      <c r="T262" s="163" t="str">
        <f t="shared" si="45"/>
        <v/>
      </c>
      <c r="U262" s="163" t="str">
        <f t="shared" si="45"/>
        <v/>
      </c>
      <c r="V262" s="163" t="str">
        <f t="shared" si="45"/>
        <v/>
      </c>
      <c r="W262" s="163" t="str">
        <f t="shared" si="45"/>
        <v/>
      </c>
      <c r="X262" s="163" t="str">
        <f t="shared" si="45"/>
        <v/>
      </c>
      <c r="Y262" s="163" t="str">
        <f t="shared" si="45"/>
        <v/>
      </c>
      <c r="Z262" s="163" t="str">
        <f t="shared" si="45"/>
        <v/>
      </c>
      <c r="AA262" s="163" t="str">
        <f t="shared" si="45"/>
        <v/>
      </c>
      <c r="AB262" s="163" t="str">
        <f t="shared" si="45"/>
        <v/>
      </c>
      <c r="AC262" s="163" t="str">
        <f t="shared" si="45"/>
        <v/>
      </c>
      <c r="AD262" s="163" t="str">
        <f t="shared" si="45"/>
        <v/>
      </c>
      <c r="AE262" s="163" t="str">
        <f t="shared" si="45"/>
        <v/>
      </c>
      <c r="AF262" s="163" t="str">
        <f t="shared" si="45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46">IF(B230&lt;100,"",B230-1500)</f>
        <v/>
      </c>
      <c r="C263" s="163" t="str">
        <f t="shared" si="46"/>
        <v/>
      </c>
      <c r="D263" s="163" t="str">
        <f t="shared" si="46"/>
        <v/>
      </c>
      <c r="E263" s="163" t="str">
        <f t="shared" si="46"/>
        <v/>
      </c>
      <c r="F263" s="163" t="str">
        <f t="shared" si="46"/>
        <v/>
      </c>
      <c r="G263" s="163" t="str">
        <f t="shared" si="46"/>
        <v/>
      </c>
      <c r="H263" s="163" t="str">
        <f t="shared" si="46"/>
        <v/>
      </c>
      <c r="I263" s="163" t="str">
        <f t="shared" si="46"/>
        <v/>
      </c>
      <c r="J263" s="163" t="str">
        <f t="shared" si="46"/>
        <v/>
      </c>
      <c r="K263" s="163" t="str">
        <f t="shared" si="46"/>
        <v/>
      </c>
      <c r="L263" s="163" t="str">
        <f t="shared" si="46"/>
        <v/>
      </c>
      <c r="M263" s="163" t="str">
        <f t="shared" si="46"/>
        <v/>
      </c>
      <c r="N263" s="163" t="str">
        <f t="shared" si="46"/>
        <v/>
      </c>
      <c r="O263" s="163" t="str">
        <f t="shared" si="46"/>
        <v/>
      </c>
      <c r="P263" s="163" t="str">
        <f t="shared" si="46"/>
        <v/>
      </c>
      <c r="Q263" s="163" t="str">
        <f t="shared" si="46"/>
        <v/>
      </c>
      <c r="R263" s="163" t="str">
        <f t="shared" si="46"/>
        <v/>
      </c>
      <c r="S263" s="163" t="str">
        <f t="shared" si="46"/>
        <v/>
      </c>
      <c r="T263" s="163" t="str">
        <f t="shared" si="46"/>
        <v/>
      </c>
      <c r="U263" s="163" t="str">
        <f t="shared" si="46"/>
        <v/>
      </c>
      <c r="V263" s="163" t="str">
        <f t="shared" si="46"/>
        <v/>
      </c>
      <c r="W263" s="163" t="str">
        <f t="shared" si="46"/>
        <v/>
      </c>
      <c r="X263" s="163" t="str">
        <f t="shared" si="46"/>
        <v/>
      </c>
      <c r="Y263" s="163" t="str">
        <f t="shared" si="46"/>
        <v/>
      </c>
      <c r="Z263" s="163" t="str">
        <f t="shared" si="46"/>
        <v/>
      </c>
      <c r="AA263" s="163" t="str">
        <f t="shared" si="46"/>
        <v/>
      </c>
      <c r="AB263" s="163" t="str">
        <f t="shared" si="46"/>
        <v/>
      </c>
      <c r="AC263" s="163" t="str">
        <f t="shared" si="46"/>
        <v/>
      </c>
      <c r="AD263" s="163" t="str">
        <f t="shared" si="46"/>
        <v/>
      </c>
      <c r="AE263" s="163" t="str">
        <f t="shared" si="46"/>
        <v/>
      </c>
      <c r="AF263" s="163" t="str">
        <f t="shared" si="46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A11:A225">
    <cfRule type="expression" dxfId="1982" priority="16">
      <formula>$AH11=0</formula>
    </cfRule>
  </conditionalFormatting>
  <conditionalFormatting sqref="B8 M8 S8 AB8">
    <cfRule type="expression" dxfId="1981" priority="248">
      <formula>C$9&lt;8/24</formula>
    </cfRule>
    <cfRule type="expression" dxfId="1980" priority="246">
      <formula>AND(C$9&gt;=14/24,C$9&lt;20/24)</formula>
    </cfRule>
    <cfRule type="expression" dxfId="1979" priority="247">
      <formula>AND(C$9&gt;=8/24,C$9&lt;14/24)</formula>
    </cfRule>
  </conditionalFormatting>
  <conditionalFormatting sqref="B45:N47">
    <cfRule type="expression" dxfId="1978" priority="124">
      <formula>B$9&gt;=20/24</formula>
    </cfRule>
    <cfRule type="expression" dxfId="1977" priority="125">
      <formula>AND(B$9&gt;=14/24,B$9&lt;20/24)</formula>
    </cfRule>
    <cfRule type="expression" dxfId="1976" priority="126">
      <formula>AND(B$9&gt;=8/24,B$9&lt;14/24)</formula>
    </cfRule>
    <cfRule type="expression" dxfId="1975" priority="127">
      <formula>B$9&lt;8/24</formula>
    </cfRule>
  </conditionalFormatting>
  <conditionalFormatting sqref="B9:AF11">
    <cfRule type="expression" dxfId="1974" priority="143">
      <formula>AND(B$9&gt;=8/24,B$9&lt;14/24)</formula>
    </cfRule>
    <cfRule type="expression" dxfId="1973" priority="144">
      <formula>B$9&lt;8/24</formula>
    </cfRule>
    <cfRule type="expression" dxfId="1972" priority="141">
      <formula>B$9&gt;=20/24</formula>
    </cfRule>
    <cfRule type="expression" dxfId="1971" priority="142">
      <formula>AND(B$9&gt;=14/24,B$9&lt;20/24)</formula>
    </cfRule>
  </conditionalFormatting>
  <conditionalFormatting sqref="B11:AF16">
    <cfRule type="expression" dxfId="1970" priority="136">
      <formula>B11&gt;$AG11</formula>
    </cfRule>
  </conditionalFormatting>
  <conditionalFormatting sqref="B12:AF15">
    <cfRule type="expression" dxfId="1969" priority="109">
      <formula>B$9&lt;8/24</formula>
    </cfRule>
    <cfRule type="expression" dxfId="1968" priority="106">
      <formula>B$9&gt;=20/24</formula>
    </cfRule>
    <cfRule type="expression" dxfId="1967" priority="107">
      <formula>AND(B$9&gt;=14/24,B$9&lt;20/24)</formula>
    </cfRule>
    <cfRule type="expression" dxfId="1966" priority="108">
      <formula>AND(B$9&gt;=8/24,B$9&lt;14/24)</formula>
    </cfRule>
  </conditionalFormatting>
  <conditionalFormatting sqref="B16:AF16 B216:AF216 B218:B224 D218:AF224 U237:AF237">
    <cfRule type="expression" dxfId="1965" priority="241">
      <formula>AND(B$9&gt;=8/24,B$9&lt;14/24)</formula>
    </cfRule>
    <cfRule type="expression" dxfId="1964" priority="240">
      <formula>AND(B$9&gt;=14/24,B$9&lt;20/24)</formula>
    </cfRule>
    <cfRule type="expression" dxfId="1963" priority="239">
      <formula>B$9&gt;=20/24</formula>
    </cfRule>
    <cfRule type="expression" dxfId="1962" priority="242">
      <formula>B$9&lt;8/24</formula>
    </cfRule>
  </conditionalFormatting>
  <conditionalFormatting sqref="B17:AF17">
    <cfRule type="expression" dxfId="1961" priority="27">
      <formula>B17&gt;$AG17</formula>
    </cfRule>
    <cfRule type="expression" dxfId="1960" priority="21">
      <formula>B$9&lt;8/24</formula>
    </cfRule>
    <cfRule type="expression" dxfId="1959" priority="20">
      <formula>AND(B$9&gt;=8/24,B$9&lt;14/24)</formula>
    </cfRule>
    <cfRule type="expression" dxfId="1958" priority="19">
      <formula>AND(B$9&gt;=14/24,B$9&lt;20/24)</formula>
    </cfRule>
    <cfRule type="expression" dxfId="1957" priority="18">
      <formula>B$9&gt;=20/24</formula>
    </cfRule>
  </conditionalFormatting>
  <conditionalFormatting sqref="B18:AF18">
    <cfRule type="expression" dxfId="1956" priority="233">
      <formula>B18&gt;$AG18</formula>
    </cfRule>
  </conditionalFormatting>
  <conditionalFormatting sqref="B18:AF24">
    <cfRule type="expression" dxfId="1955" priority="91">
      <formula>B$9&lt;8/24</formula>
    </cfRule>
    <cfRule type="expression" dxfId="1954" priority="88">
      <formula>B$9&gt;=20/24</formula>
    </cfRule>
    <cfRule type="expression" dxfId="1953" priority="89">
      <formula>AND(B$9&gt;=14/24,B$9&lt;20/24)</formula>
    </cfRule>
    <cfRule type="expression" dxfId="1952" priority="90">
      <formula>AND(B$9&gt;=8/24,B$9&lt;14/24)</formula>
    </cfRule>
  </conditionalFormatting>
  <conditionalFormatting sqref="B19:AF24">
    <cfRule type="expression" dxfId="1951" priority="87">
      <formula>B19&gt;$AG19</formula>
    </cfRule>
  </conditionalFormatting>
  <conditionalFormatting sqref="B25:AF27 B29:AF29 C59:AF61 B59:B62 C62:AG62 B75:B79 C79:AG79 B80:AF81">
    <cfRule type="expression" dxfId="1950" priority="120">
      <formula>AND(B$9&gt;=14/24,B$9&lt;20/24)</formula>
    </cfRule>
    <cfRule type="expression" dxfId="1949" priority="119">
      <formula>B$9&gt;=20/24</formula>
    </cfRule>
    <cfRule type="expression" dxfId="1948" priority="121">
      <formula>AND(B$9&gt;=8/24,B$9&lt;14/24)</formula>
    </cfRule>
    <cfRule type="expression" dxfId="1947" priority="122">
      <formula>B$9&lt;8/24</formula>
    </cfRule>
  </conditionalFormatting>
  <conditionalFormatting sqref="B25:AF29 B40:AG40 C57:AG58 B57:B62 C59:AF61 C62:AG62">
    <cfRule type="expression" dxfId="1946" priority="114">
      <formula>B25&gt;$AG25</formula>
    </cfRule>
  </conditionalFormatting>
  <conditionalFormatting sqref="B28:AF28">
    <cfRule type="expression" dxfId="1945" priority="94">
      <formula>AND(B$9&gt;=8/24,B$9&lt;14/24)</formula>
    </cfRule>
    <cfRule type="expression" dxfId="1944" priority="95">
      <formula>B$9&lt;8/24</formula>
    </cfRule>
    <cfRule type="expression" dxfId="1943" priority="92">
      <formula>B$9&gt;=20/24</formula>
    </cfRule>
    <cfRule type="expression" dxfId="1942" priority="93">
      <formula>AND(B$9&gt;=14/24,B$9&lt;20/24)</formula>
    </cfRule>
  </conditionalFormatting>
  <conditionalFormatting sqref="B30:AF36">
    <cfRule type="expression" dxfId="1941" priority="1">
      <formula>B30&gt;$AG30</formula>
    </cfRule>
  </conditionalFormatting>
  <conditionalFormatting sqref="B30:AF37">
    <cfRule type="expression" dxfId="1940" priority="4">
      <formula>AND(B$9&gt;=8/24,B$9&lt;14/24)</formula>
    </cfRule>
    <cfRule type="expression" dxfId="1939" priority="3">
      <formula>AND(B$9&gt;=14/24,B$9&lt;20/24)</formula>
    </cfRule>
    <cfRule type="expression" dxfId="1938" priority="2">
      <formula>B$9&gt;=20/24</formula>
    </cfRule>
    <cfRule type="expression" dxfId="1937" priority="5">
      <formula>B$9&lt;8/24</formula>
    </cfRule>
  </conditionalFormatting>
  <conditionalFormatting sqref="B37:AF39">
    <cfRule type="expression" dxfId="1936" priority="123">
      <formula>B37&gt;$AG37</formula>
    </cfRule>
  </conditionalFormatting>
  <conditionalFormatting sqref="B38:AF39">
    <cfRule type="expression" dxfId="1935" priority="131">
      <formula>B$9&lt;8/24</formula>
    </cfRule>
    <cfRule type="expression" dxfId="1934" priority="130">
      <formula>AND(B$9&gt;=8/24,B$9&lt;14/24)</formula>
    </cfRule>
    <cfRule type="expression" dxfId="1933" priority="128">
      <formula>B$9&gt;=20/24</formula>
    </cfRule>
    <cfRule type="expression" dxfId="1932" priority="129">
      <formula>AND(B$9&gt;=14/24,B$9&lt;20/24)</formula>
    </cfRule>
  </conditionalFormatting>
  <conditionalFormatting sqref="B45:AF56">
    <cfRule type="expression" dxfId="1931" priority="29">
      <formula>B45&gt;$AG45</formula>
    </cfRule>
  </conditionalFormatting>
  <conditionalFormatting sqref="B50:AF56">
    <cfRule type="expression" dxfId="1930" priority="33">
      <formula>B$9&lt;8/24</formula>
    </cfRule>
    <cfRule type="expression" dxfId="1929" priority="31">
      <formula>AND(B$9&gt;=14/24,B$9&lt;20/24)</formula>
    </cfRule>
    <cfRule type="expression" dxfId="1928" priority="30">
      <formula>B$9&gt;=20/24</formula>
    </cfRule>
    <cfRule type="expression" dxfId="1927" priority="32">
      <formula>AND(B$9&gt;=8/24,B$9&lt;14/24)</formula>
    </cfRule>
  </conditionalFormatting>
  <conditionalFormatting sqref="B63:AF74">
    <cfRule type="expression" dxfId="1926" priority="85">
      <formula>B$9&lt;8/24</formula>
    </cfRule>
    <cfRule type="expression" dxfId="1925" priority="84">
      <formula>AND(B$9&gt;=8/24,B$9&lt;14/24)</formula>
    </cfRule>
    <cfRule type="expression" dxfId="1924" priority="83">
      <formula>AND(B$9&gt;=14/24,B$9&lt;20/24)</formula>
    </cfRule>
    <cfRule type="expression" dxfId="1923" priority="82">
      <formula>B$9&gt;=20/24</formula>
    </cfRule>
  </conditionalFormatting>
  <conditionalFormatting sqref="B83:AF99">
    <cfRule type="expression" dxfId="1918" priority="60">
      <formula>B$9&gt;=20/24</formula>
    </cfRule>
    <cfRule type="expression" dxfId="1917" priority="63">
      <formula>B$9&lt;8/24</formula>
    </cfRule>
    <cfRule type="expression" dxfId="1916" priority="62">
      <formula>AND(B$9&gt;=8/24,B$9&lt;14/24)</formula>
    </cfRule>
    <cfRule type="expression" dxfId="1915" priority="61">
      <formula>AND(B$9&gt;=14/24,B$9&lt;20/24)</formula>
    </cfRule>
  </conditionalFormatting>
  <conditionalFormatting sqref="B101:AF108">
    <cfRule type="expression" dxfId="1914" priority="34">
      <formula>B$9&gt;=20/24</formula>
    </cfRule>
    <cfRule type="expression" dxfId="1913" priority="35">
      <formula>AND(B$9&gt;=14/24,B$9&lt;20/24)</formula>
    </cfRule>
    <cfRule type="expression" dxfId="1912" priority="36">
      <formula>AND(B$9&gt;=8/24,B$9&lt;14/24)</formula>
    </cfRule>
    <cfRule type="expression" dxfId="1911" priority="37">
      <formula>B$9&lt;8/24</formula>
    </cfRule>
  </conditionalFormatting>
  <conditionalFormatting sqref="C41:AF43 B41:B44 C44:AG44">
    <cfRule type="expression" dxfId="1906" priority="68">
      <formula>B41&gt;$AG41</formula>
    </cfRule>
    <cfRule type="expression" dxfId="1905" priority="72">
      <formula>B$9&lt;8/24</formula>
    </cfRule>
    <cfRule type="expression" dxfId="1904" priority="71">
      <formula>AND(B$9&gt;=8/24,B$9&lt;14/24)</formula>
    </cfRule>
    <cfRule type="expression" dxfId="1903" priority="70">
      <formula>AND(B$9&gt;=14/24,B$9&lt;20/24)</formula>
    </cfRule>
    <cfRule type="expression" dxfId="1902" priority="69">
      <formula>B$9&gt;=20/24</formula>
    </cfRule>
  </conditionalFormatting>
  <conditionalFormatting sqref="C75:AF78">
    <cfRule type="expression" dxfId="1901" priority="196">
      <formula>C$9&gt;=20/24</formula>
    </cfRule>
    <cfRule type="expression" dxfId="1900" priority="197">
      <formula>AND(C$9&gt;=14/24,C$9&lt;20/24)</formula>
    </cfRule>
    <cfRule type="expression" dxfId="1899" priority="198">
      <formula>AND(C$9&gt;=8/24,C$9&lt;14/24)</formula>
    </cfRule>
    <cfRule type="expression" dxfId="1898" priority="199">
      <formula>C$9&lt;8/24</formula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O45:W49">
    <cfRule type="expression" dxfId="1897" priority="171">
      <formula>AND(O$9&gt;=8/24,O$9&lt;14/24)</formula>
    </cfRule>
    <cfRule type="expression" dxfId="1896" priority="172">
      <formula>O$9&lt;8/24</formula>
    </cfRule>
    <cfRule type="expression" dxfId="1895" priority="169">
      <formula>O$9&gt;=20/24</formula>
    </cfRule>
    <cfRule type="expression" dxfId="1894" priority="170">
      <formula>AND(O$9&gt;=14/24,O$9&lt;20/24)</formula>
    </cfRule>
  </conditionalFormatting>
  <conditionalFormatting sqref="S8 AB8 B8 M8">
    <cfRule type="expression" dxfId="1893" priority="245">
      <formula>C$9&gt;=20/24</formula>
    </cfRule>
  </conditionalFormatting>
  <conditionalFormatting sqref="S8">
    <cfRule type="expression" dxfId="1892" priority="215">
      <formula>AND(U$9&gt;=14/24,U$9&lt;20/24)</formula>
    </cfRule>
    <cfRule type="expression" dxfId="1891" priority="216">
      <formula>AND(U$9&gt;=8/24,U$9&lt;14/24)</formula>
    </cfRule>
    <cfRule type="expression" dxfId="1890" priority="217">
      <formula>U$9&lt;8/24</formula>
    </cfRule>
    <cfRule type="expression" dxfId="1889" priority="214">
      <formula>U$9&gt;=20/24</formula>
    </cfRule>
  </conditionalFormatting>
  <conditionalFormatting sqref="T237">
    <cfRule type="expression" dxfId="1888" priority="258">
      <formula>AX$9&gt;=20/24</formula>
    </cfRule>
    <cfRule type="expression" dxfId="1887" priority="259">
      <formula>AND(AX$9&gt;=14/24,AX$9&lt;20/24)</formula>
    </cfRule>
    <cfRule type="expression" dxfId="1886" priority="260">
      <formula>AND(AX$9&gt;=8/24,AX$9&lt;14/24)</formula>
    </cfRule>
    <cfRule type="expression" dxfId="1885" priority="261">
      <formula>AX$9&lt;8/24</formula>
    </cfRule>
  </conditionalFormatting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X48:AE49 AF49">
    <cfRule type="expression" dxfId="1884" priority="177">
      <formula>X$9&lt;8/24</formula>
    </cfRule>
    <cfRule type="expression" dxfId="1883" priority="176">
      <formula>AND(X$9&gt;=8/24,X$9&lt;14/24)</formula>
    </cfRule>
    <cfRule type="expression" dxfId="1882" priority="175">
      <formula>AND(X$9&gt;=14/24,X$9&lt;20/24)</formula>
    </cfRule>
    <cfRule type="expression" dxfId="1881" priority="174">
      <formula>X$9&gt;=20/24</formula>
    </cfRule>
  </conditionalFormatting>
  <conditionalFormatting sqref="X45:AF47">
    <cfRule type="expression" dxfId="1880" priority="148">
      <formula>AND(X$9&gt;=8/24,X$9&lt;14/24)</formula>
    </cfRule>
    <cfRule type="expression" dxfId="1879" priority="147">
      <formula>AND(X$9&gt;=14/24,X$9&lt;20/24)</formula>
    </cfRule>
    <cfRule type="expression" dxfId="1878" priority="149">
      <formula>X$9&lt;8/24</formula>
    </cfRule>
    <cfRule type="expression" dxfId="1877" priority="146">
      <formula>X$9&gt;=20/24</formula>
    </cfRule>
  </conditionalFormatting>
  <conditionalFormatting sqref="AB8">
    <cfRule type="expression" dxfId="1876" priority="210">
      <formula>AD$9&gt;=20/24</formula>
    </cfRule>
    <cfRule type="expression" dxfId="1875" priority="211">
      <formula>AND(AD$9&gt;=14/24,AD$9&lt;20/24)</formula>
    </cfRule>
    <cfRule type="expression" dxfId="1874" priority="212">
      <formula>AND(AD$9&gt;=8/24,AD$9&lt;14/24)</formula>
    </cfRule>
    <cfRule type="expression" dxfId="1873" priority="213">
      <formula>AD$9&lt;8/24</formula>
    </cfRule>
  </conditionalFormatting>
  <conditionalFormatting sqref="AG237">
    <cfRule type="expression" dxfId="1872" priority="250">
      <formula>B$9&gt;=20/24</formula>
    </cfRule>
    <cfRule type="expression" dxfId="1871" priority="251">
      <formula>AND(B$9&gt;=14/24,B$9&lt;20/24)</formula>
    </cfRule>
    <cfRule type="expression" dxfId="1870" priority="252">
      <formula>AND(B$9&gt;=8/24,B$9&lt;14/24)</formula>
    </cfRule>
    <cfRule type="expression" dxfId="1869" priority="253">
      <formula>B$9&lt;8/24</formula>
    </cfRule>
  </conditionalFormatting>
  <conditionalFormatting sqref="AH237:AX237">
    <cfRule type="expression" dxfId="1868" priority="254">
      <formula>AG$9&gt;=20/24</formula>
    </cfRule>
    <cfRule type="expression" dxfId="1867" priority="255">
      <formula>AND(AG$9&gt;=14/24,AG$9&lt;20/24)</formula>
    </cfRule>
    <cfRule type="expression" dxfId="1866" priority="256">
      <formula>AND(AG$9&gt;=8/24,AG$9&lt;14/24)</formula>
    </cfRule>
    <cfRule type="expression" dxfId="1865" priority="257">
      <formula>AG$9&lt;8/24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8" id="{7D5F1813-C20B-467B-A06B-DC323805233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55" id="{5C7563CF-1825-4BD0-95ED-D4C1D26EB9F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BD7A8156-7081-49BF-9BA8-098871983B2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D7196DFA-9438-4D6D-A2F7-283548B91A15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4" id="{753687E1-D00E-40E4-862E-6AED93D2F8E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E0F91F6D-6FFA-4D60-882F-C61F9EEB070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541A97EB-A70F-4FD4-8AFA-01E7EDCE23C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B10F9372-3B58-41F7-AF57-3BC350470F7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B109:AF109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J270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A93" sqref="A9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2079/06/4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13.7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1595MW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Load=1265</v>
      </c>
      <c r="B7" s="35">
        <f t="shared" ref="B7:AF7" si="1">B81</f>
        <v>1429.54</v>
      </c>
      <c r="C7" s="35">
        <f t="shared" si="1"/>
        <v>1425.3400000000001</v>
      </c>
      <c r="D7" s="35">
        <f t="shared" si="1"/>
        <v>1404.3400000000001</v>
      </c>
      <c r="E7" s="35">
        <f t="shared" si="1"/>
        <v>1265.1400000000001</v>
      </c>
      <c r="F7" s="35">
        <f t="shared" si="1"/>
        <v>1337.54</v>
      </c>
      <c r="G7" s="35">
        <f t="shared" si="1"/>
        <v>1355.54</v>
      </c>
      <c r="H7" s="35">
        <f t="shared" si="1"/>
        <v>1378.04</v>
      </c>
      <c r="I7" s="35">
        <f t="shared" si="1"/>
        <v>1449.34</v>
      </c>
      <c r="J7" s="35">
        <f t="shared" si="1"/>
        <v>1505.4399999999998</v>
      </c>
      <c r="K7" s="35">
        <f t="shared" si="1"/>
        <v>1546.4399999999998</v>
      </c>
      <c r="L7" s="35">
        <f t="shared" si="1"/>
        <v>1594.54</v>
      </c>
      <c r="M7" s="35">
        <f t="shared" si="1"/>
        <v>1585.34</v>
      </c>
      <c r="N7" s="35">
        <f t="shared" si="1"/>
        <v>1569.54</v>
      </c>
      <c r="O7" s="35">
        <f t="shared" si="1"/>
        <v>1564.54</v>
      </c>
      <c r="P7" s="35">
        <f t="shared" si="1"/>
        <v>1535.2400000000002</v>
      </c>
      <c r="Q7" s="35">
        <f t="shared" si="1"/>
        <v>1583.44</v>
      </c>
      <c r="R7" s="35">
        <f t="shared" si="1"/>
        <v>1540.04</v>
      </c>
      <c r="S7" s="35">
        <f t="shared" si="1"/>
        <v>1471.44</v>
      </c>
      <c r="T7" s="35">
        <f t="shared" si="1"/>
        <v>1471.44</v>
      </c>
      <c r="U7" s="35">
        <f t="shared" si="1"/>
        <v>1535.14</v>
      </c>
      <c r="V7" s="35">
        <f t="shared" si="1"/>
        <v>1532.84</v>
      </c>
      <c r="W7" s="35">
        <f t="shared" si="1"/>
        <v>1584.04</v>
      </c>
      <c r="X7" s="35">
        <f t="shared" si="1"/>
        <v>1630.04</v>
      </c>
      <c r="Y7" s="35">
        <f t="shared" si="1"/>
        <v>1670.04</v>
      </c>
      <c r="Z7" s="35">
        <f t="shared" si="1"/>
        <v>1683.74</v>
      </c>
      <c r="AA7" s="35">
        <f t="shared" si="1"/>
        <v>1630.6399999999999</v>
      </c>
      <c r="AB7" s="35">
        <f t="shared" si="1"/>
        <v>1584.44</v>
      </c>
      <c r="AC7" s="35">
        <f t="shared" si="1"/>
        <v>1474.3400000000001</v>
      </c>
      <c r="AD7" s="35">
        <f t="shared" si="1"/>
        <v>1474.3400000000001</v>
      </c>
      <c r="AE7" s="35">
        <f t="shared" si="1"/>
        <v>1414.04</v>
      </c>
      <c r="AF7" s="35">
        <f t="shared" si="1"/>
        <v>1406.94</v>
      </c>
      <c r="AG7" s="36"/>
      <c r="AI7" s="37"/>
      <c r="AJ7" s="35">
        <f>1720*7-(B7+C7+D7+E7+F7+G7+I7+K7+M7+N7+O7+P7+Q7+R7+S7+T7+U7+V7+X7+Z7+AB7+AD7+AE7+AF7)</f>
        <v>-23755.760000000002</v>
      </c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53.5</v>
      </c>
      <c r="C11" s="45">
        <v>53.5</v>
      </c>
      <c r="D11" s="45">
        <v>53.5</v>
      </c>
      <c r="E11" s="45">
        <v>53.5</v>
      </c>
      <c r="F11" s="45">
        <v>53.5</v>
      </c>
      <c r="G11" s="45">
        <v>53.5</v>
      </c>
      <c r="H11" s="45">
        <v>53.5</v>
      </c>
      <c r="I11" s="45">
        <v>53.5</v>
      </c>
      <c r="J11" s="45">
        <v>53.5</v>
      </c>
      <c r="K11" s="45">
        <v>53.5</v>
      </c>
      <c r="L11" s="45">
        <v>53.5</v>
      </c>
      <c r="M11" s="45">
        <v>53.5</v>
      </c>
      <c r="N11" s="45">
        <v>53.5</v>
      </c>
      <c r="O11" s="45">
        <v>53.5</v>
      </c>
      <c r="P11" s="45">
        <v>53.5</v>
      </c>
      <c r="Q11" s="45">
        <v>53.2</v>
      </c>
      <c r="R11" s="45">
        <v>53.2</v>
      </c>
      <c r="S11" s="45">
        <v>53.2</v>
      </c>
      <c r="T11" s="45">
        <v>53.2</v>
      </c>
      <c r="U11" s="45">
        <v>53.2</v>
      </c>
      <c r="V11" s="45">
        <v>53.2</v>
      </c>
      <c r="W11" s="45">
        <v>53.2</v>
      </c>
      <c r="X11" s="45">
        <v>53.2</v>
      </c>
      <c r="Y11" s="46">
        <v>53.2</v>
      </c>
      <c r="Z11" s="46">
        <v>53.2</v>
      </c>
      <c r="AA11" s="46">
        <v>53.2</v>
      </c>
      <c r="AB11" s="46">
        <v>53.2</v>
      </c>
      <c r="AC11" s="46">
        <v>53.2</v>
      </c>
      <c r="AD11" s="46">
        <v>53.2</v>
      </c>
      <c r="AE11" s="46">
        <v>53.2</v>
      </c>
      <c r="AF11" s="46">
        <v>53.2</v>
      </c>
      <c r="AG11" s="47">
        <v>52.4</v>
      </c>
      <c r="AH11" s="48">
        <f>MAX(B11:AF11)</f>
        <v>53.5</v>
      </c>
      <c r="AI11" s="49">
        <f>MIN(B11:AF11)</f>
        <v>53.2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50.4</v>
      </c>
      <c r="C12" s="45">
        <v>50.4</v>
      </c>
      <c r="D12" s="45">
        <v>50.4</v>
      </c>
      <c r="E12" s="45">
        <v>50.4</v>
      </c>
      <c r="F12" s="45">
        <v>50.4</v>
      </c>
      <c r="G12" s="45">
        <v>50.4</v>
      </c>
      <c r="H12" s="45">
        <v>50.4</v>
      </c>
      <c r="I12" s="45">
        <v>50.4</v>
      </c>
      <c r="J12" s="45">
        <v>50.4</v>
      </c>
      <c r="K12" s="45">
        <v>50.4</v>
      </c>
      <c r="L12" s="45">
        <v>50.4</v>
      </c>
      <c r="M12" s="45">
        <v>50.4</v>
      </c>
      <c r="N12" s="45">
        <v>50.4</v>
      </c>
      <c r="O12" s="45">
        <v>50.4</v>
      </c>
      <c r="P12" s="45">
        <v>50.4</v>
      </c>
      <c r="Q12" s="45">
        <v>50.5</v>
      </c>
      <c r="R12" s="45">
        <v>50.5</v>
      </c>
      <c r="S12" s="45">
        <v>50.5</v>
      </c>
      <c r="T12" s="45">
        <v>50.5</v>
      </c>
      <c r="U12" s="45">
        <v>50.5</v>
      </c>
      <c r="V12" s="45">
        <v>50.5</v>
      </c>
      <c r="W12" s="45">
        <v>50.5</v>
      </c>
      <c r="X12" s="45">
        <v>50.5</v>
      </c>
      <c r="Y12" s="45">
        <v>50.5</v>
      </c>
      <c r="Z12" s="45">
        <v>50.5</v>
      </c>
      <c r="AA12" s="45">
        <v>50.5</v>
      </c>
      <c r="AB12" s="45">
        <v>50.5</v>
      </c>
      <c r="AC12" s="45">
        <v>50.5</v>
      </c>
      <c r="AD12" s="45">
        <v>50.5</v>
      </c>
      <c r="AE12" s="45">
        <v>50.5</v>
      </c>
      <c r="AF12" s="45">
        <v>50.5</v>
      </c>
      <c r="AG12" s="51">
        <v>50</v>
      </c>
      <c r="AH12" s="48">
        <f t="shared" ref="AH12:AH75" si="2">MAX(B12:AF12)</f>
        <v>50.5</v>
      </c>
      <c r="AI12" s="49">
        <f t="shared" ref="AI12:AI75" si="3">MIN(B12:AF12)</f>
        <v>50.4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41</v>
      </c>
      <c r="C13" s="45">
        <v>41</v>
      </c>
      <c r="D13" s="45">
        <v>41</v>
      </c>
      <c r="E13" s="45">
        <v>41</v>
      </c>
      <c r="F13" s="45">
        <v>41</v>
      </c>
      <c r="G13" s="45">
        <v>41</v>
      </c>
      <c r="H13" s="45">
        <v>41</v>
      </c>
      <c r="I13" s="45">
        <v>45.7</v>
      </c>
      <c r="J13" s="45">
        <v>45.7</v>
      </c>
      <c r="K13" s="45">
        <v>45.7</v>
      </c>
      <c r="L13" s="45">
        <v>45.7</v>
      </c>
      <c r="M13" s="45">
        <v>45.7</v>
      </c>
      <c r="N13" s="45">
        <v>45.7</v>
      </c>
      <c r="O13" s="45">
        <v>45.7</v>
      </c>
      <c r="P13" s="45">
        <v>45.7</v>
      </c>
      <c r="Q13" s="45">
        <v>45.9</v>
      </c>
      <c r="R13" s="45">
        <v>45.9</v>
      </c>
      <c r="S13" s="45">
        <v>45.9</v>
      </c>
      <c r="T13" s="45">
        <v>45.9</v>
      </c>
      <c r="U13" s="45">
        <v>45.9</v>
      </c>
      <c r="V13" s="45">
        <v>45.9</v>
      </c>
      <c r="W13" s="45">
        <v>45.9</v>
      </c>
      <c r="X13" s="45">
        <v>45.9</v>
      </c>
      <c r="Y13" s="45">
        <v>45.9</v>
      </c>
      <c r="Z13" s="45">
        <v>45.9</v>
      </c>
      <c r="AA13" s="45">
        <v>45.9</v>
      </c>
      <c r="AB13" s="45">
        <v>45.9</v>
      </c>
      <c r="AC13" s="45">
        <v>41.4</v>
      </c>
      <c r="AD13" s="45">
        <v>41.4</v>
      </c>
      <c r="AE13" s="45">
        <v>41.4</v>
      </c>
      <c r="AF13" s="45">
        <v>41.4</v>
      </c>
      <c r="AG13" s="51">
        <v>45</v>
      </c>
      <c r="AH13" s="48">
        <f t="shared" si="2"/>
        <v>45.9</v>
      </c>
      <c r="AI13" s="49">
        <f t="shared" si="3"/>
        <v>41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20</v>
      </c>
      <c r="C14" s="45">
        <v>20</v>
      </c>
      <c r="D14" s="45">
        <v>20</v>
      </c>
      <c r="E14" s="45">
        <v>15</v>
      </c>
      <c r="F14" s="45">
        <v>15</v>
      </c>
      <c r="G14" s="45">
        <v>16</v>
      </c>
      <c r="H14" s="45">
        <v>16</v>
      </c>
      <c r="I14" s="45">
        <v>16</v>
      </c>
      <c r="J14" s="45">
        <v>16</v>
      </c>
      <c r="K14" s="45">
        <v>16</v>
      </c>
      <c r="L14" s="45">
        <v>16</v>
      </c>
      <c r="M14" s="45">
        <v>28</v>
      </c>
      <c r="N14" s="45">
        <v>28</v>
      </c>
      <c r="O14" s="45">
        <v>28</v>
      </c>
      <c r="P14" s="45">
        <v>26.5</v>
      </c>
      <c r="Q14" s="45">
        <v>26.9</v>
      </c>
      <c r="R14" s="45">
        <v>26.9</v>
      </c>
      <c r="S14" s="45">
        <v>26.9</v>
      </c>
      <c r="T14" s="45">
        <v>26.9</v>
      </c>
      <c r="U14" s="45">
        <v>24.5</v>
      </c>
      <c r="V14" s="45">
        <v>28</v>
      </c>
      <c r="W14" s="45">
        <v>28</v>
      </c>
      <c r="X14" s="45">
        <v>28</v>
      </c>
      <c r="Y14" s="45">
        <v>28</v>
      </c>
      <c r="Z14" s="45">
        <v>28</v>
      </c>
      <c r="AA14" s="45">
        <v>26.5</v>
      </c>
      <c r="AB14" s="45">
        <v>26.5</v>
      </c>
      <c r="AC14" s="45">
        <v>27</v>
      </c>
      <c r="AD14" s="45">
        <v>27</v>
      </c>
      <c r="AE14" s="45">
        <v>23</v>
      </c>
      <c r="AF14" s="45">
        <v>23</v>
      </c>
      <c r="AG14" s="51">
        <v>42</v>
      </c>
      <c r="AH14" s="48">
        <f t="shared" si="2"/>
        <v>28</v>
      </c>
      <c r="AI14" s="49">
        <f t="shared" si="3"/>
        <v>15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15</v>
      </c>
      <c r="N15" s="45">
        <v>15</v>
      </c>
      <c r="O15" s="45">
        <v>15</v>
      </c>
      <c r="P15" s="45">
        <v>5.5</v>
      </c>
      <c r="Q15" s="45">
        <v>10.4</v>
      </c>
      <c r="R15" s="45">
        <v>15</v>
      </c>
      <c r="S15" s="45">
        <v>5</v>
      </c>
      <c r="T15" s="45">
        <v>5</v>
      </c>
      <c r="U15" s="45">
        <v>5</v>
      </c>
      <c r="V15" s="45">
        <v>5</v>
      </c>
      <c r="W15" s="45">
        <v>5</v>
      </c>
      <c r="X15" s="45">
        <v>15</v>
      </c>
      <c r="Y15" s="45">
        <v>5</v>
      </c>
      <c r="Z15" s="45">
        <v>5</v>
      </c>
      <c r="AA15" s="45">
        <v>5</v>
      </c>
      <c r="AB15" s="45">
        <v>5</v>
      </c>
      <c r="AC15" s="45">
        <v>0</v>
      </c>
      <c r="AD15" s="45">
        <v>0</v>
      </c>
      <c r="AE15" s="45">
        <v>0</v>
      </c>
      <c r="AF15" s="45">
        <v>0</v>
      </c>
      <c r="AG15" s="52">
        <v>30</v>
      </c>
      <c r="AH15" s="48">
        <f t="shared" si="2"/>
        <v>15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23</v>
      </c>
      <c r="C16" s="45">
        <v>23</v>
      </c>
      <c r="D16" s="45">
        <v>23</v>
      </c>
      <c r="E16" s="45">
        <v>23</v>
      </c>
      <c r="F16" s="45">
        <v>23</v>
      </c>
      <c r="G16" s="45">
        <v>23</v>
      </c>
      <c r="H16" s="45">
        <v>23</v>
      </c>
      <c r="I16" s="45">
        <v>23</v>
      </c>
      <c r="J16" s="45">
        <v>23</v>
      </c>
      <c r="K16" s="45">
        <v>23</v>
      </c>
      <c r="L16" s="45">
        <v>33.200000000000003</v>
      </c>
      <c r="M16" s="45">
        <v>33.200000000000003</v>
      </c>
      <c r="N16" s="45">
        <v>33.200000000000003</v>
      </c>
      <c r="O16" s="45">
        <v>33.200000000000003</v>
      </c>
      <c r="P16" s="45">
        <v>26</v>
      </c>
      <c r="Q16" s="45">
        <v>33.200000000000003</v>
      </c>
      <c r="R16" s="45">
        <v>33.200000000000003</v>
      </c>
      <c r="S16" s="45">
        <v>26.2</v>
      </c>
      <c r="T16" s="45">
        <v>26.2</v>
      </c>
      <c r="U16" s="45">
        <v>20.399999999999999</v>
      </c>
      <c r="V16" s="45">
        <v>28.6</v>
      </c>
      <c r="W16" s="45">
        <v>28.6</v>
      </c>
      <c r="X16" s="45">
        <v>28.6</v>
      </c>
      <c r="Y16" s="45">
        <v>28.6</v>
      </c>
      <c r="Z16" s="45">
        <v>28.6</v>
      </c>
      <c r="AA16" s="45">
        <v>28.6</v>
      </c>
      <c r="AB16" s="45">
        <v>24.9</v>
      </c>
      <c r="AC16" s="45">
        <v>23.7</v>
      </c>
      <c r="AD16" s="45">
        <v>23.7</v>
      </c>
      <c r="AE16" s="45">
        <v>23.7</v>
      </c>
      <c r="AF16" s="45">
        <v>23.7</v>
      </c>
      <c r="AG16" s="51">
        <v>24.2</v>
      </c>
      <c r="AH16" s="48">
        <f t="shared" si="2"/>
        <v>33.200000000000003</v>
      </c>
      <c r="AI16" s="49">
        <f t="shared" si="3"/>
        <v>20.399999999999999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10</v>
      </c>
      <c r="N17" s="45">
        <v>10</v>
      </c>
      <c r="O17" s="45">
        <v>10</v>
      </c>
      <c r="P17" s="45">
        <v>0</v>
      </c>
      <c r="Q17" s="45">
        <v>8</v>
      </c>
      <c r="R17" s="45">
        <v>8</v>
      </c>
      <c r="S17" s="45">
        <v>0</v>
      </c>
      <c r="T17" s="45">
        <v>0</v>
      </c>
      <c r="U17" s="45">
        <v>0</v>
      </c>
      <c r="V17" s="45">
        <v>0</v>
      </c>
      <c r="W17" s="45">
        <v>3</v>
      </c>
      <c r="X17" s="45">
        <v>10</v>
      </c>
      <c r="Y17" s="45">
        <v>10</v>
      </c>
      <c r="Z17" s="45">
        <v>10</v>
      </c>
      <c r="AA17" s="45">
        <v>3</v>
      </c>
      <c r="AB17" s="45">
        <v>3</v>
      </c>
      <c r="AC17" s="45">
        <v>0</v>
      </c>
      <c r="AD17" s="45">
        <v>0</v>
      </c>
      <c r="AE17" s="45">
        <v>0</v>
      </c>
      <c r="AF17" s="45">
        <v>0</v>
      </c>
      <c r="AG17" s="52">
        <v>30</v>
      </c>
      <c r="AH17" s="48">
        <f t="shared" si="2"/>
        <v>10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20</v>
      </c>
      <c r="C18" s="45">
        <v>20</v>
      </c>
      <c r="D18" s="45">
        <v>20</v>
      </c>
      <c r="E18" s="45">
        <v>20</v>
      </c>
      <c r="F18" s="45">
        <v>20</v>
      </c>
      <c r="G18" s="45">
        <v>20</v>
      </c>
      <c r="H18" s="45">
        <v>20</v>
      </c>
      <c r="I18" s="45">
        <v>20</v>
      </c>
      <c r="J18" s="45">
        <v>20</v>
      </c>
      <c r="K18" s="45">
        <v>20</v>
      </c>
      <c r="L18" s="45">
        <v>20</v>
      </c>
      <c r="M18" s="45">
        <v>25</v>
      </c>
      <c r="N18" s="45">
        <v>25.3</v>
      </c>
      <c r="O18" s="45">
        <v>25.3</v>
      </c>
      <c r="P18" s="45">
        <v>25.3</v>
      </c>
      <c r="Q18" s="45">
        <v>25.3</v>
      </c>
      <c r="R18" s="45">
        <v>25.3</v>
      </c>
      <c r="S18" s="45">
        <v>25.3</v>
      </c>
      <c r="T18" s="45">
        <v>25.3</v>
      </c>
      <c r="U18" s="45">
        <v>25.3</v>
      </c>
      <c r="V18" s="45">
        <v>25.3</v>
      </c>
      <c r="W18" s="45">
        <v>25.3</v>
      </c>
      <c r="X18" s="45">
        <v>25.3</v>
      </c>
      <c r="Y18" s="45">
        <v>25.3</v>
      </c>
      <c r="Z18" s="45">
        <v>25.3</v>
      </c>
      <c r="AA18" s="45">
        <v>25.3</v>
      </c>
      <c r="AB18" s="45">
        <v>25.3</v>
      </c>
      <c r="AC18" s="45">
        <v>25.3</v>
      </c>
      <c r="AD18" s="45">
        <v>25.3</v>
      </c>
      <c r="AE18" s="45">
        <v>25.3</v>
      </c>
      <c r="AF18" s="45">
        <v>25.3</v>
      </c>
      <c r="AG18" s="51">
        <v>25</v>
      </c>
      <c r="AH18" s="48">
        <f t="shared" si="2"/>
        <v>25.3</v>
      </c>
      <c r="AI18" s="49">
        <f t="shared" si="3"/>
        <v>20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0</v>
      </c>
      <c r="C19" s="45">
        <v>0</v>
      </c>
      <c r="D19" s="45">
        <v>20</v>
      </c>
      <c r="E19" s="45">
        <v>20</v>
      </c>
      <c r="F19" s="45">
        <v>20</v>
      </c>
      <c r="G19" s="45">
        <v>20</v>
      </c>
      <c r="H19" s="45">
        <v>20</v>
      </c>
      <c r="I19" s="45">
        <v>20</v>
      </c>
      <c r="J19" s="45">
        <v>20</v>
      </c>
      <c r="K19" s="45">
        <v>20</v>
      </c>
      <c r="L19" s="45">
        <v>25</v>
      </c>
      <c r="M19" s="45">
        <v>25</v>
      </c>
      <c r="N19" s="45">
        <v>25</v>
      </c>
      <c r="O19" s="45">
        <v>25</v>
      </c>
      <c r="P19" s="45">
        <v>25</v>
      </c>
      <c r="Q19" s="45">
        <v>25</v>
      </c>
      <c r="R19" s="45">
        <v>25</v>
      </c>
      <c r="S19" s="45">
        <v>25</v>
      </c>
      <c r="T19" s="45">
        <v>25</v>
      </c>
      <c r="U19" s="45">
        <v>25</v>
      </c>
      <c r="V19" s="45">
        <v>25</v>
      </c>
      <c r="W19" s="45">
        <v>25</v>
      </c>
      <c r="X19" s="45">
        <v>25</v>
      </c>
      <c r="Y19" s="45">
        <v>25</v>
      </c>
      <c r="Z19" s="45">
        <v>25</v>
      </c>
      <c r="AA19" s="45">
        <v>25</v>
      </c>
      <c r="AB19" s="45">
        <v>25</v>
      </c>
      <c r="AC19" s="45">
        <v>23</v>
      </c>
      <c r="AD19" s="45">
        <v>23</v>
      </c>
      <c r="AE19" s="45">
        <v>23</v>
      </c>
      <c r="AF19" s="45">
        <v>23</v>
      </c>
      <c r="AG19" s="51">
        <v>25</v>
      </c>
      <c r="AH19" s="48">
        <f t="shared" si="2"/>
        <v>25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20</v>
      </c>
      <c r="C20" s="45">
        <v>20</v>
      </c>
      <c r="D20" s="45">
        <v>20</v>
      </c>
      <c r="E20" s="45">
        <v>20</v>
      </c>
      <c r="F20" s="45">
        <v>20</v>
      </c>
      <c r="G20" s="45">
        <v>20</v>
      </c>
      <c r="H20" s="45">
        <v>20</v>
      </c>
      <c r="I20" s="45">
        <v>25</v>
      </c>
      <c r="J20" s="45">
        <v>25</v>
      </c>
      <c r="K20" s="45">
        <v>25</v>
      </c>
      <c r="L20" s="45">
        <v>25</v>
      </c>
      <c r="M20" s="45">
        <v>25</v>
      </c>
      <c r="N20" s="45">
        <v>25</v>
      </c>
      <c r="O20" s="45">
        <v>25</v>
      </c>
      <c r="P20" s="45">
        <v>24</v>
      </c>
      <c r="Q20" s="45">
        <v>24</v>
      </c>
      <c r="R20" s="45">
        <v>24</v>
      </c>
      <c r="S20" s="45">
        <v>24</v>
      </c>
      <c r="T20" s="45">
        <v>24</v>
      </c>
      <c r="U20" s="45">
        <v>24</v>
      </c>
      <c r="V20" s="45">
        <v>25</v>
      </c>
      <c r="W20" s="45">
        <v>25</v>
      </c>
      <c r="X20" s="45">
        <v>25</v>
      </c>
      <c r="Y20" s="45">
        <v>25</v>
      </c>
      <c r="Z20" s="45">
        <v>25</v>
      </c>
      <c r="AA20" s="45">
        <v>25</v>
      </c>
      <c r="AB20" s="45">
        <v>25</v>
      </c>
      <c r="AC20" s="45">
        <v>25</v>
      </c>
      <c r="AD20" s="45">
        <v>25</v>
      </c>
      <c r="AE20" s="45">
        <v>25</v>
      </c>
      <c r="AF20" s="45">
        <v>25</v>
      </c>
      <c r="AG20" s="51">
        <v>25</v>
      </c>
      <c r="AH20" s="48">
        <f t="shared" si="2"/>
        <v>25</v>
      </c>
      <c r="AI20" s="49">
        <f t="shared" si="3"/>
        <v>20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23.9</v>
      </c>
      <c r="C21" s="45">
        <v>23.9</v>
      </c>
      <c r="D21" s="45">
        <v>23.9</v>
      </c>
      <c r="E21" s="45">
        <v>23.9</v>
      </c>
      <c r="F21" s="45">
        <v>23.9</v>
      </c>
      <c r="G21" s="45">
        <v>23.9</v>
      </c>
      <c r="H21" s="45">
        <v>23.9</v>
      </c>
      <c r="I21" s="45">
        <v>23.9</v>
      </c>
      <c r="J21" s="45">
        <v>23.9</v>
      </c>
      <c r="K21" s="45">
        <v>23.9</v>
      </c>
      <c r="L21" s="45">
        <v>23.9</v>
      </c>
      <c r="M21" s="45">
        <v>23.9</v>
      </c>
      <c r="N21" s="45">
        <v>23.9</v>
      </c>
      <c r="O21" s="45">
        <v>23.9</v>
      </c>
      <c r="P21" s="45">
        <v>23.9</v>
      </c>
      <c r="Q21" s="45">
        <v>23.9</v>
      </c>
      <c r="R21" s="45">
        <v>23.9</v>
      </c>
      <c r="S21" s="45">
        <v>23.9</v>
      </c>
      <c r="T21" s="45">
        <v>23.9</v>
      </c>
      <c r="U21" s="45">
        <v>23</v>
      </c>
      <c r="V21" s="45">
        <v>23</v>
      </c>
      <c r="W21" s="45">
        <v>23</v>
      </c>
      <c r="X21" s="45">
        <v>23</v>
      </c>
      <c r="Y21" s="45">
        <v>23</v>
      </c>
      <c r="Z21" s="45">
        <v>23</v>
      </c>
      <c r="AA21" s="45">
        <v>23</v>
      </c>
      <c r="AB21" s="45">
        <v>23</v>
      </c>
      <c r="AC21" s="45">
        <v>23</v>
      </c>
      <c r="AD21" s="45">
        <v>23</v>
      </c>
      <c r="AE21" s="45">
        <v>23</v>
      </c>
      <c r="AF21" s="45">
        <v>23</v>
      </c>
      <c r="AG21" s="51">
        <v>23.5</v>
      </c>
      <c r="AH21" s="48">
        <f t="shared" si="2"/>
        <v>23.9</v>
      </c>
      <c r="AI21" s="49">
        <f t="shared" si="3"/>
        <v>23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16</v>
      </c>
      <c r="C22" s="45">
        <v>16</v>
      </c>
      <c r="D22" s="45">
        <v>16</v>
      </c>
      <c r="E22" s="45">
        <v>16</v>
      </c>
      <c r="F22" s="45">
        <v>16</v>
      </c>
      <c r="G22" s="45">
        <v>16</v>
      </c>
      <c r="H22" s="45">
        <v>16</v>
      </c>
      <c r="I22" s="45">
        <v>16</v>
      </c>
      <c r="J22" s="45">
        <v>16</v>
      </c>
      <c r="K22" s="45">
        <v>16</v>
      </c>
      <c r="L22" s="45">
        <v>16</v>
      </c>
      <c r="M22" s="45">
        <v>16</v>
      </c>
      <c r="N22" s="45">
        <v>16</v>
      </c>
      <c r="O22" s="45">
        <v>16</v>
      </c>
      <c r="P22" s="45">
        <v>16</v>
      </c>
      <c r="Q22" s="45">
        <v>16</v>
      </c>
      <c r="R22" s="45">
        <v>16</v>
      </c>
      <c r="S22" s="45">
        <v>19</v>
      </c>
      <c r="T22" s="45">
        <v>19</v>
      </c>
      <c r="U22" s="45">
        <v>19</v>
      </c>
      <c r="V22" s="45">
        <v>19</v>
      </c>
      <c r="W22" s="45">
        <v>19</v>
      </c>
      <c r="X22" s="45">
        <v>19</v>
      </c>
      <c r="Y22" s="45">
        <v>19</v>
      </c>
      <c r="Z22" s="45">
        <v>19</v>
      </c>
      <c r="AA22" s="45">
        <v>19</v>
      </c>
      <c r="AB22" s="45">
        <v>19</v>
      </c>
      <c r="AC22" s="45">
        <v>19</v>
      </c>
      <c r="AD22" s="45">
        <v>19</v>
      </c>
      <c r="AE22" s="45">
        <v>19</v>
      </c>
      <c r="AF22" s="45">
        <v>19</v>
      </c>
      <c r="AG22" s="51">
        <v>22.2</v>
      </c>
      <c r="AH22" s="48">
        <f t="shared" si="2"/>
        <v>19</v>
      </c>
      <c r="AI22" s="49">
        <f t="shared" si="3"/>
        <v>16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22</v>
      </c>
      <c r="C23" s="45">
        <v>22</v>
      </c>
      <c r="D23" s="45">
        <v>22</v>
      </c>
      <c r="E23" s="45">
        <v>22</v>
      </c>
      <c r="F23" s="45">
        <v>22</v>
      </c>
      <c r="G23" s="45">
        <v>22</v>
      </c>
      <c r="H23" s="45">
        <v>22</v>
      </c>
      <c r="I23" s="45">
        <v>22</v>
      </c>
      <c r="J23" s="45">
        <v>22</v>
      </c>
      <c r="K23" s="45">
        <v>22</v>
      </c>
      <c r="L23" s="45">
        <v>22</v>
      </c>
      <c r="M23" s="45">
        <v>22</v>
      </c>
      <c r="N23" s="45">
        <v>22</v>
      </c>
      <c r="O23" s="45">
        <v>22</v>
      </c>
      <c r="P23" s="45">
        <v>22</v>
      </c>
      <c r="Q23" s="45">
        <v>22</v>
      </c>
      <c r="R23" s="45">
        <v>22</v>
      </c>
      <c r="S23" s="45">
        <v>22</v>
      </c>
      <c r="T23" s="45">
        <v>22</v>
      </c>
      <c r="U23" s="45">
        <v>22</v>
      </c>
      <c r="V23" s="45">
        <v>22</v>
      </c>
      <c r="W23" s="45">
        <v>22</v>
      </c>
      <c r="X23" s="45">
        <v>22</v>
      </c>
      <c r="Y23" s="45">
        <v>22</v>
      </c>
      <c r="Z23" s="45">
        <v>22</v>
      </c>
      <c r="AA23" s="45">
        <v>22</v>
      </c>
      <c r="AB23" s="45">
        <v>22</v>
      </c>
      <c r="AC23" s="45">
        <v>22</v>
      </c>
      <c r="AD23" s="45">
        <v>22</v>
      </c>
      <c r="AE23" s="45">
        <v>22</v>
      </c>
      <c r="AF23" s="45">
        <v>22</v>
      </c>
      <c r="AG23" s="51">
        <v>22.1</v>
      </c>
      <c r="AH23" s="48">
        <f t="shared" si="2"/>
        <v>22</v>
      </c>
      <c r="AI23" s="49">
        <f t="shared" si="3"/>
        <v>22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22</v>
      </c>
      <c r="C24" s="45">
        <v>22</v>
      </c>
      <c r="D24" s="45">
        <v>22</v>
      </c>
      <c r="E24" s="45">
        <v>22</v>
      </c>
      <c r="F24" s="45">
        <v>22</v>
      </c>
      <c r="G24" s="45">
        <v>22</v>
      </c>
      <c r="H24" s="45">
        <v>22</v>
      </c>
      <c r="I24" s="45">
        <v>22</v>
      </c>
      <c r="J24" s="45">
        <v>22</v>
      </c>
      <c r="K24" s="45">
        <v>22</v>
      </c>
      <c r="L24" s="45">
        <v>22</v>
      </c>
      <c r="M24" s="45">
        <v>22</v>
      </c>
      <c r="N24" s="45">
        <v>22</v>
      </c>
      <c r="O24" s="45">
        <v>22</v>
      </c>
      <c r="P24" s="45">
        <v>22</v>
      </c>
      <c r="Q24" s="45">
        <v>22</v>
      </c>
      <c r="R24" s="45">
        <v>22</v>
      </c>
      <c r="S24" s="45">
        <v>22</v>
      </c>
      <c r="T24" s="45">
        <v>22</v>
      </c>
      <c r="U24" s="45">
        <v>22</v>
      </c>
      <c r="V24" s="45">
        <v>22</v>
      </c>
      <c r="W24" s="45">
        <v>22</v>
      </c>
      <c r="X24" s="45">
        <v>22</v>
      </c>
      <c r="Y24" s="45">
        <v>22</v>
      </c>
      <c r="Z24" s="45">
        <v>22</v>
      </c>
      <c r="AA24" s="45">
        <v>22</v>
      </c>
      <c r="AB24" s="45">
        <v>22</v>
      </c>
      <c r="AC24" s="45">
        <v>22</v>
      </c>
      <c r="AD24" s="45">
        <v>22</v>
      </c>
      <c r="AE24" s="45">
        <v>22</v>
      </c>
      <c r="AF24" s="45">
        <v>22</v>
      </c>
      <c r="AG24" s="51">
        <v>22</v>
      </c>
      <c r="AH24" s="48">
        <f t="shared" si="2"/>
        <v>22</v>
      </c>
      <c r="AI24" s="49">
        <f t="shared" si="3"/>
        <v>22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22</v>
      </c>
      <c r="C25" s="45">
        <v>22</v>
      </c>
      <c r="D25" s="45">
        <v>22</v>
      </c>
      <c r="E25" s="45">
        <v>22</v>
      </c>
      <c r="F25" s="45">
        <v>22</v>
      </c>
      <c r="G25" s="45">
        <v>22</v>
      </c>
      <c r="H25" s="45">
        <v>22</v>
      </c>
      <c r="I25" s="45">
        <v>22</v>
      </c>
      <c r="J25" s="45">
        <v>22</v>
      </c>
      <c r="K25" s="45">
        <v>22</v>
      </c>
      <c r="L25" s="45">
        <v>22</v>
      </c>
      <c r="M25" s="45">
        <v>22</v>
      </c>
      <c r="N25" s="45">
        <v>22</v>
      </c>
      <c r="O25" s="45">
        <v>22</v>
      </c>
      <c r="P25" s="45">
        <v>22</v>
      </c>
      <c r="Q25" s="45">
        <v>22</v>
      </c>
      <c r="R25" s="45">
        <v>22</v>
      </c>
      <c r="S25" s="45">
        <v>22</v>
      </c>
      <c r="T25" s="45">
        <v>22</v>
      </c>
      <c r="U25" s="45">
        <v>22</v>
      </c>
      <c r="V25" s="45">
        <v>22</v>
      </c>
      <c r="W25" s="45">
        <v>22</v>
      </c>
      <c r="X25" s="45">
        <v>22</v>
      </c>
      <c r="Y25" s="45">
        <v>22</v>
      </c>
      <c r="Z25" s="45">
        <v>22</v>
      </c>
      <c r="AA25" s="45">
        <v>22</v>
      </c>
      <c r="AB25" s="45">
        <v>22</v>
      </c>
      <c r="AC25" s="45">
        <v>22</v>
      </c>
      <c r="AD25" s="45">
        <v>22</v>
      </c>
      <c r="AE25" s="45">
        <v>22</v>
      </c>
      <c r="AF25" s="45">
        <v>22</v>
      </c>
      <c r="AG25" s="51">
        <v>22</v>
      </c>
      <c r="AH25" s="48">
        <f t="shared" si="2"/>
        <v>22</v>
      </c>
      <c r="AI25" s="49">
        <f t="shared" si="3"/>
        <v>22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10</v>
      </c>
      <c r="N26" s="45">
        <v>10</v>
      </c>
      <c r="O26" s="45">
        <v>5</v>
      </c>
      <c r="P26" s="45">
        <v>5</v>
      </c>
      <c r="Q26" s="45">
        <v>5</v>
      </c>
      <c r="R26" s="45">
        <v>5</v>
      </c>
      <c r="S26" s="45">
        <v>5</v>
      </c>
      <c r="T26" s="45">
        <v>5</v>
      </c>
      <c r="U26" s="45">
        <v>5</v>
      </c>
      <c r="V26" s="45">
        <v>10</v>
      </c>
      <c r="W26" s="45">
        <v>10</v>
      </c>
      <c r="X26" s="45">
        <v>10</v>
      </c>
      <c r="Y26" s="45">
        <v>10</v>
      </c>
      <c r="Z26" s="45">
        <v>10</v>
      </c>
      <c r="AA26" s="45">
        <v>5</v>
      </c>
      <c r="AB26" s="45">
        <v>5</v>
      </c>
      <c r="AC26" s="45">
        <v>0</v>
      </c>
      <c r="AD26" s="45">
        <v>0</v>
      </c>
      <c r="AE26" s="45">
        <v>0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>
        <v>14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14.9</v>
      </c>
      <c r="AH27" s="48">
        <f t="shared" si="2"/>
        <v>14</v>
      </c>
      <c r="AI27" s="49">
        <f t="shared" si="3"/>
        <v>14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6.8</v>
      </c>
      <c r="C28" s="45">
        <v>6.8</v>
      </c>
      <c r="D28" s="45">
        <v>6.8</v>
      </c>
      <c r="E28" s="45">
        <v>6.8</v>
      </c>
      <c r="F28" s="45">
        <v>6.8</v>
      </c>
      <c r="G28" s="45">
        <v>6.8</v>
      </c>
      <c r="H28" s="45">
        <v>6.8</v>
      </c>
      <c r="I28" s="45">
        <v>6.8</v>
      </c>
      <c r="J28" s="45">
        <v>6.8</v>
      </c>
      <c r="K28" s="45">
        <v>6.8</v>
      </c>
      <c r="L28" s="45">
        <v>6.8</v>
      </c>
      <c r="M28" s="45">
        <v>6.8</v>
      </c>
      <c r="N28" s="45">
        <v>6.8</v>
      </c>
      <c r="O28" s="45">
        <v>6.8</v>
      </c>
      <c r="P28" s="45">
        <v>6.8</v>
      </c>
      <c r="Q28" s="45">
        <v>6.8</v>
      </c>
      <c r="R28" s="45">
        <v>6.8</v>
      </c>
      <c r="S28" s="45">
        <v>6.8</v>
      </c>
      <c r="T28" s="45">
        <v>6.8</v>
      </c>
      <c r="U28" s="45">
        <v>6.8</v>
      </c>
      <c r="V28" s="45">
        <v>6.8</v>
      </c>
      <c r="W28" s="45">
        <v>6.8</v>
      </c>
      <c r="X28" s="45">
        <v>6.8</v>
      </c>
      <c r="Y28" s="45">
        <v>6.8</v>
      </c>
      <c r="Z28" s="45">
        <v>6.8</v>
      </c>
      <c r="AA28" s="45">
        <v>6.8</v>
      </c>
      <c r="AB28" s="45">
        <v>6.8</v>
      </c>
      <c r="AC28" s="45">
        <v>6.8</v>
      </c>
      <c r="AD28" s="45">
        <v>6.8</v>
      </c>
      <c r="AE28" s="45">
        <v>6.8</v>
      </c>
      <c r="AF28" s="45">
        <v>6.8</v>
      </c>
      <c r="AG28" s="51">
        <v>13.6</v>
      </c>
      <c r="AH28" s="48">
        <f t="shared" si="2"/>
        <v>6.8</v>
      </c>
      <c r="AI28" s="49">
        <f t="shared" si="3"/>
        <v>6.8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13</v>
      </c>
      <c r="C29" s="45">
        <v>13</v>
      </c>
      <c r="D29" s="45">
        <v>13</v>
      </c>
      <c r="E29" s="45">
        <v>13</v>
      </c>
      <c r="F29" s="45">
        <v>13</v>
      </c>
      <c r="G29" s="45">
        <v>13</v>
      </c>
      <c r="H29" s="45">
        <v>13</v>
      </c>
      <c r="I29" s="45">
        <v>13</v>
      </c>
      <c r="J29" s="45">
        <v>13</v>
      </c>
      <c r="K29" s="45">
        <v>13</v>
      </c>
      <c r="L29" s="45">
        <v>13</v>
      </c>
      <c r="M29" s="45">
        <v>13</v>
      </c>
      <c r="N29" s="45">
        <v>13</v>
      </c>
      <c r="O29" s="45">
        <v>13</v>
      </c>
      <c r="P29" s="45">
        <v>13</v>
      </c>
      <c r="Q29" s="45">
        <v>13</v>
      </c>
      <c r="R29" s="45">
        <v>13</v>
      </c>
      <c r="S29" s="45">
        <v>13</v>
      </c>
      <c r="T29" s="45">
        <v>13</v>
      </c>
      <c r="U29" s="45">
        <v>13</v>
      </c>
      <c r="V29" s="45">
        <v>13</v>
      </c>
      <c r="W29" s="45">
        <v>13</v>
      </c>
      <c r="X29" s="45">
        <v>13</v>
      </c>
      <c r="Y29" s="45">
        <v>13</v>
      </c>
      <c r="Z29" s="45">
        <v>13</v>
      </c>
      <c r="AA29" s="45">
        <v>13</v>
      </c>
      <c r="AB29" s="45">
        <v>13</v>
      </c>
      <c r="AC29" s="45">
        <v>13</v>
      </c>
      <c r="AD29" s="45">
        <v>13</v>
      </c>
      <c r="AE29" s="45">
        <v>13</v>
      </c>
      <c r="AF29" s="45">
        <v>13</v>
      </c>
      <c r="AG29" s="51">
        <v>13</v>
      </c>
      <c r="AH29" s="48">
        <f t="shared" si="2"/>
        <v>13</v>
      </c>
      <c r="AI29" s="49">
        <f t="shared" si="3"/>
        <v>13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6</v>
      </c>
      <c r="N30" s="45">
        <v>6</v>
      </c>
      <c r="O30" s="45">
        <v>6</v>
      </c>
      <c r="P30" s="45">
        <v>0</v>
      </c>
      <c r="Q30" s="45">
        <v>4</v>
      </c>
      <c r="R30" s="45">
        <v>4</v>
      </c>
      <c r="S30" s="45">
        <v>0</v>
      </c>
      <c r="T30" s="45">
        <v>0</v>
      </c>
      <c r="U30" s="45">
        <v>0</v>
      </c>
      <c r="V30" s="45">
        <v>0</v>
      </c>
      <c r="W30" s="45">
        <v>3</v>
      </c>
      <c r="X30" s="45">
        <v>12</v>
      </c>
      <c r="Y30" s="45">
        <v>12</v>
      </c>
      <c r="Z30" s="45">
        <v>12</v>
      </c>
      <c r="AA30" s="45">
        <v>3</v>
      </c>
      <c r="AB30" s="45">
        <v>3</v>
      </c>
      <c r="AC30" s="45">
        <v>0</v>
      </c>
      <c r="AD30" s="45">
        <v>0</v>
      </c>
      <c r="AE30" s="45">
        <v>0</v>
      </c>
      <c r="AF30" s="45">
        <v>0</v>
      </c>
      <c r="AG30" s="51">
        <v>12</v>
      </c>
      <c r="AH30" s="48">
        <f t="shared" si="2"/>
        <v>12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12</v>
      </c>
      <c r="C31" s="45">
        <v>12</v>
      </c>
      <c r="D31" s="45">
        <v>12</v>
      </c>
      <c r="E31" s="45">
        <v>12</v>
      </c>
      <c r="F31" s="45">
        <v>12</v>
      </c>
      <c r="G31" s="45">
        <v>12</v>
      </c>
      <c r="H31" s="45">
        <v>12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51">
        <v>12</v>
      </c>
      <c r="AH31" s="48">
        <f t="shared" si="2"/>
        <v>12</v>
      </c>
      <c r="AI31" s="49">
        <f t="shared" si="3"/>
        <v>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3</v>
      </c>
      <c r="C32" s="45">
        <v>3</v>
      </c>
      <c r="D32" s="45">
        <v>3</v>
      </c>
      <c r="E32" s="45">
        <v>3</v>
      </c>
      <c r="F32" s="45">
        <v>3</v>
      </c>
      <c r="G32" s="45">
        <v>3</v>
      </c>
      <c r="H32" s="45">
        <v>3</v>
      </c>
      <c r="I32" s="45">
        <v>3</v>
      </c>
      <c r="J32" s="45">
        <v>3</v>
      </c>
      <c r="K32" s="45">
        <v>3</v>
      </c>
      <c r="L32" s="45">
        <v>12</v>
      </c>
      <c r="M32" s="45">
        <v>12</v>
      </c>
      <c r="N32" s="45">
        <v>12</v>
      </c>
      <c r="O32" s="45">
        <v>12</v>
      </c>
      <c r="P32" s="45">
        <v>12</v>
      </c>
      <c r="Q32" s="45">
        <v>12</v>
      </c>
      <c r="R32" s="45">
        <v>12</v>
      </c>
      <c r="S32" s="45">
        <v>12</v>
      </c>
      <c r="T32" s="45">
        <v>12</v>
      </c>
      <c r="U32" s="45">
        <v>12</v>
      </c>
      <c r="V32" s="45">
        <v>12</v>
      </c>
      <c r="W32" s="45">
        <v>12</v>
      </c>
      <c r="X32" s="45">
        <v>12</v>
      </c>
      <c r="Y32" s="45">
        <v>12</v>
      </c>
      <c r="Z32" s="45">
        <v>12</v>
      </c>
      <c r="AA32" s="45">
        <v>12</v>
      </c>
      <c r="AB32" s="45">
        <v>12</v>
      </c>
      <c r="AC32" s="45">
        <v>3</v>
      </c>
      <c r="AD32" s="45">
        <v>3</v>
      </c>
      <c r="AE32" s="45">
        <v>3</v>
      </c>
      <c r="AF32" s="45">
        <v>3</v>
      </c>
      <c r="AG32" s="51">
        <v>12</v>
      </c>
      <c r="AH32" s="48">
        <f t="shared" si="2"/>
        <v>12</v>
      </c>
      <c r="AI32" s="49">
        <f t="shared" si="3"/>
        <v>3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12</v>
      </c>
      <c r="C33" s="45">
        <v>12</v>
      </c>
      <c r="D33" s="45">
        <v>12</v>
      </c>
      <c r="E33" s="45">
        <v>12</v>
      </c>
      <c r="F33" s="45">
        <v>12</v>
      </c>
      <c r="G33" s="45">
        <v>12</v>
      </c>
      <c r="H33" s="45">
        <v>12</v>
      </c>
      <c r="I33" s="45">
        <v>12</v>
      </c>
      <c r="J33" s="45">
        <v>12</v>
      </c>
      <c r="K33" s="45">
        <v>12</v>
      </c>
      <c r="L33" s="45">
        <v>12</v>
      </c>
      <c r="M33" s="45">
        <v>12</v>
      </c>
      <c r="N33" s="45">
        <v>12</v>
      </c>
      <c r="O33" s="45">
        <v>12</v>
      </c>
      <c r="P33" s="45">
        <v>12</v>
      </c>
      <c r="Q33" s="45">
        <v>12</v>
      </c>
      <c r="R33" s="45">
        <v>12</v>
      </c>
      <c r="S33" s="45">
        <v>12</v>
      </c>
      <c r="T33" s="45">
        <v>12</v>
      </c>
      <c r="U33" s="45">
        <v>12</v>
      </c>
      <c r="V33" s="45">
        <v>12</v>
      </c>
      <c r="W33" s="45">
        <v>12</v>
      </c>
      <c r="X33" s="45">
        <v>12</v>
      </c>
      <c r="Y33" s="45">
        <v>12</v>
      </c>
      <c r="Z33" s="45">
        <v>12</v>
      </c>
      <c r="AA33" s="45">
        <v>12</v>
      </c>
      <c r="AB33" s="45">
        <v>12</v>
      </c>
      <c r="AC33" s="45">
        <v>12</v>
      </c>
      <c r="AD33" s="45">
        <v>12</v>
      </c>
      <c r="AE33" s="45">
        <v>12</v>
      </c>
      <c r="AF33" s="45">
        <v>12</v>
      </c>
      <c r="AG33" s="53">
        <v>22</v>
      </c>
      <c r="AH33" s="48">
        <f t="shared" si="2"/>
        <v>12</v>
      </c>
      <c r="AI33" s="49">
        <f t="shared" si="3"/>
        <v>12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0</v>
      </c>
      <c r="C34" s="45">
        <v>11</v>
      </c>
      <c r="D34" s="45">
        <v>11</v>
      </c>
      <c r="E34" s="45">
        <v>11</v>
      </c>
      <c r="F34" s="45">
        <v>11</v>
      </c>
      <c r="G34" s="45">
        <v>11</v>
      </c>
      <c r="H34" s="45">
        <v>11</v>
      </c>
      <c r="I34" s="45">
        <v>11</v>
      </c>
      <c r="J34" s="45">
        <v>11</v>
      </c>
      <c r="K34" s="45">
        <v>11</v>
      </c>
      <c r="L34" s="45">
        <v>11</v>
      </c>
      <c r="M34" s="45">
        <v>11</v>
      </c>
      <c r="N34" s="45">
        <v>11</v>
      </c>
      <c r="O34" s="45">
        <v>11</v>
      </c>
      <c r="P34" s="45">
        <v>11</v>
      </c>
      <c r="Q34" s="45">
        <v>11</v>
      </c>
      <c r="R34" s="45">
        <v>11</v>
      </c>
      <c r="S34" s="45">
        <v>11</v>
      </c>
      <c r="T34" s="45">
        <v>11</v>
      </c>
      <c r="U34" s="45">
        <v>11</v>
      </c>
      <c r="V34" s="45">
        <v>11</v>
      </c>
      <c r="W34" s="45">
        <v>11</v>
      </c>
      <c r="X34" s="45">
        <v>11</v>
      </c>
      <c r="Y34" s="45">
        <v>11</v>
      </c>
      <c r="Z34" s="45">
        <v>11</v>
      </c>
      <c r="AA34" s="45">
        <v>11</v>
      </c>
      <c r="AB34" s="45">
        <v>11</v>
      </c>
      <c r="AC34" s="45">
        <v>11</v>
      </c>
      <c r="AD34" s="45">
        <v>11</v>
      </c>
      <c r="AE34" s="45">
        <v>11</v>
      </c>
      <c r="AF34" s="45">
        <v>11</v>
      </c>
      <c r="AG34" s="52">
        <v>11.88</v>
      </c>
      <c r="AH34" s="48">
        <f t="shared" si="2"/>
        <v>11</v>
      </c>
      <c r="AI34" s="49">
        <f t="shared" si="3"/>
        <v>0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7</v>
      </c>
      <c r="C35" s="45">
        <v>7</v>
      </c>
      <c r="D35" s="45">
        <v>7</v>
      </c>
      <c r="E35" s="45">
        <v>7</v>
      </c>
      <c r="F35" s="45">
        <v>7</v>
      </c>
      <c r="G35" s="45">
        <v>7</v>
      </c>
      <c r="H35" s="45">
        <v>7</v>
      </c>
      <c r="I35" s="45">
        <v>7</v>
      </c>
      <c r="J35" s="45">
        <v>7</v>
      </c>
      <c r="K35" s="45">
        <v>7</v>
      </c>
      <c r="L35" s="45">
        <v>7</v>
      </c>
      <c r="M35" s="45">
        <v>7</v>
      </c>
      <c r="N35" s="45">
        <v>7</v>
      </c>
      <c r="O35" s="45">
        <v>7</v>
      </c>
      <c r="P35" s="45">
        <v>7</v>
      </c>
      <c r="Q35" s="45">
        <v>7</v>
      </c>
      <c r="R35" s="45">
        <v>7</v>
      </c>
      <c r="S35" s="45">
        <v>7</v>
      </c>
      <c r="T35" s="45">
        <v>7</v>
      </c>
      <c r="U35" s="45">
        <v>7</v>
      </c>
      <c r="V35" s="45">
        <v>7</v>
      </c>
      <c r="W35" s="45">
        <v>7</v>
      </c>
      <c r="X35" s="45">
        <v>7</v>
      </c>
      <c r="Y35" s="45">
        <v>7</v>
      </c>
      <c r="Z35" s="45">
        <v>7</v>
      </c>
      <c r="AA35" s="45">
        <v>7</v>
      </c>
      <c r="AB35" s="45">
        <v>7</v>
      </c>
      <c r="AC35" s="45">
        <v>7</v>
      </c>
      <c r="AD35" s="45">
        <v>7</v>
      </c>
      <c r="AE35" s="45">
        <v>7</v>
      </c>
      <c r="AF35" s="45">
        <v>7</v>
      </c>
      <c r="AG35" s="55">
        <v>11</v>
      </c>
      <c r="AH35" s="48">
        <f t="shared" si="2"/>
        <v>7</v>
      </c>
      <c r="AI35" s="49">
        <f t="shared" si="3"/>
        <v>7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9.3000000000000007</v>
      </c>
      <c r="C36" s="45">
        <v>9.3000000000000007</v>
      </c>
      <c r="D36" s="45">
        <v>9.3000000000000007</v>
      </c>
      <c r="E36" s="45">
        <v>9.3000000000000007</v>
      </c>
      <c r="F36" s="45">
        <v>9.3000000000000007</v>
      </c>
      <c r="G36" s="45">
        <v>9.3000000000000007</v>
      </c>
      <c r="H36" s="45">
        <v>9.3000000000000007</v>
      </c>
      <c r="I36" s="45">
        <v>9.3000000000000007</v>
      </c>
      <c r="J36" s="45">
        <v>9.3000000000000007</v>
      </c>
      <c r="K36" s="45">
        <v>9.3000000000000007</v>
      </c>
      <c r="L36" s="45">
        <v>9.3000000000000007</v>
      </c>
      <c r="M36" s="45">
        <v>9.3000000000000007</v>
      </c>
      <c r="N36" s="45">
        <v>9.3000000000000007</v>
      </c>
      <c r="O36" s="45">
        <v>9.3000000000000007</v>
      </c>
      <c r="P36" s="45">
        <v>9.3000000000000007</v>
      </c>
      <c r="Q36" s="45">
        <v>9.3000000000000007</v>
      </c>
      <c r="R36" s="45">
        <v>9.3000000000000007</v>
      </c>
      <c r="S36" s="45">
        <v>9.3000000000000007</v>
      </c>
      <c r="T36" s="45">
        <v>9.3000000000000007</v>
      </c>
      <c r="U36" s="45">
        <v>9.3000000000000007</v>
      </c>
      <c r="V36" s="45">
        <v>9.3000000000000007</v>
      </c>
      <c r="W36" s="45">
        <v>9.3000000000000007</v>
      </c>
      <c r="X36" s="45">
        <v>9.3000000000000007</v>
      </c>
      <c r="Y36" s="45">
        <v>9.3000000000000007</v>
      </c>
      <c r="Z36" s="45">
        <v>9.3000000000000007</v>
      </c>
      <c r="AA36" s="45">
        <v>9.3000000000000007</v>
      </c>
      <c r="AB36" s="45">
        <v>9.3000000000000007</v>
      </c>
      <c r="AC36" s="45">
        <v>9.3000000000000007</v>
      </c>
      <c r="AD36" s="45">
        <v>9.3000000000000007</v>
      </c>
      <c r="AE36" s="45">
        <v>9.3000000000000007</v>
      </c>
      <c r="AF36" s="45">
        <v>9.3000000000000007</v>
      </c>
      <c r="AG36" s="55">
        <v>10</v>
      </c>
      <c r="AH36" s="48">
        <f t="shared" si="2"/>
        <v>9.3000000000000007</v>
      </c>
      <c r="AI36" s="49">
        <f t="shared" si="3"/>
        <v>9.3000000000000007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2</v>
      </c>
      <c r="N37" s="45">
        <v>2</v>
      </c>
      <c r="O37" s="45">
        <v>2</v>
      </c>
      <c r="P37" s="45">
        <v>2</v>
      </c>
      <c r="Q37" s="45">
        <v>2</v>
      </c>
      <c r="R37" s="45">
        <v>2</v>
      </c>
      <c r="S37" s="45">
        <v>2</v>
      </c>
      <c r="T37" s="45">
        <v>2</v>
      </c>
      <c r="U37" s="45">
        <v>2</v>
      </c>
      <c r="V37" s="45">
        <v>2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2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300</v>
      </c>
      <c r="C38" s="57">
        <v>300</v>
      </c>
      <c r="D38" s="57">
        <v>300</v>
      </c>
      <c r="E38" s="57">
        <v>280</v>
      </c>
      <c r="F38" s="57">
        <v>280</v>
      </c>
      <c r="G38" s="57">
        <v>280</v>
      </c>
      <c r="H38" s="57">
        <v>280</v>
      </c>
      <c r="I38" s="57">
        <v>300</v>
      </c>
      <c r="J38" s="57">
        <v>300</v>
      </c>
      <c r="K38" s="57">
        <v>300</v>
      </c>
      <c r="L38" s="57">
        <v>300</v>
      </c>
      <c r="M38" s="57">
        <v>300</v>
      </c>
      <c r="N38" s="57">
        <v>300</v>
      </c>
      <c r="O38" s="57">
        <v>300</v>
      </c>
      <c r="P38" s="57">
        <v>301</v>
      </c>
      <c r="Q38" s="57">
        <v>300</v>
      </c>
      <c r="R38" s="57">
        <v>300</v>
      </c>
      <c r="S38" s="57">
        <v>300</v>
      </c>
      <c r="T38" s="57">
        <v>300</v>
      </c>
      <c r="U38" s="57">
        <v>300</v>
      </c>
      <c r="V38" s="57">
        <v>300</v>
      </c>
      <c r="W38" s="57">
        <v>300</v>
      </c>
      <c r="X38" s="57">
        <v>300</v>
      </c>
      <c r="Y38" s="57">
        <v>300</v>
      </c>
      <c r="Z38" s="57">
        <v>300</v>
      </c>
      <c r="AA38" s="57">
        <v>300</v>
      </c>
      <c r="AB38" s="57">
        <v>300</v>
      </c>
      <c r="AC38" s="57">
        <v>300</v>
      </c>
      <c r="AD38" s="57">
        <v>300</v>
      </c>
      <c r="AE38" s="57">
        <v>300</v>
      </c>
      <c r="AF38" s="57">
        <v>300</v>
      </c>
      <c r="AG38" s="55">
        <v>85</v>
      </c>
      <c r="AH38" s="48">
        <f t="shared" si="2"/>
        <v>301</v>
      </c>
      <c r="AI38" s="49">
        <f t="shared" si="3"/>
        <v>280</v>
      </c>
      <c r="AK38" s="50"/>
    </row>
    <row r="39" spans="1:88" ht="15.75" thickBot="1" x14ac:dyDescent="0.3">
      <c r="A39" s="58" t="s">
        <v>47</v>
      </c>
      <c r="B39" s="59">
        <f>37+94</f>
        <v>131</v>
      </c>
      <c r="C39" s="59">
        <v>132</v>
      </c>
      <c r="D39" s="59">
        <v>132</v>
      </c>
      <c r="E39" s="59">
        <f>94.5+69.8</f>
        <v>164.3</v>
      </c>
      <c r="F39" s="59">
        <f>94+69.7</f>
        <v>163.69999999999999</v>
      </c>
      <c r="G39" s="59">
        <f>93.3+69.5</f>
        <v>162.80000000000001</v>
      </c>
      <c r="H39" s="59">
        <f>93.3+68.2</f>
        <v>161.5</v>
      </c>
      <c r="I39" s="59">
        <f>96.3+69.1</f>
        <v>165.39999999999998</v>
      </c>
      <c r="J39" s="59">
        <f>96.7+68.9</f>
        <v>165.60000000000002</v>
      </c>
      <c r="K39" s="59">
        <f>96.4+68.3</f>
        <v>164.7</v>
      </c>
      <c r="L39" s="59">
        <f>96+76.6</f>
        <v>172.6</v>
      </c>
      <c r="M39" s="59">
        <f>64.7+96.1</f>
        <v>160.80000000000001</v>
      </c>
      <c r="N39" s="59">
        <f>63+96.7</f>
        <v>159.69999999999999</v>
      </c>
      <c r="O39" s="59">
        <f>78.5+96.5</f>
        <v>175</v>
      </c>
      <c r="P39" s="59">
        <f>78.5+96.5</f>
        <v>175</v>
      </c>
      <c r="Q39" s="59">
        <f>97.6+61.6</f>
        <v>159.19999999999999</v>
      </c>
      <c r="R39" s="59">
        <f>75.7+97.4</f>
        <v>173.10000000000002</v>
      </c>
      <c r="S39" s="59">
        <f>98+59.9</f>
        <v>157.9</v>
      </c>
      <c r="T39" s="59">
        <f>100+77</f>
        <v>177</v>
      </c>
      <c r="U39" s="59">
        <f>100+76.9</f>
        <v>176.9</v>
      </c>
      <c r="V39" s="59">
        <f>97.5+76.9</f>
        <v>174.4</v>
      </c>
      <c r="W39" s="59">
        <f>97.5+76.9</f>
        <v>174.4</v>
      </c>
      <c r="X39" s="59">
        <f>95.8+74.7</f>
        <v>170.5</v>
      </c>
      <c r="Y39" s="59">
        <v>170.8</v>
      </c>
      <c r="Z39" s="59">
        <f>90.9+75.4</f>
        <v>166.3</v>
      </c>
      <c r="AA39" s="59">
        <f>97+76</f>
        <v>173</v>
      </c>
      <c r="AB39" s="59">
        <f>98+75.7</f>
        <v>173.7</v>
      </c>
      <c r="AC39" s="59">
        <f>98+75.7</f>
        <v>173.7</v>
      </c>
      <c r="AD39" s="59">
        <v>176</v>
      </c>
      <c r="AE39" s="59">
        <v>163</v>
      </c>
      <c r="AF39" s="59">
        <v>163</v>
      </c>
      <c r="AG39" s="55">
        <v>240</v>
      </c>
      <c r="AH39" s="48">
        <f t="shared" si="2"/>
        <v>177</v>
      </c>
      <c r="AI39" s="49">
        <f t="shared" si="3"/>
        <v>131</v>
      </c>
      <c r="AK39" s="50"/>
    </row>
    <row r="40" spans="1:88" ht="15.75" thickBot="1" x14ac:dyDescent="0.3">
      <c r="A40" s="60" t="s">
        <v>48</v>
      </c>
      <c r="B40" s="61">
        <f t="shared" ref="B40:AG40" si="4">SUM(B11:B38)</f>
        <v>710.90000000000009</v>
      </c>
      <c r="C40" s="61">
        <f t="shared" si="4"/>
        <v>721.90000000000009</v>
      </c>
      <c r="D40" s="61">
        <f t="shared" si="4"/>
        <v>741.90000000000009</v>
      </c>
      <c r="E40" s="61">
        <f t="shared" si="4"/>
        <v>716.90000000000009</v>
      </c>
      <c r="F40" s="61">
        <f t="shared" si="4"/>
        <v>716.90000000000009</v>
      </c>
      <c r="G40" s="61">
        <f t="shared" si="4"/>
        <v>717.90000000000009</v>
      </c>
      <c r="H40" s="61">
        <f t="shared" si="4"/>
        <v>717.90000000000009</v>
      </c>
      <c r="I40" s="61">
        <f t="shared" si="4"/>
        <v>747.6</v>
      </c>
      <c r="J40" s="61">
        <f t="shared" si="4"/>
        <v>747.6</v>
      </c>
      <c r="K40" s="61">
        <f t="shared" si="4"/>
        <v>747.6</v>
      </c>
      <c r="L40" s="61">
        <f t="shared" si="4"/>
        <v>771.8</v>
      </c>
      <c r="M40" s="61">
        <f t="shared" si="4"/>
        <v>831.8</v>
      </c>
      <c r="N40" s="61">
        <f t="shared" si="4"/>
        <v>832.09999999999991</v>
      </c>
      <c r="O40" s="61">
        <f t="shared" si="4"/>
        <v>827.09999999999991</v>
      </c>
      <c r="P40" s="61">
        <f t="shared" si="4"/>
        <v>792.90000000000009</v>
      </c>
      <c r="Q40" s="61">
        <f t="shared" si="4"/>
        <v>816.4</v>
      </c>
      <c r="R40" s="61">
        <f t="shared" si="4"/>
        <v>821</v>
      </c>
      <c r="S40" s="61">
        <f t="shared" si="4"/>
        <v>783</v>
      </c>
      <c r="T40" s="61">
        <f t="shared" si="4"/>
        <v>783</v>
      </c>
      <c r="U40" s="61">
        <f t="shared" si="4"/>
        <v>773.90000000000009</v>
      </c>
      <c r="V40" s="61">
        <f t="shared" si="4"/>
        <v>791.6</v>
      </c>
      <c r="W40" s="61">
        <f t="shared" si="4"/>
        <v>795.6</v>
      </c>
      <c r="X40" s="61">
        <f t="shared" si="4"/>
        <v>821.59999999999991</v>
      </c>
      <c r="Y40" s="61">
        <f t="shared" si="4"/>
        <v>811.6</v>
      </c>
      <c r="Z40" s="61">
        <f t="shared" si="4"/>
        <v>811.6</v>
      </c>
      <c r="AA40" s="61">
        <f t="shared" si="4"/>
        <v>789.1</v>
      </c>
      <c r="AB40" s="61">
        <f t="shared" si="4"/>
        <v>785.40000000000009</v>
      </c>
      <c r="AC40" s="61">
        <f t="shared" si="4"/>
        <v>753.2</v>
      </c>
      <c r="AD40" s="61">
        <f t="shared" si="4"/>
        <v>753.2</v>
      </c>
      <c r="AE40" s="61">
        <f t="shared" si="4"/>
        <v>749.2</v>
      </c>
      <c r="AF40" s="61">
        <f t="shared" si="4"/>
        <v>749.2</v>
      </c>
      <c r="AG40" s="62">
        <f t="shared" si="4"/>
        <v>707.78000000000009</v>
      </c>
      <c r="AH40" s="48">
        <f t="shared" si="2"/>
        <v>832.09999999999991</v>
      </c>
      <c r="AI40" s="49">
        <f t="shared" si="3"/>
        <v>710.90000000000009</v>
      </c>
      <c r="AK40" s="50"/>
    </row>
    <row r="41" spans="1:88" x14ac:dyDescent="0.25">
      <c r="A41" s="63" t="s">
        <v>49</v>
      </c>
      <c r="B41" s="45">
        <v>320</v>
      </c>
      <c r="C41" s="45">
        <v>320</v>
      </c>
      <c r="D41" s="45">
        <v>305</v>
      </c>
      <c r="E41" s="45">
        <v>290</v>
      </c>
      <c r="F41" s="45">
        <v>290</v>
      </c>
      <c r="G41" s="45">
        <v>280</v>
      </c>
      <c r="H41" s="45">
        <v>300</v>
      </c>
      <c r="I41" s="45">
        <v>325</v>
      </c>
      <c r="J41" s="45">
        <v>370</v>
      </c>
      <c r="K41" s="45">
        <v>410</v>
      </c>
      <c r="L41" s="45">
        <v>430</v>
      </c>
      <c r="M41" s="45">
        <v>335</v>
      </c>
      <c r="N41" s="45">
        <v>350</v>
      </c>
      <c r="O41" s="45">
        <v>350</v>
      </c>
      <c r="P41" s="45">
        <v>350</v>
      </c>
      <c r="Q41" s="45">
        <v>378</v>
      </c>
      <c r="R41" s="45">
        <v>330</v>
      </c>
      <c r="S41" s="45">
        <v>300</v>
      </c>
      <c r="T41" s="45">
        <v>300</v>
      </c>
      <c r="U41" s="45">
        <v>350</v>
      </c>
      <c r="V41" s="45">
        <v>330</v>
      </c>
      <c r="W41" s="45">
        <v>330</v>
      </c>
      <c r="X41" s="45">
        <v>350</v>
      </c>
      <c r="Y41" s="45">
        <v>400</v>
      </c>
      <c r="Z41" s="45">
        <v>400</v>
      </c>
      <c r="AA41" s="45">
        <v>380</v>
      </c>
      <c r="AB41" s="45">
        <v>340</v>
      </c>
      <c r="AC41" s="45">
        <v>270</v>
      </c>
      <c r="AD41" s="45">
        <v>270</v>
      </c>
      <c r="AE41" s="45">
        <v>240</v>
      </c>
      <c r="AF41" s="45">
        <v>270</v>
      </c>
      <c r="AG41" s="52">
        <v>456</v>
      </c>
      <c r="AH41" s="48">
        <f t="shared" si="2"/>
        <v>430</v>
      </c>
      <c r="AI41" s="49">
        <f t="shared" si="3"/>
        <v>240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22</v>
      </c>
      <c r="C43" s="67">
        <v>22</v>
      </c>
      <c r="D43" s="67">
        <v>22</v>
      </c>
      <c r="E43" s="67">
        <v>22</v>
      </c>
      <c r="F43" s="67">
        <v>22</v>
      </c>
      <c r="G43" s="67">
        <v>22</v>
      </c>
      <c r="H43" s="67">
        <v>22</v>
      </c>
      <c r="I43" s="67">
        <v>22</v>
      </c>
      <c r="J43" s="67">
        <v>22</v>
      </c>
      <c r="K43" s="67">
        <v>22</v>
      </c>
      <c r="L43" s="67">
        <v>22</v>
      </c>
      <c r="M43" s="67">
        <v>22</v>
      </c>
      <c r="N43" s="67">
        <v>22</v>
      </c>
      <c r="O43" s="67">
        <v>22</v>
      </c>
      <c r="P43" s="67">
        <v>22</v>
      </c>
      <c r="Q43" s="67">
        <v>22</v>
      </c>
      <c r="R43" s="67">
        <v>22</v>
      </c>
      <c r="S43" s="67">
        <v>22</v>
      </c>
      <c r="T43" s="67">
        <v>22</v>
      </c>
      <c r="U43" s="67">
        <v>22</v>
      </c>
      <c r="V43" s="67">
        <v>22</v>
      </c>
      <c r="W43" s="67">
        <v>22</v>
      </c>
      <c r="X43" s="67">
        <v>22</v>
      </c>
      <c r="Y43" s="67">
        <v>22</v>
      </c>
      <c r="Z43" s="67">
        <v>22</v>
      </c>
      <c r="AA43" s="67">
        <v>22</v>
      </c>
      <c r="AB43" s="67">
        <v>22</v>
      </c>
      <c r="AC43" s="67">
        <v>22</v>
      </c>
      <c r="AD43" s="67">
        <v>22</v>
      </c>
      <c r="AE43" s="67">
        <v>22</v>
      </c>
      <c r="AF43" s="67">
        <v>22</v>
      </c>
      <c r="AG43" s="68">
        <v>22.1</v>
      </c>
      <c r="AH43" s="48">
        <f t="shared" si="2"/>
        <v>22</v>
      </c>
      <c r="AI43" s="49">
        <f t="shared" si="3"/>
        <v>22</v>
      </c>
      <c r="AK43" s="50"/>
    </row>
    <row r="44" spans="1:88" ht="15.75" thickBot="1" x14ac:dyDescent="0.3">
      <c r="A44" s="69" t="s">
        <v>52</v>
      </c>
      <c r="B44" s="61">
        <f t="shared" ref="B44:AG44" si="5">SUM(B41:B43)</f>
        <v>402</v>
      </c>
      <c r="C44" s="61">
        <f t="shared" si="5"/>
        <v>402</v>
      </c>
      <c r="D44" s="61">
        <f t="shared" si="5"/>
        <v>387</v>
      </c>
      <c r="E44" s="61">
        <f t="shared" si="5"/>
        <v>372</v>
      </c>
      <c r="F44" s="61">
        <f t="shared" si="5"/>
        <v>372</v>
      </c>
      <c r="G44" s="61">
        <f t="shared" si="5"/>
        <v>362</v>
      </c>
      <c r="H44" s="61">
        <f t="shared" si="5"/>
        <v>382</v>
      </c>
      <c r="I44" s="61">
        <f t="shared" si="5"/>
        <v>407</v>
      </c>
      <c r="J44" s="61">
        <f t="shared" si="5"/>
        <v>452</v>
      </c>
      <c r="K44" s="61">
        <f t="shared" si="5"/>
        <v>492</v>
      </c>
      <c r="L44" s="61">
        <f t="shared" si="5"/>
        <v>512</v>
      </c>
      <c r="M44" s="61">
        <f t="shared" si="5"/>
        <v>417</v>
      </c>
      <c r="N44" s="61">
        <f t="shared" si="5"/>
        <v>432</v>
      </c>
      <c r="O44" s="61">
        <f t="shared" si="5"/>
        <v>432</v>
      </c>
      <c r="P44" s="61">
        <f t="shared" si="5"/>
        <v>432</v>
      </c>
      <c r="Q44" s="61">
        <f t="shared" si="5"/>
        <v>460</v>
      </c>
      <c r="R44" s="61">
        <f t="shared" si="5"/>
        <v>412</v>
      </c>
      <c r="S44" s="61">
        <f t="shared" si="5"/>
        <v>382</v>
      </c>
      <c r="T44" s="61">
        <f t="shared" si="5"/>
        <v>382</v>
      </c>
      <c r="U44" s="61">
        <f t="shared" si="5"/>
        <v>432</v>
      </c>
      <c r="V44" s="61">
        <f t="shared" si="5"/>
        <v>412</v>
      </c>
      <c r="W44" s="61">
        <f t="shared" si="5"/>
        <v>412</v>
      </c>
      <c r="X44" s="61">
        <f t="shared" si="5"/>
        <v>432</v>
      </c>
      <c r="Y44" s="61">
        <f t="shared" si="5"/>
        <v>482</v>
      </c>
      <c r="Z44" s="61">
        <f t="shared" si="5"/>
        <v>482</v>
      </c>
      <c r="AA44" s="61">
        <f t="shared" si="5"/>
        <v>462</v>
      </c>
      <c r="AB44" s="61">
        <f t="shared" si="5"/>
        <v>422</v>
      </c>
      <c r="AC44" s="61">
        <f t="shared" si="5"/>
        <v>352</v>
      </c>
      <c r="AD44" s="61">
        <f t="shared" si="5"/>
        <v>352</v>
      </c>
      <c r="AE44" s="61">
        <f t="shared" si="5"/>
        <v>322</v>
      </c>
      <c r="AF44" s="61">
        <f t="shared" si="5"/>
        <v>352</v>
      </c>
      <c r="AG44" s="62">
        <f t="shared" si="5"/>
        <v>538.1</v>
      </c>
      <c r="AH44" s="48">
        <f t="shared" si="2"/>
        <v>512</v>
      </c>
      <c r="AI44" s="49">
        <f t="shared" si="3"/>
        <v>322</v>
      </c>
      <c r="AK44" s="50"/>
    </row>
    <row r="45" spans="1:88" x14ac:dyDescent="0.25">
      <c r="A45" s="44" t="s">
        <v>53</v>
      </c>
      <c r="B45" s="45">
        <v>82</v>
      </c>
      <c r="C45" s="45">
        <v>70</v>
      </c>
      <c r="D45" s="45">
        <v>66</v>
      </c>
      <c r="E45" s="45">
        <v>0</v>
      </c>
      <c r="F45" s="45">
        <v>66</v>
      </c>
      <c r="G45" s="45">
        <v>74</v>
      </c>
      <c r="H45" s="45">
        <v>74</v>
      </c>
      <c r="I45" s="45">
        <v>92.1</v>
      </c>
      <c r="J45" s="45">
        <v>93.3</v>
      </c>
      <c r="K45" s="45">
        <v>94.3</v>
      </c>
      <c r="L45" s="45">
        <v>94.4</v>
      </c>
      <c r="M45" s="45">
        <v>94.4</v>
      </c>
      <c r="N45" s="45">
        <v>94.4</v>
      </c>
      <c r="O45" s="45">
        <v>94.4</v>
      </c>
      <c r="P45" s="45">
        <v>94.4</v>
      </c>
      <c r="Q45" s="45">
        <v>92.2</v>
      </c>
      <c r="R45" s="45">
        <v>92.2</v>
      </c>
      <c r="S45" s="45">
        <v>92.2</v>
      </c>
      <c r="T45" s="45">
        <v>92.2</v>
      </c>
      <c r="U45" s="45">
        <v>92.2</v>
      </c>
      <c r="V45" s="45">
        <v>92.2</v>
      </c>
      <c r="W45" s="45">
        <v>92.2</v>
      </c>
      <c r="X45" s="45">
        <v>92.2</v>
      </c>
      <c r="Y45" s="45">
        <v>92.2</v>
      </c>
      <c r="Z45" s="45">
        <v>92.2</v>
      </c>
      <c r="AA45" s="45">
        <v>95</v>
      </c>
      <c r="AB45" s="45">
        <v>95</v>
      </c>
      <c r="AC45" s="45">
        <v>90.7</v>
      </c>
      <c r="AD45" s="45">
        <v>90.7</v>
      </c>
      <c r="AE45" s="45">
        <v>80</v>
      </c>
      <c r="AF45" s="45">
        <v>71.2</v>
      </c>
      <c r="AG45" s="52">
        <v>144</v>
      </c>
      <c r="AH45" s="48">
        <f t="shared" si="2"/>
        <v>95</v>
      </c>
      <c r="AI45" s="49">
        <f t="shared" si="3"/>
        <v>0</v>
      </c>
      <c r="AK45" s="50"/>
    </row>
    <row r="46" spans="1:88" x14ac:dyDescent="0.25">
      <c r="A46" s="54" t="s">
        <v>54</v>
      </c>
      <c r="B46" s="65">
        <v>52</v>
      </c>
      <c r="C46" s="65">
        <v>52</v>
      </c>
      <c r="D46" s="65">
        <v>45</v>
      </c>
      <c r="E46" s="65">
        <v>26</v>
      </c>
      <c r="F46" s="65">
        <v>26</v>
      </c>
      <c r="G46" s="65">
        <v>26</v>
      </c>
      <c r="H46" s="65">
        <v>26</v>
      </c>
      <c r="I46" s="65">
        <v>26</v>
      </c>
      <c r="J46" s="65">
        <v>30.8</v>
      </c>
      <c r="K46" s="65">
        <v>30.8</v>
      </c>
      <c r="L46" s="65">
        <v>30.8</v>
      </c>
      <c r="M46" s="65">
        <v>56.7</v>
      </c>
      <c r="N46" s="65">
        <v>72.5</v>
      </c>
      <c r="O46" s="65">
        <v>72.5</v>
      </c>
      <c r="P46" s="65">
        <v>72.5</v>
      </c>
      <c r="Q46" s="45">
        <v>72.3</v>
      </c>
      <c r="R46" s="45">
        <v>72.3</v>
      </c>
      <c r="S46" s="45">
        <v>71.2</v>
      </c>
      <c r="T46" s="45">
        <v>71.2</v>
      </c>
      <c r="U46" s="45">
        <v>72.2</v>
      </c>
      <c r="V46" s="45">
        <v>72.2</v>
      </c>
      <c r="W46" s="45">
        <v>72.2</v>
      </c>
      <c r="X46" s="45">
        <v>72.2</v>
      </c>
      <c r="Y46" s="45">
        <v>72.2</v>
      </c>
      <c r="Z46" s="45">
        <v>72.2</v>
      </c>
      <c r="AA46" s="45">
        <v>72.2</v>
      </c>
      <c r="AB46" s="65">
        <v>71</v>
      </c>
      <c r="AC46" s="65">
        <v>71.2</v>
      </c>
      <c r="AD46" s="65">
        <v>71.2</v>
      </c>
      <c r="AE46" s="65">
        <v>61.3</v>
      </c>
      <c r="AF46" s="65">
        <v>60.4</v>
      </c>
      <c r="AG46" s="55">
        <v>70</v>
      </c>
      <c r="AH46" s="48">
        <f t="shared" si="2"/>
        <v>72.5</v>
      </c>
      <c r="AI46" s="49">
        <f t="shared" si="3"/>
        <v>26</v>
      </c>
      <c r="AK46" s="50"/>
    </row>
    <row r="47" spans="1:88" x14ac:dyDescent="0.25">
      <c r="A47" s="54" t="s">
        <v>55</v>
      </c>
      <c r="B47" s="65">
        <v>44</v>
      </c>
      <c r="C47" s="65">
        <v>42</v>
      </c>
      <c r="D47" s="65">
        <v>38</v>
      </c>
      <c r="E47" s="65">
        <v>23</v>
      </c>
      <c r="F47" s="65">
        <v>23</v>
      </c>
      <c r="G47" s="65">
        <v>42</v>
      </c>
      <c r="H47" s="65">
        <v>43</v>
      </c>
      <c r="I47" s="65">
        <v>43</v>
      </c>
      <c r="J47" s="65">
        <v>43</v>
      </c>
      <c r="K47" s="65">
        <v>43</v>
      </c>
      <c r="L47" s="65">
        <v>43</v>
      </c>
      <c r="M47" s="65">
        <v>32.9</v>
      </c>
      <c r="N47" s="65">
        <v>44.7</v>
      </c>
      <c r="O47" s="65">
        <v>44.7</v>
      </c>
      <c r="P47" s="65">
        <v>45.6</v>
      </c>
      <c r="Q47" s="45">
        <v>44.9</v>
      </c>
      <c r="R47" s="45">
        <v>44.9</v>
      </c>
      <c r="S47" s="45">
        <v>45.4</v>
      </c>
      <c r="T47" s="45">
        <v>45.4</v>
      </c>
      <c r="U47" s="45">
        <v>64.7</v>
      </c>
      <c r="V47" s="45">
        <v>64.7</v>
      </c>
      <c r="W47" s="45">
        <v>64.7</v>
      </c>
      <c r="X47" s="45">
        <v>64.7</v>
      </c>
      <c r="Y47" s="45">
        <v>64.7</v>
      </c>
      <c r="Z47" s="45">
        <v>64.7</v>
      </c>
      <c r="AA47" s="45">
        <v>65</v>
      </c>
      <c r="AB47" s="65">
        <v>64.599999999999994</v>
      </c>
      <c r="AC47" s="65">
        <v>61.2</v>
      </c>
      <c r="AD47" s="65">
        <v>61.2</v>
      </c>
      <c r="AE47" s="65">
        <v>65</v>
      </c>
      <c r="AF47" s="65">
        <v>51.6</v>
      </c>
      <c r="AG47" s="55">
        <v>69</v>
      </c>
      <c r="AH47" s="48">
        <f t="shared" si="2"/>
        <v>65</v>
      </c>
      <c r="AI47" s="49">
        <f t="shared" si="3"/>
        <v>23</v>
      </c>
      <c r="AK47" s="50"/>
    </row>
    <row r="48" spans="1:88" x14ac:dyDescent="0.25">
      <c r="A48" s="54" t="s">
        <v>56</v>
      </c>
      <c r="B48" s="57">
        <v>52</v>
      </c>
      <c r="C48" s="57">
        <v>51</v>
      </c>
      <c r="D48" s="57">
        <v>40</v>
      </c>
      <c r="E48" s="57">
        <v>55</v>
      </c>
      <c r="F48" s="57">
        <v>60</v>
      </c>
      <c r="G48" s="57">
        <v>60</v>
      </c>
      <c r="H48" s="57">
        <v>60</v>
      </c>
      <c r="I48" s="57">
        <v>60</v>
      </c>
      <c r="J48" s="57">
        <v>60</v>
      </c>
      <c r="K48" s="57">
        <v>60</v>
      </c>
      <c r="L48" s="57">
        <v>60</v>
      </c>
      <c r="M48" s="57">
        <v>60</v>
      </c>
      <c r="N48" s="57">
        <v>0</v>
      </c>
      <c r="O48" s="57">
        <v>0</v>
      </c>
      <c r="P48" s="57">
        <v>0</v>
      </c>
      <c r="Q48" s="45">
        <v>0</v>
      </c>
      <c r="R48" s="45">
        <v>0</v>
      </c>
      <c r="S48" s="45">
        <v>0</v>
      </c>
      <c r="T48" s="45">
        <v>0</v>
      </c>
      <c r="U48" s="45">
        <v>0</v>
      </c>
      <c r="V48" s="45">
        <v>0</v>
      </c>
      <c r="W48" s="45">
        <v>61.2</v>
      </c>
      <c r="X48" s="45">
        <v>61.2</v>
      </c>
      <c r="Y48" s="45">
        <v>61.2</v>
      </c>
      <c r="Z48" s="45">
        <v>61.2</v>
      </c>
      <c r="AA48" s="45">
        <v>61.2</v>
      </c>
      <c r="AB48" s="65">
        <v>61.4</v>
      </c>
      <c r="AC48" s="65">
        <v>60.9</v>
      </c>
      <c r="AD48" s="65">
        <v>60.9</v>
      </c>
      <c r="AE48" s="65">
        <v>51.9</v>
      </c>
      <c r="AF48" s="57">
        <v>40</v>
      </c>
      <c r="AG48" s="55">
        <v>60</v>
      </c>
      <c r="AH48" s="48">
        <f t="shared" si="2"/>
        <v>61.4</v>
      </c>
      <c r="AI48" s="49">
        <f t="shared" si="3"/>
        <v>0</v>
      </c>
      <c r="AK48" s="50"/>
    </row>
    <row r="49" spans="1:41" x14ac:dyDescent="0.25">
      <c r="A49" s="54" t="s">
        <v>57</v>
      </c>
      <c r="B49" s="57">
        <v>30</v>
      </c>
      <c r="C49" s="57">
        <v>30</v>
      </c>
      <c r="D49" s="57">
        <v>30</v>
      </c>
      <c r="E49" s="57">
        <v>30</v>
      </c>
      <c r="F49" s="57">
        <v>26</v>
      </c>
      <c r="G49" s="57">
        <v>26</v>
      </c>
      <c r="H49" s="57">
        <v>26</v>
      </c>
      <c r="I49" s="57">
        <v>26</v>
      </c>
      <c r="J49" s="57">
        <v>26</v>
      </c>
      <c r="K49" s="57">
        <v>26</v>
      </c>
      <c r="L49" s="57">
        <v>26</v>
      </c>
      <c r="M49" s="57">
        <v>29</v>
      </c>
      <c r="N49" s="57">
        <v>29.6</v>
      </c>
      <c r="O49" s="57">
        <v>29.6</v>
      </c>
      <c r="P49" s="57">
        <v>29.6</v>
      </c>
      <c r="Q49" s="45">
        <v>29.4</v>
      </c>
      <c r="R49" s="45">
        <v>29.4</v>
      </c>
      <c r="S49" s="45">
        <v>29.4</v>
      </c>
      <c r="T49" s="45">
        <v>29.4</v>
      </c>
      <c r="U49" s="45">
        <v>29.4</v>
      </c>
      <c r="V49" s="45">
        <v>29.4</v>
      </c>
      <c r="W49" s="45">
        <v>29.4</v>
      </c>
      <c r="X49" s="45">
        <v>29.4</v>
      </c>
      <c r="Y49" s="45">
        <v>29.4</v>
      </c>
      <c r="Z49" s="45">
        <v>29.4</v>
      </c>
      <c r="AA49" s="45">
        <v>29.4</v>
      </c>
      <c r="AB49" s="45">
        <v>29.4</v>
      </c>
      <c r="AC49" s="65">
        <v>29.5</v>
      </c>
      <c r="AD49" s="65">
        <v>29.5</v>
      </c>
      <c r="AE49" s="65">
        <v>25.3</v>
      </c>
      <c r="AF49" s="65">
        <v>25.3</v>
      </c>
      <c r="AG49" s="55">
        <v>30</v>
      </c>
      <c r="AH49" s="48">
        <f t="shared" si="2"/>
        <v>30</v>
      </c>
      <c r="AI49" s="49">
        <f t="shared" si="3"/>
        <v>25.3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8</v>
      </c>
      <c r="N50" s="65">
        <v>10</v>
      </c>
      <c r="O50" s="65">
        <v>10</v>
      </c>
      <c r="P50" s="65">
        <v>14</v>
      </c>
      <c r="Q50" s="65">
        <v>14</v>
      </c>
      <c r="R50" s="65">
        <v>14</v>
      </c>
      <c r="S50" s="65">
        <v>14</v>
      </c>
      <c r="T50" s="65">
        <v>14</v>
      </c>
      <c r="U50" s="65">
        <v>14</v>
      </c>
      <c r="V50" s="65">
        <v>14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45">
        <v>0</v>
      </c>
      <c r="AD50" s="45">
        <v>0</v>
      </c>
      <c r="AE50" s="45">
        <v>0</v>
      </c>
      <c r="AF50" s="45">
        <v>0</v>
      </c>
      <c r="AG50" s="55">
        <v>25</v>
      </c>
      <c r="AH50" s="48">
        <f t="shared" si="2"/>
        <v>14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11</v>
      </c>
      <c r="C51" s="65">
        <v>10.8</v>
      </c>
      <c r="D51" s="65">
        <v>10.8</v>
      </c>
      <c r="E51" s="65">
        <v>10.8</v>
      </c>
      <c r="F51" s="65">
        <v>10.8</v>
      </c>
      <c r="G51" s="65">
        <v>10.8</v>
      </c>
      <c r="H51" s="65">
        <v>10.8</v>
      </c>
      <c r="I51" s="65">
        <v>10.8</v>
      </c>
      <c r="J51" s="65">
        <v>10.8</v>
      </c>
      <c r="K51" s="65">
        <v>10.8</v>
      </c>
      <c r="L51" s="65">
        <v>10.8</v>
      </c>
      <c r="M51" s="65">
        <v>10.8</v>
      </c>
      <c r="N51" s="65">
        <v>11</v>
      </c>
      <c r="O51" s="65">
        <v>11</v>
      </c>
      <c r="P51" s="65">
        <v>11</v>
      </c>
      <c r="Q51" s="65">
        <v>11</v>
      </c>
      <c r="R51" s="65">
        <v>11</v>
      </c>
      <c r="S51" s="65">
        <v>11</v>
      </c>
      <c r="T51" s="65">
        <v>11</v>
      </c>
      <c r="U51" s="65">
        <v>14</v>
      </c>
      <c r="V51" s="65">
        <v>14</v>
      </c>
      <c r="W51" s="65">
        <v>14</v>
      </c>
      <c r="X51" s="65">
        <v>14</v>
      </c>
      <c r="Y51" s="65">
        <v>14</v>
      </c>
      <c r="Z51" s="65">
        <v>14</v>
      </c>
      <c r="AA51" s="65">
        <v>14</v>
      </c>
      <c r="AB51" s="65">
        <v>12.9</v>
      </c>
      <c r="AC51" s="45">
        <v>12.9</v>
      </c>
      <c r="AD51" s="45">
        <v>12.9</v>
      </c>
      <c r="AE51" s="45">
        <v>12.9</v>
      </c>
      <c r="AF51" s="45">
        <v>12.9</v>
      </c>
      <c r="AG51" s="55">
        <v>24</v>
      </c>
      <c r="AH51" s="48">
        <f t="shared" si="2"/>
        <v>14</v>
      </c>
      <c r="AI51" s="49">
        <f t="shared" si="3"/>
        <v>10.8</v>
      </c>
      <c r="AK51" s="50"/>
    </row>
    <row r="52" spans="1:41" x14ac:dyDescent="0.25">
      <c r="A52" s="54" t="s">
        <v>60</v>
      </c>
      <c r="B52" s="65">
        <v>3</v>
      </c>
      <c r="C52" s="65">
        <v>3</v>
      </c>
      <c r="D52" s="65">
        <v>3</v>
      </c>
      <c r="E52" s="65">
        <v>3</v>
      </c>
      <c r="F52" s="65">
        <v>3</v>
      </c>
      <c r="G52" s="65">
        <v>3</v>
      </c>
      <c r="H52" s="65">
        <v>3</v>
      </c>
      <c r="I52" s="65">
        <v>3</v>
      </c>
      <c r="J52" s="65">
        <v>3</v>
      </c>
      <c r="K52" s="65">
        <v>3</v>
      </c>
      <c r="L52" s="65">
        <v>3</v>
      </c>
      <c r="M52" s="65">
        <v>2</v>
      </c>
      <c r="N52" s="65">
        <v>2</v>
      </c>
      <c r="O52" s="65">
        <v>2</v>
      </c>
      <c r="P52" s="65">
        <v>2</v>
      </c>
      <c r="Q52" s="65">
        <v>2</v>
      </c>
      <c r="R52" s="65">
        <v>2</v>
      </c>
      <c r="S52" s="65">
        <v>2</v>
      </c>
      <c r="T52" s="65">
        <v>2</v>
      </c>
      <c r="U52" s="65">
        <v>2</v>
      </c>
      <c r="V52" s="65">
        <v>2</v>
      </c>
      <c r="W52" s="65">
        <v>2</v>
      </c>
      <c r="X52" s="65">
        <v>2</v>
      </c>
      <c r="Y52" s="65">
        <v>2</v>
      </c>
      <c r="Z52" s="65">
        <v>2</v>
      </c>
      <c r="AA52" s="65">
        <v>2</v>
      </c>
      <c r="AB52" s="65">
        <v>2</v>
      </c>
      <c r="AC52" s="65">
        <v>2</v>
      </c>
      <c r="AD52" s="65">
        <v>2</v>
      </c>
      <c r="AE52" s="65">
        <v>2</v>
      </c>
      <c r="AF52" s="65">
        <v>2</v>
      </c>
      <c r="AG52" s="55">
        <v>15</v>
      </c>
      <c r="AH52" s="48">
        <f t="shared" si="2"/>
        <v>3</v>
      </c>
      <c r="AI52" s="49">
        <f t="shared" si="3"/>
        <v>2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9.6999999999999993</v>
      </c>
      <c r="C53" s="65">
        <v>9.6999999999999993</v>
      </c>
      <c r="D53" s="65">
        <v>9.6999999999999993</v>
      </c>
      <c r="E53" s="65">
        <v>9.6999999999999993</v>
      </c>
      <c r="F53" s="65">
        <v>9.6999999999999993</v>
      </c>
      <c r="G53" s="65">
        <v>9.6999999999999993</v>
      </c>
      <c r="H53" s="65">
        <v>9.6999999999999993</v>
      </c>
      <c r="I53" s="65">
        <v>9.6999999999999993</v>
      </c>
      <c r="J53" s="65">
        <v>9.6999999999999993</v>
      </c>
      <c r="K53" s="65">
        <v>9.6999999999999993</v>
      </c>
      <c r="L53" s="65">
        <v>9.6999999999999993</v>
      </c>
      <c r="M53" s="65">
        <v>9.6999999999999993</v>
      </c>
      <c r="N53" s="65">
        <v>8.1999999999999993</v>
      </c>
      <c r="O53" s="65">
        <v>8.1999999999999993</v>
      </c>
      <c r="P53" s="65">
        <v>8.1999999999999993</v>
      </c>
      <c r="Q53" s="65">
        <v>8.1999999999999993</v>
      </c>
      <c r="R53" s="65">
        <v>8.1999999999999993</v>
      </c>
      <c r="S53" s="65">
        <v>8.1999999999999993</v>
      </c>
      <c r="T53" s="65">
        <v>8.1999999999999993</v>
      </c>
      <c r="U53" s="65">
        <v>7.7</v>
      </c>
      <c r="V53" s="65">
        <v>7.7</v>
      </c>
      <c r="W53" s="65">
        <v>7.7</v>
      </c>
      <c r="X53" s="65">
        <v>7.7</v>
      </c>
      <c r="Y53" s="65">
        <v>7.7</v>
      </c>
      <c r="Z53" s="65">
        <v>7.7</v>
      </c>
      <c r="AA53" s="65">
        <v>7.7</v>
      </c>
      <c r="AB53" s="65">
        <v>7.7</v>
      </c>
      <c r="AC53" s="65">
        <v>7.7</v>
      </c>
      <c r="AD53" s="65">
        <v>7.7</v>
      </c>
      <c r="AE53" s="65">
        <v>11.3</v>
      </c>
      <c r="AF53" s="65">
        <v>11.3</v>
      </c>
      <c r="AG53" s="55">
        <v>14.1</v>
      </c>
      <c r="AH53" s="48">
        <f t="shared" si="2"/>
        <v>11.3</v>
      </c>
      <c r="AI53" s="49">
        <f t="shared" si="3"/>
        <v>7.7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14.2</v>
      </c>
      <c r="C54" s="65">
        <v>14.2</v>
      </c>
      <c r="D54" s="65">
        <v>14.2</v>
      </c>
      <c r="E54" s="65">
        <v>0</v>
      </c>
      <c r="F54" s="65">
        <v>5.4</v>
      </c>
      <c r="G54" s="65">
        <v>5.4</v>
      </c>
      <c r="H54" s="65">
        <v>5.4</v>
      </c>
      <c r="I54" s="65">
        <v>5.4</v>
      </c>
      <c r="J54" s="65">
        <v>10.5</v>
      </c>
      <c r="K54" s="65">
        <v>10.5</v>
      </c>
      <c r="L54" s="65">
        <v>14.3</v>
      </c>
      <c r="M54" s="65">
        <v>14.3</v>
      </c>
      <c r="N54" s="65">
        <v>14.3</v>
      </c>
      <c r="O54" s="65">
        <v>14.3</v>
      </c>
      <c r="P54" s="65">
        <v>14.3</v>
      </c>
      <c r="Q54" s="65">
        <v>14.3</v>
      </c>
      <c r="R54" s="65">
        <v>14.3</v>
      </c>
      <c r="S54" s="65">
        <v>14.3</v>
      </c>
      <c r="T54" s="65">
        <v>14.3</v>
      </c>
      <c r="U54" s="65">
        <v>14.3</v>
      </c>
      <c r="V54" s="65">
        <v>14.3</v>
      </c>
      <c r="W54" s="65">
        <v>14.3</v>
      </c>
      <c r="X54" s="65">
        <v>14.3</v>
      </c>
      <c r="Y54" s="65">
        <v>14.3</v>
      </c>
      <c r="Z54" s="65">
        <v>14.3</v>
      </c>
      <c r="AA54" s="65">
        <v>14.3</v>
      </c>
      <c r="AB54" s="65">
        <v>14.3</v>
      </c>
      <c r="AC54" s="65">
        <v>14.3</v>
      </c>
      <c r="AD54" s="65">
        <v>14.3</v>
      </c>
      <c r="AE54" s="65">
        <v>14.4</v>
      </c>
      <c r="AF54" s="65">
        <v>12.3</v>
      </c>
      <c r="AG54" s="55">
        <v>14</v>
      </c>
      <c r="AH54" s="48">
        <f t="shared" si="2"/>
        <v>14.4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9</v>
      </c>
      <c r="C55" s="65">
        <v>9</v>
      </c>
      <c r="D55" s="65">
        <v>9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9</v>
      </c>
      <c r="S55" s="65">
        <v>9</v>
      </c>
      <c r="T55" s="65">
        <v>9</v>
      </c>
      <c r="U55" s="65">
        <v>9</v>
      </c>
      <c r="V55" s="65">
        <v>9</v>
      </c>
      <c r="W55" s="65">
        <v>9</v>
      </c>
      <c r="X55" s="65">
        <v>9</v>
      </c>
      <c r="Y55" s="65">
        <v>9</v>
      </c>
      <c r="Z55" s="65">
        <v>9</v>
      </c>
      <c r="AA55" s="65">
        <v>9</v>
      </c>
      <c r="AB55" s="65">
        <v>9</v>
      </c>
      <c r="AC55" s="65">
        <v>9</v>
      </c>
      <c r="AD55" s="65">
        <v>9</v>
      </c>
      <c r="AE55" s="65">
        <v>9</v>
      </c>
      <c r="AF55" s="65">
        <v>9</v>
      </c>
      <c r="AG55" s="55">
        <v>10.050000000000001</v>
      </c>
      <c r="AH55" s="48">
        <f t="shared" si="2"/>
        <v>9</v>
      </c>
      <c r="AI55" s="49">
        <f t="shared" si="3"/>
        <v>9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:AG58" si="6">SUM(B45:B57)</f>
        <v>316.64</v>
      </c>
      <c r="C58" s="61">
        <f t="shared" si="6"/>
        <v>301.44</v>
      </c>
      <c r="D58" s="61">
        <f t="shared" si="6"/>
        <v>275.44</v>
      </c>
      <c r="E58" s="61">
        <f t="shared" si="6"/>
        <v>176.23999999999998</v>
      </c>
      <c r="F58" s="61">
        <f t="shared" si="6"/>
        <v>248.64</v>
      </c>
      <c r="G58" s="61">
        <f t="shared" si="6"/>
        <v>275.64</v>
      </c>
      <c r="H58" s="61">
        <f t="shared" si="6"/>
        <v>276.64</v>
      </c>
      <c r="I58" s="61">
        <f t="shared" si="6"/>
        <v>294.73999999999995</v>
      </c>
      <c r="J58" s="61">
        <f t="shared" si="6"/>
        <v>305.83999999999997</v>
      </c>
      <c r="K58" s="61">
        <f t="shared" si="6"/>
        <v>306.83999999999997</v>
      </c>
      <c r="L58" s="61">
        <f t="shared" si="6"/>
        <v>310.74</v>
      </c>
      <c r="M58" s="61">
        <f t="shared" si="6"/>
        <v>336.54</v>
      </c>
      <c r="N58" s="61">
        <f t="shared" si="6"/>
        <v>305.44000000000005</v>
      </c>
      <c r="O58" s="61">
        <f t="shared" si="6"/>
        <v>305.44000000000005</v>
      </c>
      <c r="P58" s="61">
        <f t="shared" si="6"/>
        <v>310.34000000000003</v>
      </c>
      <c r="Q58" s="61">
        <f t="shared" si="6"/>
        <v>307.04000000000002</v>
      </c>
      <c r="R58" s="61">
        <f t="shared" si="6"/>
        <v>307.04000000000002</v>
      </c>
      <c r="S58" s="61">
        <f t="shared" si="6"/>
        <v>306.44000000000005</v>
      </c>
      <c r="T58" s="61">
        <f t="shared" si="6"/>
        <v>306.44000000000005</v>
      </c>
      <c r="U58" s="61">
        <f t="shared" si="6"/>
        <v>329.24</v>
      </c>
      <c r="V58" s="61">
        <f t="shared" si="6"/>
        <v>329.24</v>
      </c>
      <c r="W58" s="61">
        <f t="shared" si="6"/>
        <v>376.44</v>
      </c>
      <c r="X58" s="61">
        <f t="shared" si="6"/>
        <v>376.44</v>
      </c>
      <c r="Y58" s="61">
        <f t="shared" si="6"/>
        <v>376.44</v>
      </c>
      <c r="Z58" s="61">
        <f t="shared" si="6"/>
        <v>376.44</v>
      </c>
      <c r="AA58" s="61">
        <f t="shared" si="6"/>
        <v>379.53999999999996</v>
      </c>
      <c r="AB58" s="61">
        <f t="shared" si="6"/>
        <v>377.03999999999996</v>
      </c>
      <c r="AC58" s="61">
        <f t="shared" si="6"/>
        <v>369.14</v>
      </c>
      <c r="AD58" s="61">
        <f t="shared" si="6"/>
        <v>369.14</v>
      </c>
      <c r="AE58" s="61">
        <f t="shared" si="6"/>
        <v>342.84</v>
      </c>
      <c r="AF58" s="61">
        <f t="shared" si="6"/>
        <v>305.74</v>
      </c>
      <c r="AG58" s="62">
        <f t="shared" si="6"/>
        <v>489.91</v>
      </c>
      <c r="AH58" s="48">
        <f t="shared" si="2"/>
        <v>379.53999999999996</v>
      </c>
      <c r="AI58" s="49">
        <f t="shared" si="3"/>
        <v>176.23999999999998</v>
      </c>
      <c r="AK58" s="50"/>
    </row>
    <row r="59" spans="1:41" x14ac:dyDescent="0.25">
      <c r="A59" s="44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1.5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67">
        <v>0</v>
      </c>
      <c r="AB61" s="67">
        <v>0</v>
      </c>
      <c r="AC61" s="67">
        <v>0</v>
      </c>
      <c r="AD61" s="67">
        <v>0</v>
      </c>
      <c r="AE61" s="67">
        <v>0</v>
      </c>
      <c r="AF61" s="67">
        <v>0</v>
      </c>
      <c r="AG61" s="68">
        <v>14</v>
      </c>
      <c r="AH61" s="48">
        <f t="shared" si="2"/>
        <v>1.5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AG62" si="7">SUM(B59:B61)</f>
        <v>0</v>
      </c>
      <c r="C62" s="61">
        <f t="shared" si="7"/>
        <v>0</v>
      </c>
      <c r="D62" s="61">
        <f t="shared" si="7"/>
        <v>0</v>
      </c>
      <c r="E62" s="61">
        <f t="shared" si="7"/>
        <v>0</v>
      </c>
      <c r="F62" s="61">
        <f t="shared" si="7"/>
        <v>0</v>
      </c>
      <c r="G62" s="61">
        <f t="shared" si="7"/>
        <v>0</v>
      </c>
      <c r="H62" s="61">
        <f t="shared" si="7"/>
        <v>1.5</v>
      </c>
      <c r="I62" s="61">
        <f t="shared" si="7"/>
        <v>0</v>
      </c>
      <c r="J62" s="61">
        <f t="shared" si="7"/>
        <v>0</v>
      </c>
      <c r="K62" s="61">
        <f t="shared" si="7"/>
        <v>0</v>
      </c>
      <c r="L62" s="61">
        <f t="shared" si="7"/>
        <v>0</v>
      </c>
      <c r="M62" s="61">
        <f t="shared" si="7"/>
        <v>0</v>
      </c>
      <c r="N62" s="61">
        <f t="shared" si="7"/>
        <v>0</v>
      </c>
      <c r="O62" s="61">
        <f t="shared" si="7"/>
        <v>0</v>
      </c>
      <c r="P62" s="61">
        <f t="shared" si="7"/>
        <v>0</v>
      </c>
      <c r="Q62" s="61">
        <f t="shared" si="7"/>
        <v>0</v>
      </c>
      <c r="R62" s="61">
        <f t="shared" si="7"/>
        <v>0</v>
      </c>
      <c r="S62" s="61">
        <f t="shared" si="7"/>
        <v>0</v>
      </c>
      <c r="T62" s="61">
        <f t="shared" si="7"/>
        <v>0</v>
      </c>
      <c r="U62" s="61">
        <f t="shared" si="7"/>
        <v>0</v>
      </c>
      <c r="V62" s="61">
        <f t="shared" si="7"/>
        <v>0</v>
      </c>
      <c r="W62" s="61">
        <f t="shared" si="7"/>
        <v>0</v>
      </c>
      <c r="X62" s="61">
        <f t="shared" si="7"/>
        <v>0</v>
      </c>
      <c r="Y62" s="61">
        <f t="shared" si="7"/>
        <v>0</v>
      </c>
      <c r="Z62" s="61">
        <f t="shared" si="7"/>
        <v>0</v>
      </c>
      <c r="AA62" s="61">
        <f t="shared" si="7"/>
        <v>0</v>
      </c>
      <c r="AB62" s="61">
        <f t="shared" si="7"/>
        <v>0</v>
      </c>
      <c r="AC62" s="61">
        <f t="shared" si="7"/>
        <v>0</v>
      </c>
      <c r="AD62" s="61">
        <f t="shared" si="7"/>
        <v>0</v>
      </c>
      <c r="AE62" s="61">
        <f t="shared" si="7"/>
        <v>0</v>
      </c>
      <c r="AF62" s="61">
        <f t="shared" si="7"/>
        <v>0</v>
      </c>
      <c r="AG62" s="62">
        <f t="shared" si="7"/>
        <v>106</v>
      </c>
      <c r="AH62" s="48">
        <f t="shared" si="2"/>
        <v>1.5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13.7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13.7</v>
      </c>
      <c r="AI63" s="49">
        <f t="shared" si="3"/>
        <v>0</v>
      </c>
      <c r="AK63" s="50"/>
    </row>
    <row r="64" spans="1:41" x14ac:dyDescent="0.25">
      <c r="A64" s="54" t="s">
        <v>72</v>
      </c>
      <c r="B64" s="45">
        <v>0</v>
      </c>
      <c r="C64" s="45">
        <v>0</v>
      </c>
      <c r="D64" s="4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45">
        <v>-389</v>
      </c>
      <c r="C65" s="45">
        <v>-414</v>
      </c>
      <c r="D65" s="45">
        <v>-425</v>
      </c>
      <c r="E65" s="65">
        <v>-370</v>
      </c>
      <c r="F65" s="65">
        <v>-380</v>
      </c>
      <c r="G65" s="65">
        <v>-365</v>
      </c>
      <c r="H65" s="65">
        <v>-363</v>
      </c>
      <c r="I65" s="65">
        <v>-358</v>
      </c>
      <c r="J65" s="65">
        <v>-368</v>
      </c>
      <c r="K65" s="65">
        <v>-350</v>
      </c>
      <c r="L65" s="65">
        <v>-350</v>
      </c>
      <c r="M65" s="65">
        <v>-382</v>
      </c>
      <c r="N65" s="65">
        <v>-374.6</v>
      </c>
      <c r="O65" s="65">
        <v>-370</v>
      </c>
      <c r="P65" s="65">
        <v>-355.2</v>
      </c>
      <c r="Q65" s="65">
        <v>-371</v>
      </c>
      <c r="R65" s="65">
        <v>-375.1</v>
      </c>
      <c r="S65" s="65">
        <v>-258</v>
      </c>
      <c r="T65" s="65">
        <v>-308</v>
      </c>
      <c r="U65" s="65">
        <v>-367</v>
      </c>
      <c r="V65" s="65">
        <v>-393</v>
      </c>
      <c r="W65" s="65">
        <v>-348</v>
      </c>
      <c r="X65" s="65">
        <v>-278</v>
      </c>
      <c r="Y65" s="65">
        <v>-286</v>
      </c>
      <c r="Z65" s="65">
        <v>-400</v>
      </c>
      <c r="AA65" s="65">
        <v>-386</v>
      </c>
      <c r="AB65" s="65">
        <v>-365.6</v>
      </c>
      <c r="AC65" s="65">
        <v>-373</v>
      </c>
      <c r="AD65" s="65">
        <v>-373</v>
      </c>
      <c r="AE65" s="65">
        <v>-364</v>
      </c>
      <c r="AF65" s="65">
        <v>-365</v>
      </c>
      <c r="AG65" s="75"/>
      <c r="AH65" s="48">
        <f t="shared" si="2"/>
        <v>-258</v>
      </c>
      <c r="AI65" s="49">
        <f t="shared" si="3"/>
        <v>-425</v>
      </c>
      <c r="AK65" s="50"/>
    </row>
    <row r="66" spans="1:37" x14ac:dyDescent="0.25">
      <c r="A66" s="54" t="s">
        <v>74</v>
      </c>
      <c r="B66" s="45">
        <v>0</v>
      </c>
      <c r="C66" s="45">
        <v>0</v>
      </c>
      <c r="D66" s="45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45">
        <v>0</v>
      </c>
      <c r="C68" s="45">
        <v>0</v>
      </c>
      <c r="D68" s="45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45">
        <v>0</v>
      </c>
      <c r="C69" s="45">
        <v>0</v>
      </c>
      <c r="D69" s="45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45">
        <v>0</v>
      </c>
      <c r="C70" s="45">
        <v>0</v>
      </c>
      <c r="D70" s="45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45">
        <v>0</v>
      </c>
      <c r="C71" s="45">
        <v>0</v>
      </c>
      <c r="D71" s="45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45">
        <v>0</v>
      </c>
      <c r="C72" s="45">
        <v>0</v>
      </c>
      <c r="D72" s="45">
        <v>0</v>
      </c>
      <c r="E72" s="76">
        <v>0</v>
      </c>
      <c r="F72" s="76">
        <v>0</v>
      </c>
      <c r="G72" s="76">
        <v>0</v>
      </c>
      <c r="H72" s="76">
        <v>0</v>
      </c>
      <c r="I72" s="76">
        <v>0</v>
      </c>
      <c r="J72" s="76">
        <v>0</v>
      </c>
      <c r="K72" s="76">
        <v>0</v>
      </c>
      <c r="L72" s="76">
        <v>0</v>
      </c>
      <c r="M72" s="76">
        <v>0</v>
      </c>
      <c r="N72" s="76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45">
        <v>0</v>
      </c>
      <c r="C73" s="45">
        <v>0</v>
      </c>
      <c r="D73" s="45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:AF74" si="8">SUMIF(B63:B73,"&gt;0")</f>
        <v>0</v>
      </c>
      <c r="C74" s="61">
        <f t="shared" si="8"/>
        <v>0</v>
      </c>
      <c r="D74" s="61">
        <f t="shared" si="8"/>
        <v>0</v>
      </c>
      <c r="E74" s="61">
        <f t="shared" si="8"/>
        <v>0</v>
      </c>
      <c r="F74" s="61">
        <f t="shared" si="8"/>
        <v>0</v>
      </c>
      <c r="G74" s="61">
        <f t="shared" si="8"/>
        <v>0</v>
      </c>
      <c r="H74" s="61">
        <f t="shared" si="8"/>
        <v>0</v>
      </c>
      <c r="I74" s="61">
        <f t="shared" si="8"/>
        <v>0</v>
      </c>
      <c r="J74" s="61">
        <f t="shared" si="8"/>
        <v>0</v>
      </c>
      <c r="K74" s="61">
        <f t="shared" si="8"/>
        <v>0</v>
      </c>
      <c r="L74" s="61">
        <f t="shared" si="8"/>
        <v>0</v>
      </c>
      <c r="M74" s="61">
        <f t="shared" si="8"/>
        <v>0</v>
      </c>
      <c r="N74" s="61">
        <f t="shared" si="8"/>
        <v>0</v>
      </c>
      <c r="O74" s="61">
        <f t="shared" si="8"/>
        <v>0</v>
      </c>
      <c r="P74" s="61">
        <f t="shared" si="8"/>
        <v>0</v>
      </c>
      <c r="Q74" s="61">
        <f t="shared" si="8"/>
        <v>0</v>
      </c>
      <c r="R74" s="61">
        <f t="shared" si="8"/>
        <v>0</v>
      </c>
      <c r="S74" s="61">
        <f t="shared" si="8"/>
        <v>0</v>
      </c>
      <c r="T74" s="61">
        <f t="shared" si="8"/>
        <v>0</v>
      </c>
      <c r="U74" s="61">
        <f t="shared" si="8"/>
        <v>0</v>
      </c>
      <c r="V74" s="61">
        <f t="shared" si="8"/>
        <v>0</v>
      </c>
      <c r="W74" s="61">
        <f t="shared" si="8"/>
        <v>0</v>
      </c>
      <c r="X74" s="61">
        <f t="shared" si="8"/>
        <v>0</v>
      </c>
      <c r="Y74" s="61">
        <f t="shared" si="8"/>
        <v>0</v>
      </c>
      <c r="Z74" s="61">
        <f t="shared" si="8"/>
        <v>13.7</v>
      </c>
      <c r="AA74" s="61">
        <f t="shared" si="8"/>
        <v>0</v>
      </c>
      <c r="AB74" s="61">
        <f t="shared" si="8"/>
        <v>0</v>
      </c>
      <c r="AC74" s="61">
        <f t="shared" si="8"/>
        <v>0</v>
      </c>
      <c r="AD74" s="61">
        <f t="shared" si="8"/>
        <v>0</v>
      </c>
      <c r="AE74" s="61">
        <f t="shared" si="8"/>
        <v>0</v>
      </c>
      <c r="AF74" s="61">
        <f t="shared" si="8"/>
        <v>0</v>
      </c>
      <c r="AG74" s="81">
        <f>SUM(AG63:AG73)</f>
        <v>0</v>
      </c>
      <c r="AH74" s="48">
        <f t="shared" si="2"/>
        <v>13.7</v>
      </c>
      <c r="AI74" s="49">
        <f t="shared" si="3"/>
        <v>0</v>
      </c>
      <c r="AK74" s="50"/>
    </row>
    <row r="75" spans="1:37" x14ac:dyDescent="0.25">
      <c r="A75" s="44" t="s">
        <v>83</v>
      </c>
      <c r="B75" s="76">
        <v>0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6">
        <v>0</v>
      </c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75">
        <v>14.4</v>
      </c>
      <c r="AH76" s="48">
        <f t="shared" ref="AH76:AH109" si="9">MAX(B76:AF76)</f>
        <v>0</v>
      </c>
      <c r="AI76" s="49">
        <f t="shared" ref="AI76:AI109" si="10">MIN(B76:AF76)</f>
        <v>0</v>
      </c>
      <c r="AK76" s="50"/>
    </row>
    <row r="77" spans="1:37" ht="15.75" thickBot="1" x14ac:dyDescent="0.3">
      <c r="A77" s="78" t="s">
        <v>85</v>
      </c>
      <c r="B77" s="76">
        <v>0</v>
      </c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>
        <v>0</v>
      </c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79">
        <v>0</v>
      </c>
      <c r="AC77" s="79">
        <v>0</v>
      </c>
      <c r="AD77" s="79">
        <v>0</v>
      </c>
      <c r="AE77" s="79">
        <v>0</v>
      </c>
      <c r="AF77" s="79">
        <v>0</v>
      </c>
      <c r="AG77" s="80">
        <v>2</v>
      </c>
      <c r="AH77" s="48">
        <f t="shared" si="9"/>
        <v>0</v>
      </c>
      <c r="AI77" s="49">
        <f t="shared" si="10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9"/>
        <v>0</v>
      </c>
      <c r="AI78" s="49">
        <f t="shared" si="10"/>
        <v>0</v>
      </c>
    </row>
    <row r="79" spans="1:37" ht="15.75" thickBot="1" x14ac:dyDescent="0.3">
      <c r="A79" s="74" t="s">
        <v>87</v>
      </c>
      <c r="B79" s="83">
        <f t="shared" ref="B79:AG79" si="11">B40+B44+B62+B58+B74+B78</f>
        <v>1429.54</v>
      </c>
      <c r="C79" s="83">
        <f t="shared" si="11"/>
        <v>1425.3400000000001</v>
      </c>
      <c r="D79" s="83">
        <f t="shared" si="11"/>
        <v>1404.3400000000001</v>
      </c>
      <c r="E79" s="83">
        <f t="shared" si="11"/>
        <v>1265.1400000000001</v>
      </c>
      <c r="F79" s="83">
        <f t="shared" si="11"/>
        <v>1337.54</v>
      </c>
      <c r="G79" s="83">
        <f t="shared" si="11"/>
        <v>1355.54</v>
      </c>
      <c r="H79" s="83">
        <f t="shared" si="11"/>
        <v>1378.04</v>
      </c>
      <c r="I79" s="83">
        <f t="shared" si="11"/>
        <v>1449.34</v>
      </c>
      <c r="J79" s="83">
        <f t="shared" si="11"/>
        <v>1505.4399999999998</v>
      </c>
      <c r="K79" s="83">
        <f t="shared" si="11"/>
        <v>1546.4399999999998</v>
      </c>
      <c r="L79" s="83">
        <f t="shared" si="11"/>
        <v>1594.54</v>
      </c>
      <c r="M79" s="83">
        <f t="shared" si="11"/>
        <v>1585.34</v>
      </c>
      <c r="N79" s="83">
        <f t="shared" si="11"/>
        <v>1569.54</v>
      </c>
      <c r="O79" s="83">
        <f t="shared" si="11"/>
        <v>1564.54</v>
      </c>
      <c r="P79" s="83">
        <f t="shared" si="11"/>
        <v>1535.2400000000002</v>
      </c>
      <c r="Q79" s="83">
        <f t="shared" si="11"/>
        <v>1583.44</v>
      </c>
      <c r="R79" s="83">
        <f t="shared" si="11"/>
        <v>1540.04</v>
      </c>
      <c r="S79" s="83">
        <f t="shared" si="11"/>
        <v>1471.44</v>
      </c>
      <c r="T79" s="83">
        <f t="shared" si="11"/>
        <v>1471.44</v>
      </c>
      <c r="U79" s="83">
        <f t="shared" si="11"/>
        <v>1535.14</v>
      </c>
      <c r="V79" s="83">
        <f t="shared" si="11"/>
        <v>1532.84</v>
      </c>
      <c r="W79" s="83">
        <f t="shared" si="11"/>
        <v>1584.04</v>
      </c>
      <c r="X79" s="83">
        <f t="shared" si="11"/>
        <v>1630.04</v>
      </c>
      <c r="Y79" s="83">
        <f t="shared" si="11"/>
        <v>1670.04</v>
      </c>
      <c r="Z79" s="83">
        <f t="shared" si="11"/>
        <v>1683.74</v>
      </c>
      <c r="AA79" s="83">
        <f t="shared" si="11"/>
        <v>1630.6399999999999</v>
      </c>
      <c r="AB79" s="83">
        <f t="shared" si="11"/>
        <v>1584.44</v>
      </c>
      <c r="AC79" s="83">
        <f t="shared" si="11"/>
        <v>1474.3400000000001</v>
      </c>
      <c r="AD79" s="83">
        <f t="shared" si="11"/>
        <v>1474.3400000000001</v>
      </c>
      <c r="AE79" s="83">
        <f t="shared" si="11"/>
        <v>1414.04</v>
      </c>
      <c r="AF79" s="83">
        <f t="shared" si="11"/>
        <v>1406.94</v>
      </c>
      <c r="AG79" s="62">
        <f t="shared" si="11"/>
        <v>1897.1900000000003</v>
      </c>
      <c r="AH79" s="48">
        <f t="shared" si="9"/>
        <v>1683.74</v>
      </c>
      <c r="AI79" s="49">
        <f t="shared" si="10"/>
        <v>1265.1400000000001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9"/>
        <v>0</v>
      </c>
      <c r="AI80" s="49">
        <f t="shared" si="10"/>
        <v>0</v>
      </c>
    </row>
    <row r="81" spans="1:37" ht="15.75" thickBot="1" x14ac:dyDescent="0.3">
      <c r="A81" s="74" t="s">
        <v>89</v>
      </c>
      <c r="B81" s="83">
        <f t="shared" ref="B81:AF81" si="12">B79+B80</f>
        <v>1429.54</v>
      </c>
      <c r="C81" s="83">
        <f t="shared" si="12"/>
        <v>1425.3400000000001</v>
      </c>
      <c r="D81" s="83">
        <f t="shared" si="12"/>
        <v>1404.3400000000001</v>
      </c>
      <c r="E81" s="83">
        <f t="shared" si="12"/>
        <v>1265.1400000000001</v>
      </c>
      <c r="F81" s="83">
        <f t="shared" si="12"/>
        <v>1337.54</v>
      </c>
      <c r="G81" s="83">
        <f t="shared" si="12"/>
        <v>1355.54</v>
      </c>
      <c r="H81" s="83">
        <f t="shared" si="12"/>
        <v>1378.04</v>
      </c>
      <c r="I81" s="83">
        <f t="shared" si="12"/>
        <v>1449.34</v>
      </c>
      <c r="J81" s="83">
        <f t="shared" si="12"/>
        <v>1505.4399999999998</v>
      </c>
      <c r="K81" s="83">
        <f t="shared" si="12"/>
        <v>1546.4399999999998</v>
      </c>
      <c r="L81" s="83">
        <f t="shared" si="12"/>
        <v>1594.54</v>
      </c>
      <c r="M81" s="83">
        <f t="shared" si="12"/>
        <v>1585.34</v>
      </c>
      <c r="N81" s="83">
        <f t="shared" si="12"/>
        <v>1569.54</v>
      </c>
      <c r="O81" s="83">
        <f t="shared" si="12"/>
        <v>1564.54</v>
      </c>
      <c r="P81" s="83">
        <f t="shared" si="12"/>
        <v>1535.2400000000002</v>
      </c>
      <c r="Q81" s="83">
        <f t="shared" si="12"/>
        <v>1583.44</v>
      </c>
      <c r="R81" s="83">
        <f t="shared" si="12"/>
        <v>1540.04</v>
      </c>
      <c r="S81" s="83">
        <f t="shared" si="12"/>
        <v>1471.44</v>
      </c>
      <c r="T81" s="83">
        <f t="shared" si="12"/>
        <v>1471.44</v>
      </c>
      <c r="U81" s="83">
        <f t="shared" si="12"/>
        <v>1535.14</v>
      </c>
      <c r="V81" s="83">
        <f t="shared" si="12"/>
        <v>1532.84</v>
      </c>
      <c r="W81" s="83">
        <f t="shared" si="12"/>
        <v>1584.04</v>
      </c>
      <c r="X81" s="83">
        <f t="shared" si="12"/>
        <v>1630.04</v>
      </c>
      <c r="Y81" s="83">
        <f t="shared" si="12"/>
        <v>1670.04</v>
      </c>
      <c r="Z81" s="83">
        <f t="shared" si="12"/>
        <v>1683.74</v>
      </c>
      <c r="AA81" s="83">
        <f t="shared" si="12"/>
        <v>1630.6399999999999</v>
      </c>
      <c r="AB81" s="83">
        <f t="shared" si="12"/>
        <v>1584.44</v>
      </c>
      <c r="AC81" s="83">
        <f t="shared" si="12"/>
        <v>1474.3400000000001</v>
      </c>
      <c r="AD81" s="83">
        <f t="shared" si="12"/>
        <v>1474.3400000000001</v>
      </c>
      <c r="AE81" s="83">
        <f t="shared" si="12"/>
        <v>1414.04</v>
      </c>
      <c r="AF81" s="83">
        <f t="shared" si="12"/>
        <v>1406.94</v>
      </c>
      <c r="AG81" s="81">
        <f>AG78+AG74+AG62+AG58+AG40+AG80</f>
        <v>1359.0900000000001</v>
      </c>
      <c r="AH81" s="48">
        <f t="shared" si="9"/>
        <v>1683.74</v>
      </c>
      <c r="AI81" s="49">
        <f t="shared" si="10"/>
        <v>1265.1400000000001</v>
      </c>
    </row>
    <row r="82" spans="1:37" ht="15.75" thickBot="1" x14ac:dyDescent="0.3">
      <c r="A82" s="74" t="s">
        <v>90</v>
      </c>
      <c r="B82" s="83">
        <f t="shared" ref="B82:AF82" si="13">B81-B89</f>
        <v>1040.54</v>
      </c>
      <c r="C82" s="83">
        <f t="shared" si="13"/>
        <v>1011.3400000000001</v>
      </c>
      <c r="D82" s="83">
        <f t="shared" si="13"/>
        <v>979.34000000000015</v>
      </c>
      <c r="E82" s="83">
        <f t="shared" si="13"/>
        <v>895.1400000000001</v>
      </c>
      <c r="F82" s="83">
        <f t="shared" si="13"/>
        <v>957.54</v>
      </c>
      <c r="G82" s="83">
        <f t="shared" si="13"/>
        <v>990.54</v>
      </c>
      <c r="H82" s="83">
        <f t="shared" si="13"/>
        <v>1015.04</v>
      </c>
      <c r="I82" s="83">
        <f t="shared" si="13"/>
        <v>1091.3399999999999</v>
      </c>
      <c r="J82" s="83">
        <f t="shared" si="13"/>
        <v>1137.4399999999998</v>
      </c>
      <c r="K82" s="83">
        <f t="shared" si="13"/>
        <v>1196.4399999999998</v>
      </c>
      <c r="L82" s="83">
        <f t="shared" si="13"/>
        <v>1244.54</v>
      </c>
      <c r="M82" s="83">
        <f t="shared" si="13"/>
        <v>1203.3399999999999</v>
      </c>
      <c r="N82" s="83">
        <f t="shared" si="13"/>
        <v>1194.94</v>
      </c>
      <c r="O82" s="83">
        <f t="shared" si="13"/>
        <v>1194.54</v>
      </c>
      <c r="P82" s="83">
        <f t="shared" si="13"/>
        <v>1180.0400000000002</v>
      </c>
      <c r="Q82" s="83">
        <f t="shared" si="13"/>
        <v>1212.44</v>
      </c>
      <c r="R82" s="83">
        <f t="shared" si="13"/>
        <v>1164.94</v>
      </c>
      <c r="S82" s="83">
        <f t="shared" si="13"/>
        <v>1213.44</v>
      </c>
      <c r="T82" s="83">
        <f t="shared" si="13"/>
        <v>1163.44</v>
      </c>
      <c r="U82" s="83">
        <f t="shared" si="13"/>
        <v>1168.1400000000001</v>
      </c>
      <c r="V82" s="83">
        <f t="shared" si="13"/>
        <v>1139.8399999999999</v>
      </c>
      <c r="W82" s="83">
        <f t="shared" si="13"/>
        <v>1236.04</v>
      </c>
      <c r="X82" s="83">
        <f t="shared" si="13"/>
        <v>1352.04</v>
      </c>
      <c r="Y82" s="83">
        <f t="shared" si="13"/>
        <v>1384.04</v>
      </c>
      <c r="Z82" s="83">
        <f t="shared" si="13"/>
        <v>1283.74</v>
      </c>
      <c r="AA82" s="83">
        <f t="shared" si="13"/>
        <v>1244.6399999999999</v>
      </c>
      <c r="AB82" s="83">
        <f t="shared" si="13"/>
        <v>1218.8400000000001</v>
      </c>
      <c r="AC82" s="83">
        <f t="shared" si="13"/>
        <v>1101.3400000000001</v>
      </c>
      <c r="AD82" s="83">
        <f t="shared" si="13"/>
        <v>1101.3400000000001</v>
      </c>
      <c r="AE82" s="83">
        <f t="shared" si="13"/>
        <v>1050.04</v>
      </c>
      <c r="AF82" s="83">
        <f t="shared" si="13"/>
        <v>1041.94</v>
      </c>
      <c r="AG82" s="81"/>
      <c r="AH82" s="48">
        <f t="shared" si="9"/>
        <v>1384.04</v>
      </c>
      <c r="AI82" s="49">
        <f t="shared" si="10"/>
        <v>895.1400000000001</v>
      </c>
    </row>
    <row r="83" spans="1:37" x14ac:dyDescent="0.25">
      <c r="A83" s="44" t="s">
        <v>74</v>
      </c>
      <c r="B83" s="76">
        <f t="shared" ref="B83:AF83" si="14">IF(B66&lt;0,B66*-1,0)</f>
        <v>0</v>
      </c>
      <c r="C83" s="76">
        <f t="shared" si="14"/>
        <v>0</v>
      </c>
      <c r="D83" s="76">
        <f t="shared" si="14"/>
        <v>0</v>
      </c>
      <c r="E83" s="76">
        <f t="shared" si="14"/>
        <v>0</v>
      </c>
      <c r="F83" s="76">
        <f t="shared" si="14"/>
        <v>0</v>
      </c>
      <c r="G83" s="76">
        <f t="shared" si="14"/>
        <v>0</v>
      </c>
      <c r="H83" s="76">
        <f t="shared" si="14"/>
        <v>0</v>
      </c>
      <c r="I83" s="76">
        <f t="shared" si="14"/>
        <v>0</v>
      </c>
      <c r="J83" s="76">
        <f t="shared" si="14"/>
        <v>0</v>
      </c>
      <c r="K83" s="76">
        <f t="shared" si="14"/>
        <v>0</v>
      </c>
      <c r="L83" s="76">
        <f t="shared" si="14"/>
        <v>0</v>
      </c>
      <c r="M83" s="76">
        <f t="shared" si="14"/>
        <v>0</v>
      </c>
      <c r="N83" s="76">
        <f t="shared" si="14"/>
        <v>0</v>
      </c>
      <c r="O83" s="76">
        <f t="shared" si="14"/>
        <v>0</v>
      </c>
      <c r="P83" s="76">
        <f t="shared" si="14"/>
        <v>0</v>
      </c>
      <c r="Q83" s="76">
        <f t="shared" si="14"/>
        <v>0</v>
      </c>
      <c r="R83" s="76">
        <f t="shared" si="14"/>
        <v>0</v>
      </c>
      <c r="S83" s="76">
        <f t="shared" si="14"/>
        <v>0</v>
      </c>
      <c r="T83" s="76">
        <f t="shared" si="14"/>
        <v>0</v>
      </c>
      <c r="U83" s="76">
        <f t="shared" si="14"/>
        <v>0</v>
      </c>
      <c r="V83" s="76">
        <f t="shared" si="14"/>
        <v>0</v>
      </c>
      <c r="W83" s="76">
        <f t="shared" si="14"/>
        <v>0</v>
      </c>
      <c r="X83" s="76">
        <f t="shared" si="14"/>
        <v>0</v>
      </c>
      <c r="Y83" s="76">
        <f t="shared" si="14"/>
        <v>0</v>
      </c>
      <c r="Z83" s="76">
        <f t="shared" si="14"/>
        <v>0</v>
      </c>
      <c r="AA83" s="76">
        <f t="shared" si="14"/>
        <v>0</v>
      </c>
      <c r="AB83" s="76">
        <f t="shared" si="14"/>
        <v>0</v>
      </c>
      <c r="AC83" s="76">
        <f t="shared" si="14"/>
        <v>0</v>
      </c>
      <c r="AD83" s="76">
        <f t="shared" si="14"/>
        <v>0</v>
      </c>
      <c r="AE83" s="76">
        <f t="shared" si="14"/>
        <v>0</v>
      </c>
      <c r="AF83" s="76">
        <f t="shared" si="14"/>
        <v>0</v>
      </c>
      <c r="AG83" s="52"/>
      <c r="AH83" s="48">
        <f t="shared" si="9"/>
        <v>0</v>
      </c>
      <c r="AI83" s="49">
        <f t="shared" si="10"/>
        <v>0</v>
      </c>
    </row>
    <row r="84" spans="1:37" x14ac:dyDescent="0.25">
      <c r="A84" s="54" t="s">
        <v>72</v>
      </c>
      <c r="B84" s="76">
        <f t="shared" ref="B84:AF84" si="15">IF(B64&lt;0,B64*-1,0)</f>
        <v>0</v>
      </c>
      <c r="C84" s="76">
        <f t="shared" si="15"/>
        <v>0</v>
      </c>
      <c r="D84" s="76">
        <f t="shared" si="15"/>
        <v>0</v>
      </c>
      <c r="E84" s="76">
        <f t="shared" si="15"/>
        <v>0</v>
      </c>
      <c r="F84" s="76">
        <f t="shared" si="15"/>
        <v>0</v>
      </c>
      <c r="G84" s="76">
        <f t="shared" si="15"/>
        <v>0</v>
      </c>
      <c r="H84" s="76">
        <f t="shared" si="15"/>
        <v>0</v>
      </c>
      <c r="I84" s="76">
        <f t="shared" si="15"/>
        <v>0</v>
      </c>
      <c r="J84" s="76">
        <f t="shared" si="15"/>
        <v>0</v>
      </c>
      <c r="K84" s="76">
        <f t="shared" si="15"/>
        <v>0</v>
      </c>
      <c r="L84" s="76">
        <f t="shared" si="15"/>
        <v>0</v>
      </c>
      <c r="M84" s="76">
        <f t="shared" si="15"/>
        <v>0</v>
      </c>
      <c r="N84" s="76">
        <f t="shared" si="15"/>
        <v>0</v>
      </c>
      <c r="O84" s="76">
        <f t="shared" si="15"/>
        <v>0</v>
      </c>
      <c r="P84" s="76">
        <f t="shared" si="15"/>
        <v>0</v>
      </c>
      <c r="Q84" s="76">
        <f t="shared" si="15"/>
        <v>0</v>
      </c>
      <c r="R84" s="76">
        <f t="shared" si="15"/>
        <v>0</v>
      </c>
      <c r="S84" s="76">
        <f t="shared" si="15"/>
        <v>0</v>
      </c>
      <c r="T84" s="76">
        <f t="shared" si="15"/>
        <v>0</v>
      </c>
      <c r="U84" s="76">
        <f t="shared" si="15"/>
        <v>0</v>
      </c>
      <c r="V84" s="76">
        <f t="shared" si="15"/>
        <v>0</v>
      </c>
      <c r="W84" s="76">
        <f t="shared" si="15"/>
        <v>0</v>
      </c>
      <c r="X84" s="76">
        <f t="shared" si="15"/>
        <v>0</v>
      </c>
      <c r="Y84" s="76">
        <f t="shared" si="15"/>
        <v>0</v>
      </c>
      <c r="Z84" s="76">
        <f t="shared" si="15"/>
        <v>0</v>
      </c>
      <c r="AA84" s="76">
        <f t="shared" si="15"/>
        <v>0</v>
      </c>
      <c r="AB84" s="76">
        <f t="shared" si="15"/>
        <v>0</v>
      </c>
      <c r="AC84" s="76">
        <f t="shared" si="15"/>
        <v>0</v>
      </c>
      <c r="AD84" s="76">
        <f t="shared" si="15"/>
        <v>0</v>
      </c>
      <c r="AE84" s="76">
        <f t="shared" si="15"/>
        <v>0</v>
      </c>
      <c r="AF84" s="76">
        <f t="shared" si="15"/>
        <v>0</v>
      </c>
      <c r="AG84" s="55"/>
      <c r="AH84" s="48">
        <f t="shared" si="9"/>
        <v>0</v>
      </c>
      <c r="AI84" s="49">
        <f t="shared" si="10"/>
        <v>0</v>
      </c>
    </row>
    <row r="85" spans="1:37" x14ac:dyDescent="0.25">
      <c r="A85" s="78" t="s">
        <v>91</v>
      </c>
      <c r="B85" s="76">
        <f t="shared" ref="B85:AF85" si="16">IF(B67&lt;0,B67*-1,0)</f>
        <v>0</v>
      </c>
      <c r="C85" s="76">
        <f t="shared" si="16"/>
        <v>0</v>
      </c>
      <c r="D85" s="76">
        <f t="shared" si="16"/>
        <v>0</v>
      </c>
      <c r="E85" s="76">
        <f t="shared" si="16"/>
        <v>0</v>
      </c>
      <c r="F85" s="76">
        <f t="shared" si="16"/>
        <v>0</v>
      </c>
      <c r="G85" s="76">
        <f t="shared" si="16"/>
        <v>0</v>
      </c>
      <c r="H85" s="76">
        <f t="shared" si="16"/>
        <v>0</v>
      </c>
      <c r="I85" s="76">
        <f t="shared" si="16"/>
        <v>0</v>
      </c>
      <c r="J85" s="76">
        <f t="shared" si="16"/>
        <v>0</v>
      </c>
      <c r="K85" s="76">
        <f t="shared" si="16"/>
        <v>0</v>
      </c>
      <c r="L85" s="76">
        <f t="shared" si="16"/>
        <v>0</v>
      </c>
      <c r="M85" s="76">
        <f t="shared" si="16"/>
        <v>0</v>
      </c>
      <c r="N85" s="76">
        <f t="shared" si="16"/>
        <v>0</v>
      </c>
      <c r="O85" s="76">
        <f t="shared" si="16"/>
        <v>0</v>
      </c>
      <c r="P85" s="76">
        <f t="shared" si="16"/>
        <v>0</v>
      </c>
      <c r="Q85" s="76">
        <f t="shared" si="16"/>
        <v>0</v>
      </c>
      <c r="R85" s="76">
        <f t="shared" si="16"/>
        <v>0</v>
      </c>
      <c r="S85" s="76">
        <f t="shared" si="16"/>
        <v>0</v>
      </c>
      <c r="T85" s="76">
        <f t="shared" si="16"/>
        <v>0</v>
      </c>
      <c r="U85" s="76">
        <f t="shared" si="16"/>
        <v>0</v>
      </c>
      <c r="V85" s="76">
        <f t="shared" si="16"/>
        <v>0</v>
      </c>
      <c r="W85" s="76">
        <f t="shared" si="16"/>
        <v>0</v>
      </c>
      <c r="X85" s="76">
        <f t="shared" si="16"/>
        <v>0</v>
      </c>
      <c r="Y85" s="76">
        <f t="shared" si="16"/>
        <v>0</v>
      </c>
      <c r="Z85" s="76">
        <f t="shared" si="16"/>
        <v>0</v>
      </c>
      <c r="AA85" s="76">
        <f t="shared" si="16"/>
        <v>0</v>
      </c>
      <c r="AB85" s="76">
        <f t="shared" si="16"/>
        <v>0</v>
      </c>
      <c r="AC85" s="76">
        <f t="shared" si="16"/>
        <v>0</v>
      </c>
      <c r="AD85" s="76">
        <f t="shared" si="16"/>
        <v>0</v>
      </c>
      <c r="AE85" s="76">
        <f t="shared" si="16"/>
        <v>0</v>
      </c>
      <c r="AF85" s="76">
        <f t="shared" si="16"/>
        <v>0</v>
      </c>
      <c r="AG85" s="86"/>
      <c r="AH85" s="48">
        <f t="shared" si="9"/>
        <v>0</v>
      </c>
      <c r="AI85" s="49">
        <f t="shared" si="10"/>
        <v>0</v>
      </c>
    </row>
    <row r="86" spans="1:37" x14ac:dyDescent="0.25">
      <c r="A86" s="78" t="s">
        <v>92</v>
      </c>
      <c r="B86" s="76">
        <f t="shared" ref="B86:AF86" si="17">IF(B65&lt;0,B65*-1,0)</f>
        <v>389</v>
      </c>
      <c r="C86" s="76">
        <f t="shared" si="17"/>
        <v>414</v>
      </c>
      <c r="D86" s="76">
        <f t="shared" si="17"/>
        <v>425</v>
      </c>
      <c r="E86" s="76">
        <f t="shared" si="17"/>
        <v>370</v>
      </c>
      <c r="F86" s="76">
        <f t="shared" si="17"/>
        <v>380</v>
      </c>
      <c r="G86" s="76">
        <f t="shared" si="17"/>
        <v>365</v>
      </c>
      <c r="H86" s="76">
        <f t="shared" si="17"/>
        <v>363</v>
      </c>
      <c r="I86" s="76">
        <f t="shared" si="17"/>
        <v>358</v>
      </c>
      <c r="J86" s="76">
        <f t="shared" si="17"/>
        <v>368</v>
      </c>
      <c r="K86" s="76">
        <f t="shared" si="17"/>
        <v>350</v>
      </c>
      <c r="L86" s="76">
        <f t="shared" si="17"/>
        <v>350</v>
      </c>
      <c r="M86" s="76">
        <f t="shared" si="17"/>
        <v>382</v>
      </c>
      <c r="N86" s="76">
        <f t="shared" si="17"/>
        <v>374.6</v>
      </c>
      <c r="O86" s="76">
        <f t="shared" si="17"/>
        <v>370</v>
      </c>
      <c r="P86" s="76">
        <f t="shared" si="17"/>
        <v>355.2</v>
      </c>
      <c r="Q86" s="76">
        <f t="shared" si="17"/>
        <v>371</v>
      </c>
      <c r="R86" s="76">
        <f t="shared" si="17"/>
        <v>375.1</v>
      </c>
      <c r="S86" s="76">
        <f t="shared" si="17"/>
        <v>258</v>
      </c>
      <c r="T86" s="76">
        <f t="shared" si="17"/>
        <v>308</v>
      </c>
      <c r="U86" s="76">
        <f t="shared" si="17"/>
        <v>367</v>
      </c>
      <c r="V86" s="76">
        <f t="shared" si="17"/>
        <v>393</v>
      </c>
      <c r="W86" s="76">
        <f t="shared" si="17"/>
        <v>348</v>
      </c>
      <c r="X86" s="76">
        <f t="shared" si="17"/>
        <v>278</v>
      </c>
      <c r="Y86" s="76">
        <f t="shared" si="17"/>
        <v>286</v>
      </c>
      <c r="Z86" s="76">
        <f t="shared" si="17"/>
        <v>400</v>
      </c>
      <c r="AA86" s="76">
        <f t="shared" si="17"/>
        <v>386</v>
      </c>
      <c r="AB86" s="76">
        <f t="shared" si="17"/>
        <v>365.6</v>
      </c>
      <c r="AC86" s="76">
        <f t="shared" si="17"/>
        <v>373</v>
      </c>
      <c r="AD86" s="76">
        <f t="shared" si="17"/>
        <v>373</v>
      </c>
      <c r="AE86" s="76">
        <f t="shared" si="17"/>
        <v>364</v>
      </c>
      <c r="AF86" s="76">
        <f t="shared" si="17"/>
        <v>365</v>
      </c>
      <c r="AG86" s="86"/>
      <c r="AH86" s="48">
        <f t="shared" si="9"/>
        <v>425</v>
      </c>
      <c r="AI86" s="49">
        <f t="shared" si="10"/>
        <v>258</v>
      </c>
    </row>
    <row r="87" spans="1:37" x14ac:dyDescent="0.25">
      <c r="A87" s="78" t="s">
        <v>71</v>
      </c>
      <c r="B87" s="76">
        <f t="shared" ref="B87:AF87" si="18">IF(B63&lt;0,B63*-1,0)</f>
        <v>0</v>
      </c>
      <c r="C87" s="76">
        <f t="shared" si="18"/>
        <v>0</v>
      </c>
      <c r="D87" s="76">
        <f t="shared" si="18"/>
        <v>0</v>
      </c>
      <c r="E87" s="76">
        <f t="shared" si="18"/>
        <v>0</v>
      </c>
      <c r="F87" s="76">
        <f t="shared" si="18"/>
        <v>0</v>
      </c>
      <c r="G87" s="76">
        <f t="shared" si="18"/>
        <v>0</v>
      </c>
      <c r="H87" s="76">
        <f t="shared" si="18"/>
        <v>0</v>
      </c>
      <c r="I87" s="76">
        <f t="shared" si="18"/>
        <v>0</v>
      </c>
      <c r="J87" s="76">
        <f t="shared" si="18"/>
        <v>0</v>
      </c>
      <c r="K87" s="76">
        <f t="shared" si="18"/>
        <v>0</v>
      </c>
      <c r="L87" s="76">
        <f t="shared" si="18"/>
        <v>0</v>
      </c>
      <c r="M87" s="76">
        <f t="shared" si="18"/>
        <v>0</v>
      </c>
      <c r="N87" s="76">
        <f t="shared" si="18"/>
        <v>0</v>
      </c>
      <c r="O87" s="76">
        <f t="shared" si="18"/>
        <v>0</v>
      </c>
      <c r="P87" s="76">
        <f t="shared" si="18"/>
        <v>0</v>
      </c>
      <c r="Q87" s="76">
        <f t="shared" si="18"/>
        <v>0</v>
      </c>
      <c r="R87" s="76">
        <f t="shared" si="18"/>
        <v>0</v>
      </c>
      <c r="S87" s="76">
        <f t="shared" si="18"/>
        <v>0</v>
      </c>
      <c r="T87" s="76">
        <f t="shared" si="18"/>
        <v>0</v>
      </c>
      <c r="U87" s="76">
        <f t="shared" si="18"/>
        <v>0</v>
      </c>
      <c r="V87" s="76">
        <f t="shared" si="18"/>
        <v>0</v>
      </c>
      <c r="W87" s="76">
        <f t="shared" si="18"/>
        <v>0</v>
      </c>
      <c r="X87" s="76">
        <f t="shared" si="18"/>
        <v>0</v>
      </c>
      <c r="Y87" s="76">
        <f t="shared" si="18"/>
        <v>0</v>
      </c>
      <c r="Z87" s="76">
        <f t="shared" si="18"/>
        <v>0</v>
      </c>
      <c r="AA87" s="76">
        <f t="shared" si="18"/>
        <v>0</v>
      </c>
      <c r="AB87" s="76">
        <f t="shared" si="18"/>
        <v>0</v>
      </c>
      <c r="AC87" s="76">
        <f t="shared" si="18"/>
        <v>0</v>
      </c>
      <c r="AD87" s="76">
        <f t="shared" si="18"/>
        <v>0</v>
      </c>
      <c r="AE87" s="76">
        <f t="shared" si="18"/>
        <v>0</v>
      </c>
      <c r="AF87" s="76">
        <f t="shared" si="18"/>
        <v>0</v>
      </c>
      <c r="AG87" s="86"/>
      <c r="AH87" s="48">
        <f t="shared" si="9"/>
        <v>0</v>
      </c>
      <c r="AI87" s="49">
        <f t="shared" si="10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9"/>
        <v>0</v>
      </c>
      <c r="AI88" s="49">
        <f t="shared" si="10"/>
        <v>0</v>
      </c>
    </row>
    <row r="89" spans="1:37" ht="15.75" thickBot="1" x14ac:dyDescent="0.3">
      <c r="A89" s="87" t="s">
        <v>94</v>
      </c>
      <c r="B89" s="61">
        <f t="shared" ref="B89:AF89" si="19">SUM(B83:B88)</f>
        <v>389</v>
      </c>
      <c r="C89" s="61">
        <f t="shared" si="19"/>
        <v>414</v>
      </c>
      <c r="D89" s="61">
        <f t="shared" si="19"/>
        <v>425</v>
      </c>
      <c r="E89" s="61">
        <f t="shared" si="19"/>
        <v>370</v>
      </c>
      <c r="F89" s="61">
        <f t="shared" si="19"/>
        <v>380</v>
      </c>
      <c r="G89" s="61">
        <f t="shared" si="19"/>
        <v>365</v>
      </c>
      <c r="H89" s="61">
        <f t="shared" si="19"/>
        <v>363</v>
      </c>
      <c r="I89" s="61">
        <f t="shared" si="19"/>
        <v>358</v>
      </c>
      <c r="J89" s="61">
        <f t="shared" si="19"/>
        <v>368</v>
      </c>
      <c r="K89" s="61">
        <f t="shared" si="19"/>
        <v>350</v>
      </c>
      <c r="L89" s="61">
        <f t="shared" si="19"/>
        <v>350</v>
      </c>
      <c r="M89" s="61">
        <f t="shared" si="19"/>
        <v>382</v>
      </c>
      <c r="N89" s="61">
        <f t="shared" si="19"/>
        <v>374.6</v>
      </c>
      <c r="O89" s="61">
        <f t="shared" si="19"/>
        <v>370</v>
      </c>
      <c r="P89" s="61">
        <f t="shared" si="19"/>
        <v>355.2</v>
      </c>
      <c r="Q89" s="61">
        <f t="shared" si="19"/>
        <v>371</v>
      </c>
      <c r="R89" s="61">
        <f t="shared" si="19"/>
        <v>375.1</v>
      </c>
      <c r="S89" s="61">
        <f t="shared" si="19"/>
        <v>258</v>
      </c>
      <c r="T89" s="61">
        <f t="shared" si="19"/>
        <v>308</v>
      </c>
      <c r="U89" s="61">
        <f t="shared" si="19"/>
        <v>367</v>
      </c>
      <c r="V89" s="61">
        <f t="shared" si="19"/>
        <v>393</v>
      </c>
      <c r="W89" s="61">
        <f t="shared" si="19"/>
        <v>348</v>
      </c>
      <c r="X89" s="61">
        <f t="shared" si="19"/>
        <v>278</v>
      </c>
      <c r="Y89" s="61">
        <f t="shared" si="19"/>
        <v>286</v>
      </c>
      <c r="Z89" s="61">
        <f t="shared" si="19"/>
        <v>400</v>
      </c>
      <c r="AA89" s="61">
        <f t="shared" si="19"/>
        <v>386</v>
      </c>
      <c r="AB89" s="61">
        <f t="shared" si="19"/>
        <v>365.6</v>
      </c>
      <c r="AC89" s="61">
        <f t="shared" si="19"/>
        <v>373</v>
      </c>
      <c r="AD89" s="61">
        <f t="shared" si="19"/>
        <v>373</v>
      </c>
      <c r="AE89" s="61">
        <f t="shared" si="19"/>
        <v>364</v>
      </c>
      <c r="AF89" s="61">
        <f t="shared" si="19"/>
        <v>365</v>
      </c>
      <c r="AG89" s="81"/>
      <c r="AH89" s="48">
        <f t="shared" si="9"/>
        <v>425</v>
      </c>
      <c r="AI89" s="49">
        <f t="shared" si="10"/>
        <v>258</v>
      </c>
      <c r="AK89" s="50"/>
    </row>
    <row r="90" spans="1:37" ht="15.75" thickBot="1" x14ac:dyDescent="0.3">
      <c r="A90" s="74" t="s">
        <v>95</v>
      </c>
      <c r="B90" s="61">
        <f t="shared" ref="B90:AF90" si="20">B74-B89</f>
        <v>-389</v>
      </c>
      <c r="C90" s="61">
        <f t="shared" si="20"/>
        <v>-414</v>
      </c>
      <c r="D90" s="61">
        <f t="shared" si="20"/>
        <v>-425</v>
      </c>
      <c r="E90" s="61">
        <f t="shared" si="20"/>
        <v>-370</v>
      </c>
      <c r="F90" s="61">
        <f t="shared" si="20"/>
        <v>-380</v>
      </c>
      <c r="G90" s="61">
        <f t="shared" si="20"/>
        <v>-365</v>
      </c>
      <c r="H90" s="61">
        <f t="shared" si="20"/>
        <v>-363</v>
      </c>
      <c r="I90" s="61">
        <f t="shared" si="20"/>
        <v>-358</v>
      </c>
      <c r="J90" s="61">
        <f t="shared" si="20"/>
        <v>-368</v>
      </c>
      <c r="K90" s="61">
        <f t="shared" si="20"/>
        <v>-350</v>
      </c>
      <c r="L90" s="61">
        <f t="shared" si="20"/>
        <v>-350</v>
      </c>
      <c r="M90" s="61">
        <f t="shared" si="20"/>
        <v>-382</v>
      </c>
      <c r="N90" s="61">
        <f t="shared" si="20"/>
        <v>-374.6</v>
      </c>
      <c r="O90" s="61">
        <f t="shared" si="20"/>
        <v>-370</v>
      </c>
      <c r="P90" s="61">
        <f t="shared" si="20"/>
        <v>-355.2</v>
      </c>
      <c r="Q90" s="61">
        <f t="shared" si="20"/>
        <v>-371</v>
      </c>
      <c r="R90" s="61">
        <f t="shared" si="20"/>
        <v>-375.1</v>
      </c>
      <c r="S90" s="61">
        <f t="shared" si="20"/>
        <v>-258</v>
      </c>
      <c r="T90" s="61">
        <f t="shared" si="20"/>
        <v>-308</v>
      </c>
      <c r="U90" s="61">
        <f t="shared" si="20"/>
        <v>-367</v>
      </c>
      <c r="V90" s="61">
        <f t="shared" si="20"/>
        <v>-393</v>
      </c>
      <c r="W90" s="61">
        <f t="shared" si="20"/>
        <v>-348</v>
      </c>
      <c r="X90" s="61">
        <f t="shared" si="20"/>
        <v>-278</v>
      </c>
      <c r="Y90" s="61">
        <f t="shared" si="20"/>
        <v>-286</v>
      </c>
      <c r="Z90" s="61">
        <f t="shared" si="20"/>
        <v>-386.3</v>
      </c>
      <c r="AA90" s="61">
        <f t="shared" si="20"/>
        <v>-386</v>
      </c>
      <c r="AB90" s="61">
        <f t="shared" si="20"/>
        <v>-365.6</v>
      </c>
      <c r="AC90" s="61">
        <f t="shared" si="20"/>
        <v>-373</v>
      </c>
      <c r="AD90" s="61">
        <f t="shared" si="20"/>
        <v>-373</v>
      </c>
      <c r="AE90" s="61">
        <f t="shared" si="20"/>
        <v>-364</v>
      </c>
      <c r="AF90" s="61">
        <f t="shared" si="20"/>
        <v>-365</v>
      </c>
      <c r="AG90" s="81"/>
      <c r="AH90" s="48">
        <f t="shared" si="9"/>
        <v>-258</v>
      </c>
      <c r="AI90" s="49">
        <f t="shared" si="10"/>
        <v>-425</v>
      </c>
    </row>
    <row r="91" spans="1:37" x14ac:dyDescent="0.25">
      <c r="A91" s="88" t="s">
        <v>96</v>
      </c>
      <c r="B91" s="89">
        <v>50.006999999999998</v>
      </c>
      <c r="C91" s="89">
        <v>49.884</v>
      </c>
      <c r="D91" s="89">
        <v>49.985999999999997</v>
      </c>
      <c r="E91" s="89">
        <v>50.006</v>
      </c>
      <c r="F91" s="89">
        <v>50.033999999999999</v>
      </c>
      <c r="G91" s="89">
        <v>49.973999999999997</v>
      </c>
      <c r="H91" s="89">
        <v>50.033999999999999</v>
      </c>
      <c r="I91" s="89">
        <v>50.02</v>
      </c>
      <c r="J91" s="89">
        <v>50.027999999999999</v>
      </c>
      <c r="K91" s="89">
        <v>50.061999999999998</v>
      </c>
      <c r="L91" s="89">
        <v>50.015999999999998</v>
      </c>
      <c r="M91" s="89">
        <v>49.993000000000002</v>
      </c>
      <c r="N91" s="89">
        <v>49.970999999999997</v>
      </c>
      <c r="O91" s="89">
        <v>49.991</v>
      </c>
      <c r="P91" s="89">
        <v>50.045000000000002</v>
      </c>
      <c r="Q91" s="89">
        <v>50.052999999999997</v>
      </c>
      <c r="R91" s="89">
        <v>50.087000000000003</v>
      </c>
      <c r="S91" s="89">
        <v>50.128999999999998</v>
      </c>
      <c r="T91" s="89">
        <v>50.07</v>
      </c>
      <c r="U91" s="89">
        <v>49.917999999999999</v>
      </c>
      <c r="V91" s="89">
        <v>50.02</v>
      </c>
      <c r="W91" s="89">
        <v>49.970999999999997</v>
      </c>
      <c r="X91" s="89">
        <v>49.911000000000001</v>
      </c>
      <c r="Y91" s="89">
        <v>49.933</v>
      </c>
      <c r="Z91" s="89">
        <v>50.058</v>
      </c>
      <c r="AA91" s="89">
        <v>50.076000000000001</v>
      </c>
      <c r="AB91" s="89">
        <v>50.033000000000001</v>
      </c>
      <c r="AC91" s="89">
        <v>50.05</v>
      </c>
      <c r="AD91" s="89">
        <v>50</v>
      </c>
      <c r="AE91" s="89">
        <v>49.94</v>
      </c>
      <c r="AF91" s="89">
        <v>50.01</v>
      </c>
      <c r="AG91" s="90"/>
      <c r="AH91" s="48">
        <f t="shared" si="9"/>
        <v>50.128999999999998</v>
      </c>
      <c r="AI91" s="49">
        <f t="shared" si="10"/>
        <v>49.884</v>
      </c>
    </row>
    <row r="92" spans="1:37" x14ac:dyDescent="0.25">
      <c r="A92" s="91" t="s">
        <v>97</v>
      </c>
      <c r="B92" s="65">
        <v>125</v>
      </c>
      <c r="C92" s="65">
        <v>125</v>
      </c>
      <c r="D92" s="65">
        <v>125</v>
      </c>
      <c r="E92" s="65">
        <v>127.3</v>
      </c>
      <c r="F92" s="65">
        <v>126.8</v>
      </c>
      <c r="G92" s="65">
        <v>126.9</v>
      </c>
      <c r="H92" s="65">
        <v>127.4</v>
      </c>
      <c r="I92" s="65">
        <v>124.1</v>
      </c>
      <c r="J92" s="65">
        <v>123.5</v>
      </c>
      <c r="K92" s="65">
        <v>122.9</v>
      </c>
      <c r="L92" s="65">
        <v>121.3</v>
      </c>
      <c r="M92" s="65">
        <v>120.6</v>
      </c>
      <c r="N92" s="65">
        <v>121.6</v>
      </c>
      <c r="O92" s="65">
        <v>121.1</v>
      </c>
      <c r="P92" s="65">
        <v>121.7</v>
      </c>
      <c r="Q92" s="65">
        <v>121.8</v>
      </c>
      <c r="R92" s="65">
        <v>123.6</v>
      </c>
      <c r="S92" s="65">
        <v>122</v>
      </c>
      <c r="T92" s="65">
        <v>124</v>
      </c>
      <c r="U92" s="65">
        <v>122.7</v>
      </c>
      <c r="V92" s="65">
        <v>126.6</v>
      </c>
      <c r="W92" s="65">
        <v>126.8</v>
      </c>
      <c r="X92" s="65">
        <v>125.9</v>
      </c>
      <c r="Y92" s="65">
        <v>126.6</v>
      </c>
      <c r="Z92" s="65">
        <v>126.3</v>
      </c>
      <c r="AA92" s="65">
        <v>126.8</v>
      </c>
      <c r="AB92" s="65">
        <v>126.8</v>
      </c>
      <c r="AC92" s="65">
        <v>126.9</v>
      </c>
      <c r="AD92" s="65">
        <v>126.6</v>
      </c>
      <c r="AE92" s="65">
        <v>126.6</v>
      </c>
      <c r="AF92" s="65">
        <v>1256</v>
      </c>
      <c r="AG92" s="92"/>
      <c r="AH92" s="48">
        <f t="shared" si="9"/>
        <v>1256</v>
      </c>
      <c r="AI92" s="49">
        <f t="shared" si="10"/>
        <v>120.6</v>
      </c>
    </row>
    <row r="93" spans="1:37" x14ac:dyDescent="0.25">
      <c r="A93" s="91" t="s">
        <v>98</v>
      </c>
      <c r="B93" s="65">
        <v>130</v>
      </c>
      <c r="C93" s="65">
        <v>130</v>
      </c>
      <c r="D93" s="65">
        <v>130</v>
      </c>
      <c r="E93" s="65">
        <v>132.4</v>
      </c>
      <c r="F93" s="65">
        <v>131.1</v>
      </c>
      <c r="G93" s="65">
        <v>131.30000000000001</v>
      </c>
      <c r="H93" s="65">
        <v>131.30000000000001</v>
      </c>
      <c r="I93" s="65">
        <v>128.30000000000001</v>
      </c>
      <c r="J93" s="65">
        <v>128.30000000000001</v>
      </c>
      <c r="K93" s="65">
        <v>127.9</v>
      </c>
      <c r="L93" s="65">
        <v>125.9</v>
      </c>
      <c r="M93" s="65">
        <v>125</v>
      </c>
      <c r="N93" s="65">
        <v>124.7</v>
      </c>
      <c r="O93" s="65">
        <v>124.1</v>
      </c>
      <c r="P93" s="65">
        <v>124.5</v>
      </c>
      <c r="Q93" s="65">
        <v>124.6</v>
      </c>
      <c r="R93" s="65">
        <v>126.1</v>
      </c>
      <c r="S93" s="65">
        <v>124.2</v>
      </c>
      <c r="T93" s="65">
        <v>126.3</v>
      </c>
      <c r="U93" s="65">
        <v>125.8</v>
      </c>
      <c r="V93" s="65">
        <v>129</v>
      </c>
      <c r="W93" s="65">
        <v>129.69999999999999</v>
      </c>
      <c r="X93" s="65">
        <v>128.5</v>
      </c>
      <c r="Y93" s="65">
        <v>129</v>
      </c>
      <c r="Z93" s="65">
        <v>129.4</v>
      </c>
      <c r="AA93" s="65">
        <v>129.69999999999999</v>
      </c>
      <c r="AB93" s="65">
        <v>130.1</v>
      </c>
      <c r="AC93" s="65">
        <v>130.1</v>
      </c>
      <c r="AD93" s="65">
        <v>130.80000000000001</v>
      </c>
      <c r="AE93" s="65">
        <v>130.69999999999999</v>
      </c>
      <c r="AF93" s="65">
        <v>130</v>
      </c>
      <c r="AG93" s="92"/>
      <c r="AH93" s="48">
        <f t="shared" si="9"/>
        <v>132.4</v>
      </c>
      <c r="AI93" s="49">
        <f t="shared" si="10"/>
        <v>124.1</v>
      </c>
    </row>
    <row r="94" spans="1:37" x14ac:dyDescent="0.25">
      <c r="A94" s="91" t="s">
        <v>99</v>
      </c>
      <c r="B94" s="65">
        <v>130</v>
      </c>
      <c r="C94" s="65">
        <v>130</v>
      </c>
      <c r="D94" s="65">
        <v>130</v>
      </c>
      <c r="E94" s="65">
        <v>130.9</v>
      </c>
      <c r="F94" s="65">
        <v>130.6</v>
      </c>
      <c r="G94" s="65">
        <v>129.9</v>
      </c>
      <c r="H94" s="65">
        <v>129.5</v>
      </c>
      <c r="I94" s="65">
        <v>129.19999999999999</v>
      </c>
      <c r="J94" s="65">
        <v>129.69999999999999</v>
      </c>
      <c r="K94" s="65">
        <v>129.1</v>
      </c>
      <c r="L94" s="65">
        <v>128.5</v>
      </c>
      <c r="M94" s="65">
        <v>125.1</v>
      </c>
      <c r="N94" s="65">
        <v>127.9</v>
      </c>
      <c r="O94" s="65">
        <v>127.5</v>
      </c>
      <c r="P94" s="65">
        <v>127</v>
      </c>
      <c r="Q94" s="65">
        <v>130.69999999999999</v>
      </c>
      <c r="R94" s="65">
        <v>128.4</v>
      </c>
      <c r="S94" s="65">
        <v>127.3</v>
      </c>
      <c r="T94" s="65">
        <v>128.30000000000001</v>
      </c>
      <c r="U94" s="65">
        <v>128.4</v>
      </c>
      <c r="V94" s="65">
        <v>131.1</v>
      </c>
      <c r="W94" s="65">
        <v>129.69999999999999</v>
      </c>
      <c r="X94" s="65">
        <v>128.4</v>
      </c>
      <c r="Y94" s="65">
        <v>130.69999999999999</v>
      </c>
      <c r="Z94" s="65">
        <v>130.69999999999999</v>
      </c>
      <c r="AA94" s="65">
        <v>131.69999999999999</v>
      </c>
      <c r="AB94" s="65">
        <v>131.19999999999999</v>
      </c>
      <c r="AC94" s="65">
        <v>131.19999999999999</v>
      </c>
      <c r="AD94" s="65">
        <v>130.6</v>
      </c>
      <c r="AE94" s="65">
        <v>131.6</v>
      </c>
      <c r="AF94" s="65">
        <v>129.4</v>
      </c>
      <c r="AG94" s="92"/>
      <c r="AH94" s="48">
        <f t="shared" si="9"/>
        <v>131.69999999999999</v>
      </c>
      <c r="AI94" s="49">
        <f t="shared" si="10"/>
        <v>125.1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9"/>
        <v>0</v>
      </c>
      <c r="AI95" s="49">
        <f t="shared" si="10"/>
        <v>0</v>
      </c>
    </row>
    <row r="96" spans="1:37" x14ac:dyDescent="0.25">
      <c r="A96" s="93" t="s">
        <v>101</v>
      </c>
      <c r="B96" s="94">
        <v>131</v>
      </c>
      <c r="C96" s="94">
        <v>131</v>
      </c>
      <c r="D96" s="94">
        <v>131</v>
      </c>
      <c r="E96" s="94">
        <v>133.5</v>
      </c>
      <c r="F96" s="94">
        <v>132.69999999999999</v>
      </c>
      <c r="G96" s="94">
        <v>130.1</v>
      </c>
      <c r="H96" s="94">
        <v>130</v>
      </c>
      <c r="I96" s="94">
        <v>128.1</v>
      </c>
      <c r="J96" s="94">
        <v>128.1</v>
      </c>
      <c r="K96" s="94">
        <v>130</v>
      </c>
      <c r="L96" s="94">
        <v>131</v>
      </c>
      <c r="M96" s="94">
        <v>131.6</v>
      </c>
      <c r="N96" s="94">
        <v>134.1</v>
      </c>
      <c r="O96" s="94">
        <v>130.6</v>
      </c>
      <c r="P96" s="94">
        <v>132.6</v>
      </c>
      <c r="Q96" s="94">
        <v>131.6</v>
      </c>
      <c r="R96" s="94">
        <v>132.9</v>
      </c>
      <c r="S96" s="94">
        <v>127.7</v>
      </c>
      <c r="T96" s="94">
        <v>135.80000000000001</v>
      </c>
      <c r="U96" s="94">
        <v>133.1</v>
      </c>
      <c r="V96" s="94">
        <v>133.9</v>
      </c>
      <c r="W96" s="94">
        <v>133.9</v>
      </c>
      <c r="X96" s="94">
        <v>132.9</v>
      </c>
      <c r="Y96" s="94">
        <v>135.80000000000001</v>
      </c>
      <c r="Z96" s="94">
        <v>135.30000000000001</v>
      </c>
      <c r="AA96" s="94">
        <v>132.69999999999999</v>
      </c>
      <c r="AB96" s="94">
        <v>132.5</v>
      </c>
      <c r="AC96" s="94">
        <v>132.5</v>
      </c>
      <c r="AD96" s="94">
        <v>135</v>
      </c>
      <c r="AE96" s="94">
        <v>132</v>
      </c>
      <c r="AF96" s="94">
        <v>131</v>
      </c>
      <c r="AG96" s="95"/>
      <c r="AH96" s="48">
        <f t="shared" si="9"/>
        <v>135.80000000000001</v>
      </c>
      <c r="AI96" s="49">
        <f t="shared" si="10"/>
        <v>127.7</v>
      </c>
    </row>
    <row r="97" spans="1:37" x14ac:dyDescent="0.25">
      <c r="A97" s="91" t="s">
        <v>102</v>
      </c>
      <c r="B97" s="65">
        <v>128</v>
      </c>
      <c r="C97" s="65">
        <v>128</v>
      </c>
      <c r="D97" s="65">
        <v>128</v>
      </c>
      <c r="E97" s="65">
        <v>133.80000000000001</v>
      </c>
      <c r="F97" s="65">
        <v>133.5</v>
      </c>
      <c r="G97" s="65">
        <v>130.69999999999999</v>
      </c>
      <c r="H97" s="65">
        <v>128.80000000000001</v>
      </c>
      <c r="I97" s="65">
        <v>127.7</v>
      </c>
      <c r="J97" s="65">
        <v>128.19999999999999</v>
      </c>
      <c r="K97" s="65">
        <v>126.8</v>
      </c>
      <c r="L97" s="65">
        <v>128.5</v>
      </c>
      <c r="M97" s="65">
        <v>129</v>
      </c>
      <c r="N97" s="65">
        <v>132</v>
      </c>
      <c r="O97" s="65">
        <v>127.1</v>
      </c>
      <c r="P97" s="65">
        <v>133.5</v>
      </c>
      <c r="Q97" s="65">
        <v>132.69999999999999</v>
      </c>
      <c r="R97" s="65">
        <v>131.4</v>
      </c>
      <c r="S97" s="65">
        <v>123.7</v>
      </c>
      <c r="T97" s="65">
        <v>130.9</v>
      </c>
      <c r="U97" s="65">
        <v>131.1</v>
      </c>
      <c r="V97" s="65">
        <v>135.19999999999999</v>
      </c>
      <c r="W97" s="65">
        <v>133.5</v>
      </c>
      <c r="X97" s="65">
        <v>128.19999999999999</v>
      </c>
      <c r="Y97" s="65">
        <v>132.80000000000001</v>
      </c>
      <c r="Z97" s="65">
        <v>133</v>
      </c>
      <c r="AA97" s="65">
        <v>129.30000000000001</v>
      </c>
      <c r="AB97" s="65">
        <v>132</v>
      </c>
      <c r="AC97" s="65">
        <v>132</v>
      </c>
      <c r="AD97" s="65">
        <v>132</v>
      </c>
      <c r="AE97" s="65">
        <v>130</v>
      </c>
      <c r="AF97" s="65">
        <v>129</v>
      </c>
      <c r="AG97" s="92"/>
      <c r="AH97" s="48">
        <f t="shared" si="9"/>
        <v>135.19999999999999</v>
      </c>
      <c r="AI97" s="49">
        <f t="shared" si="10"/>
        <v>123.7</v>
      </c>
    </row>
    <row r="98" spans="1:37" ht="15.75" thickBot="1" x14ac:dyDescent="0.3">
      <c r="A98" s="91" t="s">
        <v>103</v>
      </c>
      <c r="B98" s="96">
        <v>66</v>
      </c>
      <c r="C98" s="96">
        <v>66</v>
      </c>
      <c r="D98" s="96">
        <v>66</v>
      </c>
      <c r="E98" s="96">
        <v>66.900000000000006</v>
      </c>
      <c r="F98" s="96">
        <v>66</v>
      </c>
      <c r="G98" s="96">
        <v>66</v>
      </c>
      <c r="H98" s="96">
        <v>65.900000000000006</v>
      </c>
      <c r="I98" s="96">
        <v>64.599999999999994</v>
      </c>
      <c r="J98" s="96">
        <v>64.5</v>
      </c>
      <c r="K98" s="96">
        <v>64.099999999999994</v>
      </c>
      <c r="L98" s="96">
        <v>63.5</v>
      </c>
      <c r="M98" s="96">
        <v>61.8</v>
      </c>
      <c r="N98" s="96">
        <v>63.3</v>
      </c>
      <c r="O98" s="96">
        <v>63.1</v>
      </c>
      <c r="P98" s="96">
        <v>63.3</v>
      </c>
      <c r="Q98" s="96">
        <v>63.5</v>
      </c>
      <c r="R98" s="96">
        <v>64.099999999999994</v>
      </c>
      <c r="S98" s="96">
        <v>124.2</v>
      </c>
      <c r="T98" s="96">
        <v>64.3</v>
      </c>
      <c r="U98" s="96">
        <v>63.9</v>
      </c>
      <c r="V98" s="96">
        <v>65.099999999999994</v>
      </c>
      <c r="W98" s="96">
        <v>65.5</v>
      </c>
      <c r="X98" s="96">
        <v>64.900000000000006</v>
      </c>
      <c r="Y98" s="96">
        <v>65.099999999999994</v>
      </c>
      <c r="Z98" s="96">
        <v>65.400000000000006</v>
      </c>
      <c r="AA98" s="96">
        <v>65.5</v>
      </c>
      <c r="AB98" s="96">
        <v>65.8</v>
      </c>
      <c r="AC98" s="96">
        <v>65.8</v>
      </c>
      <c r="AD98" s="96">
        <v>66</v>
      </c>
      <c r="AE98" s="96">
        <v>66.2</v>
      </c>
      <c r="AF98" s="96">
        <v>65.8</v>
      </c>
      <c r="AG98" s="97"/>
      <c r="AH98" s="48">
        <f t="shared" si="9"/>
        <v>124.2</v>
      </c>
      <c r="AI98" s="49">
        <f t="shared" si="10"/>
        <v>61.8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9"/>
        <v>0</v>
      </c>
      <c r="AI99" s="49">
        <f t="shared" si="10"/>
        <v>0</v>
      </c>
    </row>
    <row r="100" spans="1:37" ht="15.75" thickBot="1" x14ac:dyDescent="0.3">
      <c r="A100" s="99" t="s">
        <v>104</v>
      </c>
      <c r="B100" s="100">
        <f t="shared" ref="B100:AF100" si="21">SUM(B15,B20,B22:B23,B48,B50:B51,B53,B55,B101:B105,B127,B133,B139,B148,B150,B162,B169,B172:B173,B180,B182,B184,B188:B190,B192:B194,B199,B205:B206,B208:B210,B218,B223)</f>
        <v>35.699999999999989</v>
      </c>
      <c r="C100" s="100">
        <f t="shared" si="21"/>
        <v>35.44</v>
      </c>
      <c r="D100" s="100">
        <f t="shared" si="21"/>
        <v>24.44</v>
      </c>
      <c r="E100" s="100">
        <f t="shared" si="21"/>
        <v>25.44</v>
      </c>
      <c r="F100" s="100">
        <f t="shared" si="21"/>
        <v>32.44</v>
      </c>
      <c r="G100" s="100">
        <f t="shared" si="21"/>
        <v>58.44</v>
      </c>
      <c r="H100" s="100">
        <f t="shared" si="21"/>
        <v>57.44</v>
      </c>
      <c r="I100" s="100">
        <f t="shared" si="21"/>
        <v>119.74</v>
      </c>
      <c r="J100" s="100">
        <f t="shared" si="21"/>
        <v>137.34</v>
      </c>
      <c r="K100" s="100">
        <f t="shared" si="21"/>
        <v>163.44</v>
      </c>
      <c r="L100" s="100">
        <f t="shared" si="21"/>
        <v>191.94</v>
      </c>
      <c r="M100" s="100">
        <f t="shared" si="21"/>
        <v>223.84</v>
      </c>
      <c r="N100" s="100">
        <f t="shared" si="21"/>
        <v>205.74</v>
      </c>
      <c r="O100" s="100">
        <f t="shared" si="21"/>
        <v>187.24</v>
      </c>
      <c r="P100" s="100">
        <f t="shared" si="21"/>
        <v>168.94</v>
      </c>
      <c r="Q100" s="100">
        <f t="shared" si="21"/>
        <v>167</v>
      </c>
      <c r="R100" s="100">
        <f t="shared" si="21"/>
        <v>165.29999999999998</v>
      </c>
      <c r="S100" s="100">
        <f t="shared" si="21"/>
        <v>196.8</v>
      </c>
      <c r="T100" s="100">
        <f t="shared" si="21"/>
        <v>178.5</v>
      </c>
      <c r="U100" s="100">
        <f t="shared" si="21"/>
        <v>172.5</v>
      </c>
      <c r="V100" s="100">
        <f t="shared" si="21"/>
        <v>165.3</v>
      </c>
      <c r="W100" s="100">
        <f t="shared" si="21"/>
        <v>223.99999999999994</v>
      </c>
      <c r="X100" s="100">
        <f t="shared" si="21"/>
        <v>288.09999999999997</v>
      </c>
      <c r="Y100" s="100">
        <f t="shared" si="21"/>
        <v>281.79999999999995</v>
      </c>
      <c r="Z100" s="100">
        <f t="shared" si="21"/>
        <v>230.89999999999998</v>
      </c>
      <c r="AA100" s="100">
        <f t="shared" si="21"/>
        <v>222.9</v>
      </c>
      <c r="AB100" s="100">
        <f t="shared" si="21"/>
        <v>209.89999999999998</v>
      </c>
      <c r="AC100" s="100">
        <f t="shared" si="21"/>
        <v>206.3</v>
      </c>
      <c r="AD100" s="100">
        <f t="shared" si="21"/>
        <v>123.5</v>
      </c>
      <c r="AE100" s="100">
        <f t="shared" si="21"/>
        <v>98.100000000000023</v>
      </c>
      <c r="AF100" s="100">
        <f t="shared" si="21"/>
        <v>64.600000000000023</v>
      </c>
      <c r="AG100" s="101"/>
      <c r="AH100" s="48">
        <f t="shared" si="9"/>
        <v>288.09999999999997</v>
      </c>
      <c r="AI100" s="49">
        <f t="shared" si="10"/>
        <v>24.44</v>
      </c>
    </row>
    <row r="101" spans="1:37" x14ac:dyDescent="0.25">
      <c r="A101" s="88" t="s">
        <v>105</v>
      </c>
      <c r="B101" s="102">
        <v>16</v>
      </c>
      <c r="C101" s="102">
        <v>16</v>
      </c>
      <c r="D101" s="102">
        <v>19</v>
      </c>
      <c r="E101" s="102">
        <v>15</v>
      </c>
      <c r="F101" s="102">
        <v>6</v>
      </c>
      <c r="G101" s="102">
        <v>14</v>
      </c>
      <c r="H101" s="102">
        <v>12</v>
      </c>
      <c r="I101" s="102">
        <v>15</v>
      </c>
      <c r="J101" s="102">
        <v>19</v>
      </c>
      <c r="K101" s="102">
        <v>17</v>
      </c>
      <c r="L101" s="102">
        <v>13</v>
      </c>
      <c r="M101" s="102">
        <v>21</v>
      </c>
      <c r="N101" s="102">
        <v>80.599999999999994</v>
      </c>
      <c r="O101" s="102">
        <v>72.3</v>
      </c>
      <c r="P101" s="102">
        <v>53.7</v>
      </c>
      <c r="Q101" s="102">
        <v>62.4</v>
      </c>
      <c r="R101" s="102">
        <v>59</v>
      </c>
      <c r="S101" s="102">
        <v>48.2</v>
      </c>
      <c r="T101" s="102">
        <v>44.2</v>
      </c>
      <c r="U101" s="102">
        <v>56.9</v>
      </c>
      <c r="V101" s="102">
        <v>28.9</v>
      </c>
      <c r="W101" s="102">
        <v>27.7</v>
      </c>
      <c r="X101" s="102">
        <v>38</v>
      </c>
      <c r="Y101" s="102">
        <v>25.9</v>
      </c>
      <c r="Z101" s="102">
        <v>33</v>
      </c>
      <c r="AA101" s="102">
        <v>26.9</v>
      </c>
      <c r="AB101" s="102">
        <v>28.1</v>
      </c>
      <c r="AC101" s="102">
        <v>30</v>
      </c>
      <c r="AD101" s="102">
        <v>35</v>
      </c>
      <c r="AE101" s="102">
        <v>28</v>
      </c>
      <c r="AF101" s="102">
        <v>22</v>
      </c>
      <c r="AG101" s="103">
        <v>75</v>
      </c>
      <c r="AH101" s="48">
        <f t="shared" si="9"/>
        <v>80.599999999999994</v>
      </c>
      <c r="AI101" s="49">
        <f t="shared" si="10"/>
        <v>6</v>
      </c>
    </row>
    <row r="102" spans="1:37" x14ac:dyDescent="0.25">
      <c r="A102" s="91" t="s">
        <v>106</v>
      </c>
      <c r="B102" s="104">
        <v>34</v>
      </c>
      <c r="C102" s="104">
        <v>34</v>
      </c>
      <c r="D102" s="104">
        <v>35</v>
      </c>
      <c r="E102" s="104">
        <v>20</v>
      </c>
      <c r="F102" s="104">
        <v>13</v>
      </c>
      <c r="G102" s="104">
        <v>21</v>
      </c>
      <c r="H102" s="104">
        <v>19</v>
      </c>
      <c r="I102" s="104">
        <v>22</v>
      </c>
      <c r="J102" s="104">
        <v>24</v>
      </c>
      <c r="K102" s="104">
        <v>20</v>
      </c>
      <c r="L102" s="104">
        <v>14</v>
      </c>
      <c r="M102" s="104">
        <v>32</v>
      </c>
      <c r="N102" s="104">
        <v>0</v>
      </c>
      <c r="O102" s="104">
        <v>0</v>
      </c>
      <c r="P102" s="104">
        <v>0</v>
      </c>
      <c r="Q102" s="104">
        <v>0</v>
      </c>
      <c r="R102" s="104">
        <v>0</v>
      </c>
      <c r="S102" s="104">
        <v>0</v>
      </c>
      <c r="T102" s="104">
        <v>0</v>
      </c>
      <c r="U102" s="104">
        <v>0</v>
      </c>
      <c r="V102" s="104">
        <v>48.4</v>
      </c>
      <c r="W102" s="104">
        <v>43.2</v>
      </c>
      <c r="X102" s="104">
        <v>57.2</v>
      </c>
      <c r="Y102" s="104">
        <v>40</v>
      </c>
      <c r="Z102" s="104">
        <v>51.1</v>
      </c>
      <c r="AA102" s="104">
        <v>41.5</v>
      </c>
      <c r="AB102" s="104">
        <v>44</v>
      </c>
      <c r="AC102" s="104">
        <v>50</v>
      </c>
      <c r="AD102" s="104">
        <v>54</v>
      </c>
      <c r="AE102" s="104">
        <v>45</v>
      </c>
      <c r="AF102" s="104">
        <v>41</v>
      </c>
      <c r="AG102" s="103">
        <v>240</v>
      </c>
      <c r="AH102" s="48">
        <f t="shared" si="9"/>
        <v>57.2</v>
      </c>
      <c r="AI102" s="49">
        <f t="shared" si="10"/>
        <v>0</v>
      </c>
    </row>
    <row r="103" spans="1:37" x14ac:dyDescent="0.25">
      <c r="A103" s="91" t="s">
        <v>107</v>
      </c>
      <c r="B103" s="104">
        <v>-154</v>
      </c>
      <c r="C103" s="104">
        <v>-154</v>
      </c>
      <c r="D103" s="104">
        <v>-154</v>
      </c>
      <c r="E103" s="104">
        <v>-150</v>
      </c>
      <c r="F103" s="104">
        <v>-135</v>
      </c>
      <c r="G103" s="104">
        <v>-125</v>
      </c>
      <c r="H103" s="104">
        <v>-125</v>
      </c>
      <c r="I103" s="104">
        <v>-80</v>
      </c>
      <c r="J103" s="104">
        <v>-70</v>
      </c>
      <c r="K103" s="104">
        <v>-43</v>
      </c>
      <c r="L103" s="104">
        <v>-88</v>
      </c>
      <c r="M103" s="104">
        <v>-86</v>
      </c>
      <c r="N103" s="104">
        <v>-52</v>
      </c>
      <c r="O103" s="104">
        <v>-62.3</v>
      </c>
      <c r="P103" s="104">
        <v>-60</v>
      </c>
      <c r="Q103" s="104">
        <v>-67</v>
      </c>
      <c r="R103" s="104">
        <v>-65</v>
      </c>
      <c r="S103" s="104">
        <f>-22-24</f>
        <v>-46</v>
      </c>
      <c r="T103" s="104">
        <f>-26-28</f>
        <v>-54</v>
      </c>
      <c r="U103" s="104">
        <f>-28.1-30.5</f>
        <v>-58.6</v>
      </c>
      <c r="V103" s="104">
        <f>-57-60</f>
        <v>-117</v>
      </c>
      <c r="W103" s="104">
        <f>-49-53</f>
        <v>-102</v>
      </c>
      <c r="X103" s="104">
        <f>-38-40.6</f>
        <v>-78.599999999999994</v>
      </c>
      <c r="Y103" s="104">
        <f>-23-24</f>
        <v>-47</v>
      </c>
      <c r="Z103" s="104">
        <f>-52-56</f>
        <v>-108</v>
      </c>
      <c r="AA103" s="104">
        <f>-48.1-53</f>
        <v>-101.1</v>
      </c>
      <c r="AB103" s="104">
        <f>-55-60</f>
        <v>-115</v>
      </c>
      <c r="AC103" s="104">
        <v>-120</v>
      </c>
      <c r="AD103" s="104">
        <v>-128</v>
      </c>
      <c r="AE103" s="104">
        <v>-130</v>
      </c>
      <c r="AF103" s="104">
        <v>-136</v>
      </c>
      <c r="AG103" s="103">
        <v>240</v>
      </c>
      <c r="AH103" s="48">
        <f t="shared" si="9"/>
        <v>-43</v>
      </c>
      <c r="AI103" s="49">
        <f t="shared" si="10"/>
        <v>-154</v>
      </c>
    </row>
    <row r="104" spans="1:37" x14ac:dyDescent="0.25">
      <c r="A104" s="91" t="s">
        <v>108</v>
      </c>
      <c r="B104" s="104">
        <v>0</v>
      </c>
      <c r="C104" s="104">
        <v>0</v>
      </c>
      <c r="D104" s="104">
        <v>-4</v>
      </c>
      <c r="E104" s="104">
        <v>-3</v>
      </c>
      <c r="F104" s="104">
        <v>0</v>
      </c>
      <c r="G104" s="104">
        <v>0</v>
      </c>
      <c r="H104" s="104">
        <v>3</v>
      </c>
      <c r="I104" s="104">
        <v>9.3000000000000007</v>
      </c>
      <c r="J104" s="104">
        <v>10.9</v>
      </c>
      <c r="K104" s="104">
        <v>16</v>
      </c>
      <c r="L104" s="104">
        <v>9.3000000000000007</v>
      </c>
      <c r="M104" s="104">
        <v>14.8</v>
      </c>
      <c r="N104" s="104">
        <v>12.3</v>
      </c>
      <c r="O104" s="104">
        <v>11.9</v>
      </c>
      <c r="P104" s="104">
        <v>11.7</v>
      </c>
      <c r="Q104" s="104">
        <v>11.6</v>
      </c>
      <c r="R104" s="104">
        <v>10.3</v>
      </c>
      <c r="S104" s="104">
        <v>15</v>
      </c>
      <c r="T104" s="104">
        <v>13.8</v>
      </c>
      <c r="U104" s="104">
        <v>10.9</v>
      </c>
      <c r="V104" s="104">
        <v>6.6</v>
      </c>
      <c r="W104" s="104">
        <v>9.6</v>
      </c>
      <c r="X104" s="104">
        <v>16</v>
      </c>
      <c r="Y104" s="104">
        <v>18.600000000000001</v>
      </c>
      <c r="Z104" s="104">
        <v>10.4</v>
      </c>
      <c r="AA104" s="104">
        <v>10.8</v>
      </c>
      <c r="AB104" s="104">
        <v>9</v>
      </c>
      <c r="AC104" s="104">
        <v>8</v>
      </c>
      <c r="AD104" s="104">
        <v>6</v>
      </c>
      <c r="AE104" s="104">
        <v>4</v>
      </c>
      <c r="AF104" s="104">
        <v>-1.6</v>
      </c>
      <c r="AG104" s="103">
        <v>60</v>
      </c>
      <c r="AH104" s="48">
        <f t="shared" si="9"/>
        <v>18.600000000000001</v>
      </c>
      <c r="AI104" s="49">
        <f t="shared" si="10"/>
        <v>-4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90.2</v>
      </c>
      <c r="M105" s="106">
        <v>65.599999999999994</v>
      </c>
      <c r="N105" s="106">
        <v>47.7</v>
      </c>
      <c r="O105" s="106">
        <v>48.2</v>
      </c>
      <c r="P105" s="106">
        <v>52.9</v>
      </c>
      <c r="Q105" s="106">
        <v>45.4</v>
      </c>
      <c r="R105" s="106">
        <v>41.8</v>
      </c>
      <c r="S105" s="106">
        <v>67.400000000000006</v>
      </c>
      <c r="T105" s="106">
        <v>62.3</v>
      </c>
      <c r="U105" s="106">
        <v>48.6</v>
      </c>
      <c r="V105" s="106">
        <v>82.7</v>
      </c>
      <c r="W105" s="106">
        <v>82.6</v>
      </c>
      <c r="X105" s="106">
        <v>82.6</v>
      </c>
      <c r="Y105" s="106">
        <v>81.400000000000006</v>
      </c>
      <c r="Z105" s="106">
        <v>81.5</v>
      </c>
      <c r="AA105" s="106">
        <v>81.900000000000006</v>
      </c>
      <c r="AB105" s="106">
        <v>81.8</v>
      </c>
      <c r="AC105" s="106">
        <v>81.8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9"/>
        <v>90.2</v>
      </c>
      <c r="AI105" s="49">
        <f t="shared" si="10"/>
        <v>0</v>
      </c>
    </row>
    <row r="106" spans="1:37" x14ac:dyDescent="0.25">
      <c r="A106" s="105" t="s">
        <v>110</v>
      </c>
      <c r="B106" s="106">
        <v>0</v>
      </c>
      <c r="C106" s="106">
        <v>0</v>
      </c>
      <c r="D106" s="106">
        <v>-5</v>
      </c>
      <c r="E106" s="106">
        <v>15</v>
      </c>
      <c r="F106" s="106">
        <v>22</v>
      </c>
      <c r="G106" s="106">
        <v>22</v>
      </c>
      <c r="H106" s="106">
        <v>30</v>
      </c>
      <c r="I106" s="106">
        <v>66</v>
      </c>
      <c r="J106" s="106">
        <v>74</v>
      </c>
      <c r="K106" s="106">
        <v>92</v>
      </c>
      <c r="L106" s="106">
        <v>73</v>
      </c>
      <c r="M106" s="106">
        <v>44.1</v>
      </c>
      <c r="N106" s="106">
        <v>27.4</v>
      </c>
      <c r="O106" s="106">
        <v>29.4</v>
      </c>
      <c r="P106" s="106">
        <v>36</v>
      </c>
      <c r="Q106" s="106">
        <v>29.4</v>
      </c>
      <c r="R106" s="106">
        <v>29.4</v>
      </c>
      <c r="S106" s="106">
        <v>52.7</v>
      </c>
      <c r="T106" s="106">
        <v>45.4</v>
      </c>
      <c r="U106" s="106">
        <v>33.5</v>
      </c>
      <c r="V106" s="106">
        <v>-11</v>
      </c>
      <c r="W106" s="106">
        <v>6.5</v>
      </c>
      <c r="X106" s="106">
        <v>28.2</v>
      </c>
      <c r="Y106" s="106">
        <v>54.4</v>
      </c>
      <c r="Z106" s="106">
        <v>-3.7</v>
      </c>
      <c r="AA106" s="106">
        <v>4.5</v>
      </c>
      <c r="AB106" s="106">
        <v>-3.4</v>
      </c>
      <c r="AC106" s="106">
        <v>-3.4</v>
      </c>
      <c r="AD106" s="106">
        <v>12</v>
      </c>
      <c r="AE106" s="106">
        <v>-13</v>
      </c>
      <c r="AF106" s="106">
        <v>6</v>
      </c>
      <c r="AG106" s="107"/>
      <c r="AH106" s="48">
        <f t="shared" si="9"/>
        <v>92</v>
      </c>
      <c r="AI106" s="49">
        <f t="shared" si="10"/>
        <v>-13</v>
      </c>
    </row>
    <row r="107" spans="1:37" x14ac:dyDescent="0.25">
      <c r="A107" s="105" t="s">
        <v>111</v>
      </c>
      <c r="B107" s="106">
        <v>10</v>
      </c>
      <c r="C107" s="106">
        <v>10</v>
      </c>
      <c r="D107" s="106">
        <v>-3</v>
      </c>
      <c r="E107" s="106">
        <v>0</v>
      </c>
      <c r="F107" s="106">
        <v>0</v>
      </c>
      <c r="G107" s="106">
        <v>0</v>
      </c>
      <c r="H107" s="106">
        <v>0</v>
      </c>
      <c r="I107" s="106">
        <v>0</v>
      </c>
      <c r="J107" s="106">
        <v>0</v>
      </c>
      <c r="K107" s="106">
        <v>0</v>
      </c>
      <c r="L107" s="106">
        <v>0</v>
      </c>
      <c r="M107" s="106">
        <v>-13.9</v>
      </c>
      <c r="N107" s="106">
        <v>-20.100000000000001</v>
      </c>
      <c r="O107" s="106">
        <v>-2.8</v>
      </c>
      <c r="P107" s="106">
        <v>-11.4</v>
      </c>
      <c r="Q107" s="106">
        <v>-4.9000000000000004</v>
      </c>
      <c r="R107" s="106">
        <v>-1</v>
      </c>
      <c r="S107" s="106">
        <v>10</v>
      </c>
      <c r="T107" s="106">
        <v>12.5</v>
      </c>
      <c r="U107" s="106">
        <v>7.8</v>
      </c>
      <c r="V107" s="106">
        <v>7.7</v>
      </c>
      <c r="W107" s="106">
        <v>25.5</v>
      </c>
      <c r="X107" s="106">
        <v>22.3</v>
      </c>
      <c r="Y107" s="106">
        <v>66.8</v>
      </c>
      <c r="Z107" s="106">
        <v>24.1</v>
      </c>
      <c r="AA107" s="106">
        <v>31.8</v>
      </c>
      <c r="AB107" s="106">
        <v>29.5</v>
      </c>
      <c r="AC107" s="106">
        <v>29.5</v>
      </c>
      <c r="AD107" s="106">
        <v>2</v>
      </c>
      <c r="AE107" s="106">
        <v>3</v>
      </c>
      <c r="AF107" s="106">
        <v>10</v>
      </c>
      <c r="AG107" s="108"/>
      <c r="AH107" s="48">
        <f t="shared" si="9"/>
        <v>66.8</v>
      </c>
      <c r="AI107" s="49">
        <f t="shared" si="10"/>
        <v>-20.100000000000001</v>
      </c>
    </row>
    <row r="108" spans="1:37" x14ac:dyDescent="0.25">
      <c r="A108" s="109" t="s">
        <v>112</v>
      </c>
      <c r="B108" s="94">
        <v>87</v>
      </c>
      <c r="C108" s="94">
        <v>87</v>
      </c>
      <c r="D108" s="94">
        <v>117</v>
      </c>
      <c r="E108" s="94">
        <v>122</v>
      </c>
      <c r="F108" s="94">
        <v>122</v>
      </c>
      <c r="G108" s="94">
        <v>121</v>
      </c>
      <c r="H108" s="94">
        <v>115</v>
      </c>
      <c r="I108" s="94">
        <v>116</v>
      </c>
      <c r="J108" s="94">
        <v>114</v>
      </c>
      <c r="K108" s="94">
        <v>110</v>
      </c>
      <c r="L108" s="94">
        <v>114</v>
      </c>
      <c r="M108" s="94">
        <v>100.6</v>
      </c>
      <c r="N108" s="94">
        <v>114.2</v>
      </c>
      <c r="O108" s="94">
        <v>115.2</v>
      </c>
      <c r="P108" s="94">
        <v>112.5</v>
      </c>
      <c r="Q108" s="94">
        <v>110.1</v>
      </c>
      <c r="R108" s="94">
        <v>117.1</v>
      </c>
      <c r="S108" s="94">
        <v>111</v>
      </c>
      <c r="T108" s="94">
        <v>114.3</v>
      </c>
      <c r="U108" s="94">
        <v>114</v>
      </c>
      <c r="V108" s="94">
        <v>108.9</v>
      </c>
      <c r="W108" s="94">
        <v>100.8</v>
      </c>
      <c r="X108" s="94">
        <v>90.3</v>
      </c>
      <c r="Y108" s="94">
        <v>103</v>
      </c>
      <c r="Z108" s="94">
        <v>100.5</v>
      </c>
      <c r="AA108" s="94">
        <v>107.8</v>
      </c>
      <c r="AB108" s="94">
        <v>111.7</v>
      </c>
      <c r="AC108" s="94">
        <v>111.7</v>
      </c>
      <c r="AD108" s="94">
        <v>120</v>
      </c>
      <c r="AE108" s="94">
        <v>116</v>
      </c>
      <c r="AF108" s="94">
        <v>118</v>
      </c>
      <c r="AG108" s="108"/>
      <c r="AH108" s="48">
        <f t="shared" si="9"/>
        <v>122</v>
      </c>
      <c r="AI108" s="49">
        <f t="shared" si="10"/>
        <v>87</v>
      </c>
    </row>
    <row r="109" spans="1:37" ht="15.75" thickBot="1" x14ac:dyDescent="0.3">
      <c r="A109" s="109" t="s">
        <v>113</v>
      </c>
      <c r="B109" s="94">
        <v>106</v>
      </c>
      <c r="C109" s="94">
        <v>106</v>
      </c>
      <c r="D109" s="94">
        <v>107</v>
      </c>
      <c r="E109" s="94">
        <v>93</v>
      </c>
      <c r="F109" s="94">
        <v>79</v>
      </c>
      <c r="G109" s="94">
        <v>79</v>
      </c>
      <c r="H109" s="94">
        <v>71</v>
      </c>
      <c r="I109" s="94">
        <v>42</v>
      </c>
      <c r="J109" s="94">
        <v>33</v>
      </c>
      <c r="K109" s="94">
        <v>19</v>
      </c>
      <c r="L109" s="94">
        <v>43</v>
      </c>
      <c r="M109" s="94">
        <v>54.6</v>
      </c>
      <c r="N109" s="94">
        <v>69.2</v>
      </c>
      <c r="O109" s="94">
        <v>68.900000000000006</v>
      </c>
      <c r="P109" s="94">
        <v>63.8</v>
      </c>
      <c r="Q109" s="94">
        <v>71.400000000000006</v>
      </c>
      <c r="R109" s="94">
        <v>70.7</v>
      </c>
      <c r="S109" s="94">
        <v>47.2</v>
      </c>
      <c r="T109" s="94">
        <v>52.6</v>
      </c>
      <c r="U109" s="94">
        <v>60</v>
      </c>
      <c r="V109" s="94">
        <v>83.7</v>
      </c>
      <c r="W109" s="94">
        <v>69</v>
      </c>
      <c r="X109" s="94">
        <v>54.2</v>
      </c>
      <c r="Y109" s="94">
        <v>32</v>
      </c>
      <c r="Z109" s="94">
        <v>78.400000000000006</v>
      </c>
      <c r="AA109" s="94">
        <v>73</v>
      </c>
      <c r="AB109" s="94">
        <v>78.5</v>
      </c>
      <c r="AC109" s="94">
        <v>100</v>
      </c>
      <c r="AD109" s="94">
        <v>100</v>
      </c>
      <c r="AE109" s="94">
        <v>98</v>
      </c>
      <c r="AF109" s="94">
        <v>100</v>
      </c>
      <c r="AG109" s="108"/>
      <c r="AH109" s="48">
        <f t="shared" si="9"/>
        <v>107</v>
      </c>
      <c r="AI109" s="49">
        <f t="shared" si="10"/>
        <v>19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22">SUM(B111:B215)</f>
        <v>0</v>
      </c>
      <c r="C216" s="125">
        <f t="shared" si="22"/>
        <v>0</v>
      </c>
      <c r="D216" s="125">
        <f t="shared" si="22"/>
        <v>0</v>
      </c>
      <c r="E216" s="125">
        <f t="shared" si="22"/>
        <v>0</v>
      </c>
      <c r="F216" s="125">
        <f t="shared" si="22"/>
        <v>0</v>
      </c>
      <c r="G216" s="125">
        <f t="shared" si="22"/>
        <v>0</v>
      </c>
      <c r="H216" s="125">
        <f t="shared" si="22"/>
        <v>0</v>
      </c>
      <c r="I216" s="125">
        <f t="shared" si="22"/>
        <v>0</v>
      </c>
      <c r="J216" s="125">
        <f t="shared" si="22"/>
        <v>0</v>
      </c>
      <c r="K216" s="125">
        <f t="shared" si="22"/>
        <v>0</v>
      </c>
      <c r="L216" s="125">
        <f t="shared" si="22"/>
        <v>0</v>
      </c>
      <c r="M216" s="125">
        <f t="shared" si="22"/>
        <v>0</v>
      </c>
      <c r="N216" s="125">
        <f t="shared" si="22"/>
        <v>0</v>
      </c>
      <c r="O216" s="125">
        <f t="shared" si="22"/>
        <v>0</v>
      </c>
      <c r="P216" s="125">
        <f t="shared" si="22"/>
        <v>0</v>
      </c>
      <c r="Q216" s="125">
        <f t="shared" si="22"/>
        <v>0</v>
      </c>
      <c r="R216" s="125">
        <f t="shared" si="22"/>
        <v>0</v>
      </c>
      <c r="S216" s="125">
        <f t="shared" si="22"/>
        <v>0</v>
      </c>
      <c r="T216" s="125">
        <f t="shared" si="22"/>
        <v>0</v>
      </c>
      <c r="U216" s="125">
        <f t="shared" si="22"/>
        <v>0</v>
      </c>
      <c r="V216" s="125">
        <f t="shared" si="22"/>
        <v>0</v>
      </c>
      <c r="W216" s="125">
        <f t="shared" si="22"/>
        <v>0</v>
      </c>
      <c r="X216" s="125">
        <f t="shared" si="22"/>
        <v>0</v>
      </c>
      <c r="Y216" s="125">
        <f t="shared" si="22"/>
        <v>0</v>
      </c>
      <c r="Z216" s="125">
        <f t="shared" si="22"/>
        <v>0</v>
      </c>
      <c r="AA216" s="125">
        <f t="shared" si="22"/>
        <v>0</v>
      </c>
      <c r="AB216" s="125">
        <f t="shared" si="22"/>
        <v>0</v>
      </c>
      <c r="AC216" s="125">
        <f t="shared" si="22"/>
        <v>0</v>
      </c>
      <c r="AD216" s="125">
        <f t="shared" si="22"/>
        <v>0</v>
      </c>
      <c r="AE216" s="125">
        <f t="shared" si="22"/>
        <v>0</v>
      </c>
      <c r="AF216" s="126">
        <f t="shared" si="22"/>
        <v>0</v>
      </c>
      <c r="AG216" s="127">
        <f t="shared" si="22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23">AF218</f>
        <v>0</v>
      </c>
      <c r="C218" s="129">
        <v>0.3</v>
      </c>
      <c r="D218" s="129">
        <f t="shared" ref="D218:P223" si="24">C218</f>
        <v>0.3</v>
      </c>
      <c r="E218" s="129">
        <f t="shared" si="24"/>
        <v>0.3</v>
      </c>
      <c r="F218" s="129">
        <f t="shared" si="24"/>
        <v>0.3</v>
      </c>
      <c r="G218" s="129">
        <f t="shared" si="24"/>
        <v>0.3</v>
      </c>
      <c r="H218" s="129">
        <f t="shared" si="24"/>
        <v>0.3</v>
      </c>
      <c r="I218" s="129">
        <f t="shared" si="24"/>
        <v>0.3</v>
      </c>
      <c r="J218" s="129">
        <f t="shared" si="24"/>
        <v>0.3</v>
      </c>
      <c r="K218" s="129">
        <f t="shared" si="24"/>
        <v>0.3</v>
      </c>
      <c r="L218" s="129">
        <f t="shared" si="24"/>
        <v>0.3</v>
      </c>
      <c r="M218" s="129">
        <f t="shared" si="24"/>
        <v>0.3</v>
      </c>
      <c r="N218" s="129">
        <f t="shared" si="24"/>
        <v>0.3</v>
      </c>
      <c r="O218" s="129">
        <f t="shared" si="24"/>
        <v>0.3</v>
      </c>
      <c r="P218" s="129">
        <f t="shared" si="24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23"/>
        <v>0</v>
      </c>
      <c r="C219" s="117">
        <v>0.4</v>
      </c>
      <c r="D219" s="117">
        <f t="shared" si="24"/>
        <v>0.4</v>
      </c>
      <c r="E219" s="117">
        <f t="shared" si="24"/>
        <v>0.4</v>
      </c>
      <c r="F219" s="117">
        <f t="shared" si="24"/>
        <v>0.4</v>
      </c>
      <c r="G219" s="117">
        <f t="shared" si="24"/>
        <v>0.4</v>
      </c>
      <c r="H219" s="117">
        <f t="shared" si="24"/>
        <v>0.4</v>
      </c>
      <c r="I219" s="117">
        <f t="shared" si="24"/>
        <v>0.4</v>
      </c>
      <c r="J219" s="117">
        <f t="shared" si="24"/>
        <v>0.4</v>
      </c>
      <c r="K219" s="117">
        <f t="shared" si="24"/>
        <v>0.4</v>
      </c>
      <c r="L219" s="117">
        <f t="shared" si="24"/>
        <v>0.4</v>
      </c>
      <c r="M219" s="117">
        <f t="shared" si="24"/>
        <v>0.4</v>
      </c>
      <c r="N219" s="117">
        <f t="shared" si="24"/>
        <v>0.4</v>
      </c>
      <c r="O219" s="117">
        <f t="shared" si="24"/>
        <v>0.4</v>
      </c>
      <c r="P219" s="117">
        <f t="shared" si="24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23"/>
        <v>0</v>
      </c>
      <c r="C220" s="117">
        <v>1.5</v>
      </c>
      <c r="D220" s="117">
        <f t="shared" si="24"/>
        <v>1.5</v>
      </c>
      <c r="E220" s="117">
        <f t="shared" si="24"/>
        <v>1.5</v>
      </c>
      <c r="F220" s="117">
        <f t="shared" si="24"/>
        <v>1.5</v>
      </c>
      <c r="G220" s="117">
        <f t="shared" si="24"/>
        <v>1.5</v>
      </c>
      <c r="H220" s="117">
        <f t="shared" si="24"/>
        <v>1.5</v>
      </c>
      <c r="I220" s="117">
        <f t="shared" si="24"/>
        <v>1.5</v>
      </c>
      <c r="J220" s="117">
        <f t="shared" si="24"/>
        <v>1.5</v>
      </c>
      <c r="K220" s="117">
        <f t="shared" si="24"/>
        <v>1.5</v>
      </c>
      <c r="L220" s="117">
        <f t="shared" si="24"/>
        <v>1.5</v>
      </c>
      <c r="M220" s="117">
        <f t="shared" si="24"/>
        <v>1.5</v>
      </c>
      <c r="N220" s="117">
        <f t="shared" si="24"/>
        <v>1.5</v>
      </c>
      <c r="O220" s="117">
        <f t="shared" si="24"/>
        <v>1.5</v>
      </c>
      <c r="P220" s="117">
        <f t="shared" si="24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23"/>
        <v>0</v>
      </c>
      <c r="C221" s="117">
        <v>0.3</v>
      </c>
      <c r="D221" s="117">
        <f t="shared" si="24"/>
        <v>0.3</v>
      </c>
      <c r="E221" s="117">
        <f t="shared" si="24"/>
        <v>0.3</v>
      </c>
      <c r="F221" s="117">
        <f t="shared" si="24"/>
        <v>0.3</v>
      </c>
      <c r="G221" s="117">
        <f t="shared" si="24"/>
        <v>0.3</v>
      </c>
      <c r="H221" s="117">
        <f t="shared" si="24"/>
        <v>0.3</v>
      </c>
      <c r="I221" s="117">
        <f t="shared" si="24"/>
        <v>0.3</v>
      </c>
      <c r="J221" s="117">
        <f t="shared" si="24"/>
        <v>0.3</v>
      </c>
      <c r="K221" s="117">
        <f t="shared" si="24"/>
        <v>0.3</v>
      </c>
      <c r="L221" s="117">
        <f t="shared" si="24"/>
        <v>0.3</v>
      </c>
      <c r="M221" s="117">
        <f t="shared" si="24"/>
        <v>0.3</v>
      </c>
      <c r="N221" s="117">
        <f t="shared" si="24"/>
        <v>0.3</v>
      </c>
      <c r="O221" s="117">
        <f t="shared" si="24"/>
        <v>0.3</v>
      </c>
      <c r="P221" s="117">
        <f t="shared" si="24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23"/>
        <v>0</v>
      </c>
      <c r="C222" s="117">
        <v>0.4</v>
      </c>
      <c r="D222" s="117">
        <f t="shared" si="24"/>
        <v>0.4</v>
      </c>
      <c r="E222" s="117">
        <f t="shared" si="24"/>
        <v>0.4</v>
      </c>
      <c r="F222" s="117">
        <f t="shared" si="24"/>
        <v>0.4</v>
      </c>
      <c r="G222" s="117">
        <f t="shared" si="24"/>
        <v>0.4</v>
      </c>
      <c r="H222" s="117">
        <f t="shared" si="24"/>
        <v>0.4</v>
      </c>
      <c r="I222" s="117">
        <f t="shared" si="24"/>
        <v>0.4</v>
      </c>
      <c r="J222" s="117">
        <f t="shared" si="24"/>
        <v>0.4</v>
      </c>
      <c r="K222" s="117">
        <f t="shared" si="24"/>
        <v>0.4</v>
      </c>
      <c r="L222" s="117">
        <f t="shared" si="24"/>
        <v>0.4</v>
      </c>
      <c r="M222" s="117">
        <f t="shared" si="24"/>
        <v>0.4</v>
      </c>
      <c r="N222" s="117">
        <f t="shared" si="24"/>
        <v>0.4</v>
      </c>
      <c r="O222" s="117">
        <f t="shared" si="24"/>
        <v>0.4</v>
      </c>
      <c r="P222" s="117">
        <f t="shared" si="24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23"/>
        <v>0</v>
      </c>
      <c r="C223" s="121">
        <v>0.64</v>
      </c>
      <c r="D223" s="121">
        <f t="shared" si="24"/>
        <v>0.64</v>
      </c>
      <c r="E223" s="121">
        <f t="shared" si="24"/>
        <v>0.64</v>
      </c>
      <c r="F223" s="121">
        <f t="shared" si="24"/>
        <v>0.64</v>
      </c>
      <c r="G223" s="121">
        <f t="shared" si="24"/>
        <v>0.64</v>
      </c>
      <c r="H223" s="121">
        <f t="shared" si="24"/>
        <v>0.64</v>
      </c>
      <c r="I223" s="121">
        <f t="shared" si="24"/>
        <v>0.64</v>
      </c>
      <c r="J223" s="121">
        <f t="shared" si="24"/>
        <v>0.64</v>
      </c>
      <c r="K223" s="121">
        <f t="shared" si="24"/>
        <v>0.64</v>
      </c>
      <c r="L223" s="121">
        <f t="shared" si="24"/>
        <v>0.64</v>
      </c>
      <c r="M223" s="121">
        <f t="shared" si="24"/>
        <v>0.64</v>
      </c>
      <c r="N223" s="121">
        <f t="shared" si="24"/>
        <v>0.64</v>
      </c>
      <c r="O223" s="121">
        <f t="shared" si="24"/>
        <v>0.64</v>
      </c>
      <c r="P223" s="121">
        <f t="shared" si="24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5">SUM(B218:B223)</f>
        <v>0</v>
      </c>
      <c r="C224" s="125">
        <f t="shared" si="25"/>
        <v>3.54</v>
      </c>
      <c r="D224" s="125">
        <f t="shared" si="25"/>
        <v>3.54</v>
      </c>
      <c r="E224" s="125">
        <f t="shared" si="25"/>
        <v>3.54</v>
      </c>
      <c r="F224" s="125">
        <f t="shared" si="25"/>
        <v>3.54</v>
      </c>
      <c r="G224" s="125">
        <f t="shared" si="25"/>
        <v>3.54</v>
      </c>
      <c r="H224" s="125">
        <f t="shared" si="25"/>
        <v>3.54</v>
      </c>
      <c r="I224" s="125">
        <f t="shared" si="25"/>
        <v>3.54</v>
      </c>
      <c r="J224" s="125">
        <f t="shared" si="25"/>
        <v>3.54</v>
      </c>
      <c r="K224" s="125">
        <f t="shared" si="25"/>
        <v>3.54</v>
      </c>
      <c r="L224" s="125">
        <f t="shared" si="25"/>
        <v>3.54</v>
      </c>
      <c r="M224" s="125">
        <f t="shared" si="25"/>
        <v>3.54</v>
      </c>
      <c r="N224" s="125">
        <f t="shared" si="25"/>
        <v>3.54</v>
      </c>
      <c r="O224" s="125">
        <f t="shared" si="25"/>
        <v>3.54</v>
      </c>
      <c r="P224" s="125">
        <f t="shared" si="25"/>
        <v>3.54</v>
      </c>
      <c r="Q224" s="125">
        <f t="shared" si="25"/>
        <v>0</v>
      </c>
      <c r="R224" s="125">
        <f t="shared" si="25"/>
        <v>0</v>
      </c>
      <c r="S224" s="125">
        <f t="shared" si="25"/>
        <v>0</v>
      </c>
      <c r="T224" s="125">
        <f t="shared" si="25"/>
        <v>0</v>
      </c>
      <c r="U224" s="125">
        <f t="shared" si="25"/>
        <v>0</v>
      </c>
      <c r="V224" s="125">
        <f t="shared" si="25"/>
        <v>0</v>
      </c>
      <c r="W224" s="125">
        <f t="shared" si="25"/>
        <v>0</v>
      </c>
      <c r="X224" s="125">
        <f t="shared" si="25"/>
        <v>0</v>
      </c>
      <c r="Y224" s="125">
        <f t="shared" si="25"/>
        <v>0</v>
      </c>
      <c r="Z224" s="125">
        <f t="shared" si="25"/>
        <v>0</v>
      </c>
      <c r="AA224" s="125">
        <f t="shared" si="25"/>
        <v>0</v>
      </c>
      <c r="AB224" s="125">
        <f t="shared" si="25"/>
        <v>0</v>
      </c>
      <c r="AC224" s="125">
        <f t="shared" si="25"/>
        <v>0</v>
      </c>
      <c r="AD224" s="125">
        <f t="shared" si="25"/>
        <v>0</v>
      </c>
      <c r="AE224" s="125">
        <f t="shared" si="25"/>
        <v>0</v>
      </c>
      <c r="AF224" s="125">
        <f t="shared" si="25"/>
        <v>0</v>
      </c>
      <c r="AG224" s="134">
        <f t="shared" si="25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1594.54</v>
      </c>
      <c r="C233" s="150">
        <f>INDEX(G9:N9,1,MATCH(MAX(G81:N81),G81:N81,0))</f>
        <v>0.3125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4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2079/06/4)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2079/06/4)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26">B81</f>
        <v>1429.54</v>
      </c>
      <c r="U238" s="159">
        <f t="shared" si="26"/>
        <v>1425.3400000000001</v>
      </c>
      <c r="V238" s="159">
        <f t="shared" si="26"/>
        <v>1404.3400000000001</v>
      </c>
      <c r="W238" s="159">
        <f t="shared" si="26"/>
        <v>1265.1400000000001</v>
      </c>
      <c r="X238" s="159">
        <f t="shared" si="26"/>
        <v>1337.54</v>
      </c>
      <c r="Y238" s="159">
        <f t="shared" si="26"/>
        <v>1355.54</v>
      </c>
      <c r="Z238" s="159">
        <f t="shared" si="26"/>
        <v>1378.04</v>
      </c>
      <c r="AA238" s="159">
        <f t="shared" si="26"/>
        <v>1449.34</v>
      </c>
      <c r="AB238" s="159">
        <f t="shared" si="26"/>
        <v>1505.4399999999998</v>
      </c>
      <c r="AC238" s="159">
        <f t="shared" si="26"/>
        <v>1546.4399999999998</v>
      </c>
      <c r="AD238" s="159">
        <f t="shared" si="26"/>
        <v>1594.54</v>
      </c>
      <c r="AE238" s="159">
        <f t="shared" si="26"/>
        <v>1585.34</v>
      </c>
      <c r="AF238" s="159">
        <f t="shared" si="26"/>
        <v>1569.54</v>
      </c>
      <c r="AG238" s="159">
        <f t="shared" si="26"/>
        <v>1564.54</v>
      </c>
      <c r="AH238" s="159">
        <f t="shared" si="26"/>
        <v>1535.2400000000002</v>
      </c>
      <c r="AI238" s="159">
        <f t="shared" si="26"/>
        <v>1583.44</v>
      </c>
      <c r="AJ238" s="159">
        <f t="shared" si="26"/>
        <v>1540.04</v>
      </c>
      <c r="AK238" s="159">
        <f t="shared" si="26"/>
        <v>1471.44</v>
      </c>
      <c r="AL238" s="159">
        <f t="shared" si="26"/>
        <v>1471.44</v>
      </c>
      <c r="AM238" s="159">
        <f t="shared" si="26"/>
        <v>1535.14</v>
      </c>
      <c r="AN238" s="159">
        <f t="shared" si="26"/>
        <v>1532.84</v>
      </c>
      <c r="AO238" s="159">
        <f t="shared" si="26"/>
        <v>1584.04</v>
      </c>
      <c r="AP238" s="159">
        <f t="shared" si="26"/>
        <v>1630.04</v>
      </c>
      <c r="AQ238" s="159">
        <f t="shared" si="26"/>
        <v>1670.04</v>
      </c>
      <c r="AR238" s="159">
        <f t="shared" si="26"/>
        <v>1683.74</v>
      </c>
      <c r="AS238" s="159">
        <f t="shared" si="26"/>
        <v>1630.6399999999999</v>
      </c>
      <c r="AT238" s="159">
        <f t="shared" si="26"/>
        <v>1584.44</v>
      </c>
      <c r="AU238" s="159">
        <f t="shared" si="26"/>
        <v>1474.3400000000001</v>
      </c>
      <c r="AV238" s="159">
        <f t="shared" si="26"/>
        <v>1474.3400000000001</v>
      </c>
      <c r="AW238" s="159">
        <f t="shared" si="26"/>
        <v>1414.04</v>
      </c>
      <c r="AX238" s="159">
        <f t="shared" si="26"/>
        <v>1406.94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27">C223</f>
        <v>0.64</v>
      </c>
      <c r="C259" s="162">
        <f t="shared" si="27"/>
        <v>0.64</v>
      </c>
      <c r="D259" s="162">
        <f t="shared" si="27"/>
        <v>0.64</v>
      </c>
      <c r="E259" s="162">
        <f t="shared" si="27"/>
        <v>0.64</v>
      </c>
      <c r="F259" s="162">
        <f t="shared" si="27"/>
        <v>0.64</v>
      </c>
      <c r="G259" s="162">
        <f t="shared" si="27"/>
        <v>0.64</v>
      </c>
      <c r="H259" s="162">
        <f t="shared" si="27"/>
        <v>0.64</v>
      </c>
      <c r="I259" s="162">
        <f t="shared" si="27"/>
        <v>0.64</v>
      </c>
      <c r="J259" s="162">
        <f t="shared" si="27"/>
        <v>0.64</v>
      </c>
      <c r="K259" s="162">
        <f t="shared" si="27"/>
        <v>0.64</v>
      </c>
      <c r="L259" s="162">
        <f t="shared" si="27"/>
        <v>0.64</v>
      </c>
      <c r="M259" s="162">
        <f t="shared" si="27"/>
        <v>0.64</v>
      </c>
      <c r="N259" s="162">
        <f t="shared" si="27"/>
        <v>0.64</v>
      </c>
      <c r="O259" s="162">
        <f t="shared" si="27"/>
        <v>0.64</v>
      </c>
      <c r="P259" s="162">
        <f t="shared" si="27"/>
        <v>0</v>
      </c>
      <c r="Q259" s="162">
        <f t="shared" si="27"/>
        <v>0</v>
      </c>
      <c r="R259" s="162">
        <f t="shared" si="27"/>
        <v>0</v>
      </c>
      <c r="S259" s="162">
        <f t="shared" si="27"/>
        <v>0</v>
      </c>
      <c r="T259" s="162">
        <f t="shared" si="27"/>
        <v>0</v>
      </c>
      <c r="U259" s="162">
        <f t="shared" si="27"/>
        <v>0</v>
      </c>
      <c r="V259" s="162">
        <f t="shared" si="27"/>
        <v>0</v>
      </c>
      <c r="W259" s="162">
        <f t="shared" si="27"/>
        <v>0</v>
      </c>
      <c r="X259" s="162">
        <f t="shared" si="27"/>
        <v>0</v>
      </c>
      <c r="Y259" s="162">
        <f t="shared" si="27"/>
        <v>0</v>
      </c>
      <c r="Z259" s="162">
        <f t="shared" si="27"/>
        <v>0</v>
      </c>
      <c r="AA259" s="162">
        <f t="shared" si="27"/>
        <v>0</v>
      </c>
      <c r="AB259" s="162">
        <f t="shared" si="27"/>
        <v>0</v>
      </c>
      <c r="AC259" s="162">
        <f t="shared" si="27"/>
        <v>0</v>
      </c>
      <c r="AD259" s="162">
        <f t="shared" si="27"/>
        <v>0</v>
      </c>
      <c r="AE259" s="162">
        <f t="shared" si="27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28">IF(B227&lt;100,"",B227-520)</f>
        <v/>
      </c>
      <c r="C260" s="163" t="str">
        <f t="shared" si="28"/>
        <v/>
      </c>
      <c r="D260" s="163" t="str">
        <f t="shared" si="28"/>
        <v/>
      </c>
      <c r="E260" s="163" t="str">
        <f t="shared" si="28"/>
        <v/>
      </c>
      <c r="F260" s="163" t="str">
        <f t="shared" si="28"/>
        <v/>
      </c>
      <c r="G260" s="163" t="str">
        <f t="shared" si="28"/>
        <v/>
      </c>
      <c r="H260" s="163" t="str">
        <f t="shared" si="28"/>
        <v/>
      </c>
      <c r="I260" s="163" t="str">
        <f t="shared" si="28"/>
        <v/>
      </c>
      <c r="J260" s="163" t="str">
        <f t="shared" si="28"/>
        <v/>
      </c>
      <c r="K260" s="163" t="str">
        <f t="shared" si="28"/>
        <v/>
      </c>
      <c r="L260" s="163" t="str">
        <f t="shared" si="28"/>
        <v/>
      </c>
      <c r="M260" s="163" t="str">
        <f t="shared" si="28"/>
        <v/>
      </c>
      <c r="N260" s="163" t="str">
        <f t="shared" si="28"/>
        <v/>
      </c>
      <c r="O260" s="163" t="str">
        <f t="shared" si="28"/>
        <v/>
      </c>
      <c r="P260" s="163" t="str">
        <f t="shared" si="28"/>
        <v/>
      </c>
      <c r="Q260" s="163" t="str">
        <f t="shared" si="28"/>
        <v/>
      </c>
      <c r="R260" s="163" t="str">
        <f t="shared" si="28"/>
        <v/>
      </c>
      <c r="S260" s="163" t="str">
        <f t="shared" si="28"/>
        <v/>
      </c>
      <c r="T260" s="163" t="str">
        <f t="shared" si="28"/>
        <v/>
      </c>
      <c r="U260" s="163" t="str">
        <f t="shared" si="28"/>
        <v/>
      </c>
      <c r="V260" s="163" t="str">
        <f t="shared" si="28"/>
        <v/>
      </c>
      <c r="W260" s="163" t="str">
        <f t="shared" si="28"/>
        <v/>
      </c>
      <c r="X260" s="163" t="str">
        <f t="shared" si="28"/>
        <v/>
      </c>
      <c r="Y260" s="163" t="str">
        <f t="shared" si="28"/>
        <v/>
      </c>
      <c r="Z260" s="163" t="str">
        <f t="shared" si="28"/>
        <v/>
      </c>
      <c r="AA260" s="163" t="str">
        <f t="shared" si="28"/>
        <v/>
      </c>
      <c r="AB260" s="163" t="str">
        <f t="shared" si="28"/>
        <v/>
      </c>
      <c r="AC260" s="163" t="str">
        <f t="shared" si="28"/>
        <v/>
      </c>
      <c r="AD260" s="163" t="str">
        <f t="shared" si="28"/>
        <v/>
      </c>
      <c r="AE260" s="163" t="str">
        <f t="shared" si="28"/>
        <v/>
      </c>
      <c r="AF260" s="163" t="str">
        <f t="shared" si="28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29">IF(B228&lt;100,"",B228-620)</f>
        <v/>
      </c>
      <c r="C261" s="163" t="str">
        <f t="shared" si="29"/>
        <v/>
      </c>
      <c r="D261" s="163" t="str">
        <f t="shared" si="29"/>
        <v/>
      </c>
      <c r="E261" s="163" t="str">
        <f t="shared" si="29"/>
        <v/>
      </c>
      <c r="F261" s="163" t="str">
        <f t="shared" si="29"/>
        <v/>
      </c>
      <c r="G261" s="163" t="str">
        <f t="shared" si="29"/>
        <v/>
      </c>
      <c r="H261" s="163" t="str">
        <f t="shared" si="29"/>
        <v/>
      </c>
      <c r="I261" s="163" t="str">
        <f t="shared" si="29"/>
        <v/>
      </c>
      <c r="J261" s="163" t="str">
        <f t="shared" si="29"/>
        <v/>
      </c>
      <c r="K261" s="163" t="str">
        <f t="shared" si="29"/>
        <v/>
      </c>
      <c r="L261" s="163" t="str">
        <f t="shared" si="29"/>
        <v/>
      </c>
      <c r="M261" s="163" t="str">
        <f t="shared" si="29"/>
        <v/>
      </c>
      <c r="N261" s="163" t="str">
        <f t="shared" si="29"/>
        <v/>
      </c>
      <c r="O261" s="163" t="str">
        <f t="shared" si="29"/>
        <v/>
      </c>
      <c r="P261" s="163" t="str">
        <f t="shared" si="29"/>
        <v/>
      </c>
      <c r="Q261" s="163" t="str">
        <f t="shared" si="29"/>
        <v/>
      </c>
      <c r="R261" s="163" t="str">
        <f t="shared" si="29"/>
        <v/>
      </c>
      <c r="S261" s="163" t="str">
        <f t="shared" si="29"/>
        <v/>
      </c>
      <c r="T261" s="163" t="str">
        <f t="shared" si="29"/>
        <v/>
      </c>
      <c r="U261" s="163" t="str">
        <f t="shared" si="29"/>
        <v/>
      </c>
      <c r="V261" s="163" t="str">
        <f t="shared" si="29"/>
        <v/>
      </c>
      <c r="W261" s="163" t="str">
        <f t="shared" si="29"/>
        <v/>
      </c>
      <c r="X261" s="163" t="str">
        <f t="shared" si="29"/>
        <v/>
      </c>
      <c r="Y261" s="163" t="str">
        <f t="shared" si="29"/>
        <v/>
      </c>
      <c r="Z261" s="163" t="str">
        <f t="shared" si="29"/>
        <v/>
      </c>
      <c r="AA261" s="163" t="str">
        <f t="shared" si="29"/>
        <v/>
      </c>
      <c r="AB261" s="163" t="str">
        <f t="shared" si="29"/>
        <v/>
      </c>
      <c r="AC261" s="163" t="str">
        <f t="shared" si="29"/>
        <v/>
      </c>
      <c r="AD261" s="163" t="str">
        <f t="shared" si="29"/>
        <v/>
      </c>
      <c r="AE261" s="163" t="str">
        <f t="shared" si="29"/>
        <v/>
      </c>
      <c r="AF261" s="163" t="str">
        <f t="shared" si="29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0">IF(B229&lt;100,"",B229-330)</f>
        <v/>
      </c>
      <c r="C262" s="163" t="str">
        <f t="shared" si="30"/>
        <v/>
      </c>
      <c r="D262" s="163" t="str">
        <f t="shared" si="30"/>
        <v/>
      </c>
      <c r="E262" s="163" t="str">
        <f t="shared" si="30"/>
        <v/>
      </c>
      <c r="F262" s="163" t="str">
        <f t="shared" si="30"/>
        <v/>
      </c>
      <c r="G262" s="163" t="str">
        <f t="shared" si="30"/>
        <v/>
      </c>
      <c r="H262" s="163" t="str">
        <f t="shared" si="30"/>
        <v/>
      </c>
      <c r="I262" s="163" t="str">
        <f t="shared" si="30"/>
        <v/>
      </c>
      <c r="J262" s="163" t="str">
        <f t="shared" si="30"/>
        <v/>
      </c>
      <c r="K262" s="163" t="str">
        <f t="shared" si="30"/>
        <v/>
      </c>
      <c r="L262" s="163" t="str">
        <f t="shared" si="30"/>
        <v/>
      </c>
      <c r="M262" s="163" t="str">
        <f t="shared" si="30"/>
        <v/>
      </c>
      <c r="N262" s="163" t="str">
        <f t="shared" si="30"/>
        <v/>
      </c>
      <c r="O262" s="163" t="str">
        <f t="shared" si="30"/>
        <v/>
      </c>
      <c r="P262" s="163" t="str">
        <f t="shared" si="30"/>
        <v/>
      </c>
      <c r="Q262" s="163" t="str">
        <f t="shared" si="30"/>
        <v/>
      </c>
      <c r="R262" s="163" t="str">
        <f t="shared" si="30"/>
        <v/>
      </c>
      <c r="S262" s="163" t="str">
        <f t="shared" si="30"/>
        <v/>
      </c>
      <c r="T262" s="163" t="str">
        <f t="shared" si="30"/>
        <v/>
      </c>
      <c r="U262" s="163" t="str">
        <f t="shared" si="30"/>
        <v/>
      </c>
      <c r="V262" s="163" t="str">
        <f t="shared" si="30"/>
        <v/>
      </c>
      <c r="W262" s="163" t="str">
        <f t="shared" si="30"/>
        <v/>
      </c>
      <c r="X262" s="163" t="str">
        <f t="shared" si="30"/>
        <v/>
      </c>
      <c r="Y262" s="163" t="str">
        <f t="shared" si="30"/>
        <v/>
      </c>
      <c r="Z262" s="163" t="str">
        <f t="shared" si="30"/>
        <v/>
      </c>
      <c r="AA262" s="163" t="str">
        <f t="shared" si="30"/>
        <v/>
      </c>
      <c r="AB262" s="163" t="str">
        <f t="shared" si="30"/>
        <v/>
      </c>
      <c r="AC262" s="163" t="str">
        <f t="shared" si="30"/>
        <v/>
      </c>
      <c r="AD262" s="163" t="str">
        <f t="shared" si="30"/>
        <v/>
      </c>
      <c r="AE262" s="163" t="str">
        <f t="shared" si="30"/>
        <v/>
      </c>
      <c r="AF262" s="163" t="str">
        <f t="shared" si="30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1">IF(B230&lt;100,"",B230-1500)</f>
        <v/>
      </c>
      <c r="C263" s="163" t="str">
        <f t="shared" si="31"/>
        <v/>
      </c>
      <c r="D263" s="163" t="str">
        <f t="shared" si="31"/>
        <v/>
      </c>
      <c r="E263" s="163" t="str">
        <f t="shared" si="31"/>
        <v/>
      </c>
      <c r="F263" s="163" t="str">
        <f t="shared" si="31"/>
        <v/>
      </c>
      <c r="G263" s="163" t="str">
        <f t="shared" si="31"/>
        <v/>
      </c>
      <c r="H263" s="163" t="str">
        <f t="shared" si="31"/>
        <v/>
      </c>
      <c r="I263" s="163" t="str">
        <f t="shared" si="31"/>
        <v/>
      </c>
      <c r="J263" s="163" t="str">
        <f t="shared" si="31"/>
        <v/>
      </c>
      <c r="K263" s="163" t="str">
        <f t="shared" si="31"/>
        <v/>
      </c>
      <c r="L263" s="163" t="str">
        <f t="shared" si="31"/>
        <v/>
      </c>
      <c r="M263" s="163" t="str">
        <f t="shared" si="31"/>
        <v/>
      </c>
      <c r="N263" s="163" t="str">
        <f t="shared" si="31"/>
        <v/>
      </c>
      <c r="O263" s="163" t="str">
        <f t="shared" si="31"/>
        <v/>
      </c>
      <c r="P263" s="163" t="str">
        <f t="shared" si="31"/>
        <v/>
      </c>
      <c r="Q263" s="163" t="str">
        <f t="shared" si="31"/>
        <v/>
      </c>
      <c r="R263" s="163" t="str">
        <f t="shared" si="31"/>
        <v/>
      </c>
      <c r="S263" s="163" t="str">
        <f t="shared" si="31"/>
        <v/>
      </c>
      <c r="T263" s="163" t="str">
        <f t="shared" si="31"/>
        <v/>
      </c>
      <c r="U263" s="163" t="str">
        <f t="shared" si="31"/>
        <v/>
      </c>
      <c r="V263" s="163" t="str">
        <f t="shared" si="31"/>
        <v/>
      </c>
      <c r="W263" s="163" t="str">
        <f t="shared" si="31"/>
        <v/>
      </c>
      <c r="X263" s="163" t="str">
        <f t="shared" si="31"/>
        <v/>
      </c>
      <c r="Y263" s="163" t="str">
        <f t="shared" si="31"/>
        <v/>
      </c>
      <c r="Z263" s="163" t="str">
        <f t="shared" si="31"/>
        <v/>
      </c>
      <c r="AA263" s="163" t="str">
        <f t="shared" si="31"/>
        <v/>
      </c>
      <c r="AB263" s="163" t="str">
        <f t="shared" si="31"/>
        <v/>
      </c>
      <c r="AC263" s="163" t="str">
        <f t="shared" si="31"/>
        <v/>
      </c>
      <c r="AD263" s="163" t="str">
        <f t="shared" si="31"/>
        <v/>
      </c>
      <c r="AE263" s="163" t="str">
        <f t="shared" si="31"/>
        <v/>
      </c>
      <c r="AF263" s="163" t="str">
        <f t="shared" si="31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A11:A225">
    <cfRule type="expression" dxfId="1864" priority="21">
      <formula>$AH11=0</formula>
    </cfRule>
  </conditionalFormatting>
  <conditionalFormatting sqref="B8 M8 S8 AB8">
    <cfRule type="expression" dxfId="1863" priority="253">
      <formula>C$9&lt;8/24</formula>
    </cfRule>
    <cfRule type="expression" dxfId="1862" priority="252">
      <formula>AND(C$9&gt;=8/24,C$9&lt;14/24)</formula>
    </cfRule>
    <cfRule type="expression" dxfId="1861" priority="251">
      <formula>AND(C$9&gt;=14/24,C$9&lt;20/24)</formula>
    </cfRule>
  </conditionalFormatting>
  <conditionalFormatting sqref="B45:P47">
    <cfRule type="expression" dxfId="1860" priority="130">
      <formula>AND(B$9&gt;=14/24,B$9&lt;20/24)</formula>
    </cfRule>
    <cfRule type="expression" dxfId="1859" priority="131">
      <formula>AND(B$9&gt;=8/24,B$9&lt;14/24)</formula>
    </cfRule>
    <cfRule type="expression" dxfId="1858" priority="132">
      <formula>B$9&lt;8/24</formula>
    </cfRule>
    <cfRule type="expression" dxfId="1857" priority="129">
      <formula>B$9&gt;=20/24</formula>
    </cfRule>
  </conditionalFormatting>
  <conditionalFormatting sqref="B31:X37">
    <cfRule type="expression" dxfId="1856" priority="110">
      <formula>B$9&lt;8/24</formula>
    </cfRule>
    <cfRule type="expression" dxfId="1855" priority="109">
      <formula>AND(B$9&gt;=8/24,B$9&lt;14/24)</formula>
    </cfRule>
    <cfRule type="expression" dxfId="1854" priority="108">
      <formula>AND(B$9&gt;=14/24,B$9&lt;20/24)</formula>
    </cfRule>
    <cfRule type="expression" dxfId="1853" priority="107">
      <formula>B$9&gt;=20/24</formula>
    </cfRule>
  </conditionalFormatting>
  <conditionalFormatting sqref="B38:X38">
    <cfRule type="expression" dxfId="1852" priority="136">
      <formula>B$9&lt;8/24</formula>
    </cfRule>
    <cfRule type="expression" dxfId="1851" priority="133">
      <formula>B$9&gt;=20/24</formula>
    </cfRule>
    <cfRule type="expression" dxfId="1850" priority="134">
      <formula>AND(B$9&gt;=14/24,B$9&lt;20/24)</formula>
    </cfRule>
    <cfRule type="expression" dxfId="1849" priority="135">
      <formula>AND(B$9&gt;=8/24,B$9&lt;14/24)</formula>
    </cfRule>
  </conditionalFormatting>
  <conditionalFormatting sqref="B9:AF11">
    <cfRule type="expression" dxfId="1848" priority="149">
      <formula>B$9&lt;8/24</formula>
    </cfRule>
    <cfRule type="expression" dxfId="1847" priority="146">
      <formula>B$9&gt;=20/24</formula>
    </cfRule>
    <cfRule type="expression" dxfId="1846" priority="147">
      <formula>AND(B$9&gt;=14/24,B$9&lt;20/24)</formula>
    </cfRule>
    <cfRule type="expression" dxfId="1845" priority="148">
      <formula>AND(B$9&gt;=8/24,B$9&lt;14/24)</formula>
    </cfRule>
  </conditionalFormatting>
  <conditionalFormatting sqref="B11:AF16">
    <cfRule type="expression" dxfId="1844" priority="141">
      <formula>B11&gt;$AG11</formula>
    </cfRule>
  </conditionalFormatting>
  <conditionalFormatting sqref="B12:AF15">
    <cfRule type="expression" dxfId="1843" priority="112">
      <formula>AND(B$9&gt;=14/24,B$9&lt;20/24)</formula>
    </cfRule>
    <cfRule type="expression" dxfId="1842" priority="114">
      <formula>B$9&lt;8/24</formula>
    </cfRule>
    <cfRule type="expression" dxfId="1841" priority="113">
      <formula>AND(B$9&gt;=8/24,B$9&lt;14/24)</formula>
    </cfRule>
    <cfRule type="expression" dxfId="1840" priority="111">
      <formula>B$9&gt;=20/24</formula>
    </cfRule>
  </conditionalFormatting>
  <conditionalFormatting sqref="B16:AF16 B216:AF216 B218:B224 D218:AF224 U237:AF237">
    <cfRule type="expression" dxfId="1839" priority="246">
      <formula>AND(B$9&gt;=8/24,B$9&lt;14/24)</formula>
    </cfRule>
    <cfRule type="expression" dxfId="1838" priority="247">
      <formula>B$9&lt;8/24</formula>
    </cfRule>
    <cfRule type="expression" dxfId="1837" priority="244">
      <formula>B$9&gt;=20/24</formula>
    </cfRule>
    <cfRule type="expression" dxfId="1836" priority="245">
      <formula>AND(B$9&gt;=14/24,B$9&lt;20/24)</formula>
    </cfRule>
  </conditionalFormatting>
  <conditionalFormatting sqref="B17:AF17">
    <cfRule type="expression" dxfId="1835" priority="23">
      <formula>B$9&gt;=20/24</formula>
    </cfRule>
    <cfRule type="expression" dxfId="1834" priority="32">
      <formula>B17&gt;$AG17</formula>
    </cfRule>
    <cfRule type="expression" dxfId="1833" priority="24">
      <formula>AND(B$9&gt;=14/24,B$9&lt;20/24)</formula>
    </cfRule>
    <cfRule type="expression" dxfId="1832" priority="25">
      <formula>AND(B$9&gt;=8/24,B$9&lt;14/24)</formula>
    </cfRule>
    <cfRule type="expression" dxfId="1831" priority="26">
      <formula>B$9&lt;8/24</formula>
    </cfRule>
  </conditionalFormatting>
  <conditionalFormatting sqref="B18:AF24">
    <cfRule type="expression" dxfId="1830" priority="93">
      <formula>B$9&gt;=20/24</formula>
    </cfRule>
    <cfRule type="expression" dxfId="1829" priority="94">
      <formula>AND(B$9&gt;=14/24,B$9&lt;20/24)</formula>
    </cfRule>
    <cfRule type="expression" dxfId="1828" priority="95">
      <formula>AND(B$9&gt;=8/24,B$9&lt;14/24)</formula>
    </cfRule>
    <cfRule type="expression" dxfId="1827" priority="96">
      <formula>B$9&lt;8/24</formula>
    </cfRule>
  </conditionalFormatting>
  <conditionalFormatting sqref="B19:AF24">
    <cfRule type="expression" dxfId="1826" priority="92">
      <formula>B19&gt;$AG19</formula>
    </cfRule>
  </conditionalFormatting>
  <conditionalFormatting sqref="B25:AF27 B29:AF29 C59:AF61 B59:B62 C62:AG62 B75:B79 C79:AG79 B80:AF81">
    <cfRule type="expression" dxfId="1825" priority="126">
      <formula>AND(B$9&gt;=8/24,B$9&lt;14/24)</formula>
    </cfRule>
    <cfRule type="expression" dxfId="1824" priority="125">
      <formula>AND(B$9&gt;=14/24,B$9&lt;20/24)</formula>
    </cfRule>
    <cfRule type="expression" dxfId="1823" priority="124">
      <formula>B$9&gt;=20/24</formula>
    </cfRule>
    <cfRule type="expression" dxfId="1822" priority="127">
      <formula>B$9&lt;8/24</formula>
    </cfRule>
  </conditionalFormatting>
  <conditionalFormatting sqref="B25:AF29 B40:AG40 C57:AG58 B57:B62 C59:AF61 C62:AG62">
    <cfRule type="expression" dxfId="1821" priority="119">
      <formula>B25&gt;$AG25</formula>
    </cfRule>
  </conditionalFormatting>
  <conditionalFormatting sqref="B28:AF28">
    <cfRule type="expression" dxfId="1820" priority="97">
      <formula>B$9&gt;=20/24</formula>
    </cfRule>
    <cfRule type="expression" dxfId="1819" priority="98">
      <formula>AND(B$9&gt;=14/24,B$9&lt;20/24)</formula>
    </cfRule>
    <cfRule type="expression" dxfId="1818" priority="99">
      <formula>AND(B$9&gt;=8/24,B$9&lt;14/24)</formula>
    </cfRule>
    <cfRule type="expression" dxfId="1817" priority="100">
      <formula>B$9&lt;8/24</formula>
    </cfRule>
  </conditionalFormatting>
  <conditionalFormatting sqref="B30:AF30">
    <cfRule type="expression" dxfId="1816" priority="12">
      <formula>B$9&gt;=20/24</formula>
    </cfRule>
    <cfRule type="expression" dxfId="1815" priority="13">
      <formula>AND(B$9&gt;=14/24,B$9&lt;20/24)</formula>
    </cfRule>
    <cfRule type="expression" dxfId="1814" priority="14">
      <formula>AND(B$9&gt;=8/24,B$9&lt;14/24)</formula>
    </cfRule>
    <cfRule type="expression" dxfId="1813" priority="15">
      <formula>B$9&lt;8/24</formula>
    </cfRule>
  </conditionalFormatting>
  <conditionalFormatting sqref="B30:AF36">
    <cfRule type="expression" dxfId="1812" priority="11">
      <formula>B30&gt;$AG30</formula>
    </cfRule>
  </conditionalFormatting>
  <conditionalFormatting sqref="B37:AF37 B18:AF18">
    <cfRule type="expression" dxfId="1811" priority="238">
      <formula>B18&gt;$AG18</formula>
    </cfRule>
  </conditionalFormatting>
  <conditionalFormatting sqref="B38:AF39">
    <cfRule type="expression" dxfId="1810" priority="128">
      <formula>B38&gt;$AG38</formula>
    </cfRule>
  </conditionalFormatting>
  <conditionalFormatting sqref="B39:AF39">
    <cfRule type="expression" dxfId="1809" priority="145">
      <formula>B$9&lt;8/24</formula>
    </cfRule>
    <cfRule type="expression" dxfId="1808" priority="144">
      <formula>AND(B$9&gt;=8/24,B$9&lt;14/24)</formula>
    </cfRule>
    <cfRule type="expression" dxfId="1807" priority="143">
      <formula>AND(B$9&gt;=14/24,B$9&lt;20/24)</formula>
    </cfRule>
    <cfRule type="expression" dxfId="1806" priority="142">
      <formula>B$9&gt;=20/24</formula>
    </cfRule>
  </conditionalFormatting>
  <conditionalFormatting sqref="B45:AF56">
    <cfRule type="expression" dxfId="1805" priority="34">
      <formula>B45&gt;$AG45</formula>
    </cfRule>
  </conditionalFormatting>
  <conditionalFormatting sqref="B50:AF56">
    <cfRule type="expression" dxfId="1804" priority="37">
      <formula>AND(B$9&gt;=8/24,B$9&lt;14/24)</formula>
    </cfRule>
    <cfRule type="expression" dxfId="1803" priority="38">
      <formula>B$9&lt;8/24</formula>
    </cfRule>
    <cfRule type="expression" dxfId="1802" priority="35">
      <formula>B$9&gt;=20/24</formula>
    </cfRule>
    <cfRule type="expression" dxfId="1801" priority="36">
      <formula>AND(B$9&gt;=14/24,B$9&lt;20/24)</formula>
    </cfRule>
  </conditionalFormatting>
  <conditionalFormatting sqref="B63:AF74">
    <cfRule type="expression" dxfId="1800" priority="87">
      <formula>B$9&gt;=20/24</formula>
    </cfRule>
    <cfRule type="expression" dxfId="1799" priority="90">
      <formula>B$9&lt;8/24</formula>
    </cfRule>
    <cfRule type="expression" dxfId="1798" priority="89">
      <formula>AND(B$9&gt;=8/24,B$9&lt;14/24)</formula>
    </cfRule>
    <cfRule type="expression" dxfId="1797" priority="88">
      <formula>AND(B$9&gt;=14/24,B$9&lt;20/24)</formula>
    </cfRule>
  </conditionalFormatting>
  <conditionalFormatting sqref="B83:AF99">
    <cfRule type="expression" dxfId="1792" priority="65">
      <formula>B$9&gt;=20/24</formula>
    </cfRule>
    <cfRule type="expression" dxfId="1791" priority="68">
      <formula>B$9&lt;8/24</formula>
    </cfRule>
    <cfRule type="expression" dxfId="1790" priority="67">
      <formula>AND(B$9&gt;=8/24,B$9&lt;14/24)</formula>
    </cfRule>
    <cfRule type="expression" dxfId="1789" priority="66">
      <formula>AND(B$9&gt;=14/24,B$9&lt;20/24)</formula>
    </cfRule>
  </conditionalFormatting>
  <conditionalFormatting sqref="B101:AF108">
    <cfRule type="expression" dxfId="1788" priority="39">
      <formula>B$9&gt;=20/24</formula>
    </cfRule>
    <cfRule type="expression" dxfId="1787" priority="40">
      <formula>AND(B$9&gt;=14/24,B$9&lt;20/24)</formula>
    </cfRule>
    <cfRule type="expression" dxfId="1786" priority="41">
      <formula>AND(B$9&gt;=8/24,B$9&lt;14/24)</formula>
    </cfRule>
    <cfRule type="expression" dxfId="1785" priority="42">
      <formula>B$9&lt;8/24</formula>
    </cfRule>
  </conditionalFormatting>
  <conditionalFormatting sqref="C41:AF43 B41:B44 C44:AG44">
    <cfRule type="expression" dxfId="1780" priority="77">
      <formula>B$9&lt;8/24</formula>
    </cfRule>
    <cfRule type="expression" dxfId="1779" priority="76">
      <formula>AND(B$9&gt;=8/24,B$9&lt;14/24)</formula>
    </cfRule>
    <cfRule type="expression" dxfId="1778" priority="75">
      <formula>AND(B$9&gt;=14/24,B$9&lt;20/24)</formula>
    </cfRule>
    <cfRule type="expression" dxfId="1777" priority="74">
      <formula>B$9&gt;=20/24</formula>
    </cfRule>
    <cfRule type="expression" dxfId="1776" priority="73">
      <formula>B41&gt;$AG41</formula>
    </cfRule>
  </conditionalFormatting>
  <conditionalFormatting sqref="C75:AF78">
    <cfRule type="expression" dxfId="1775" priority="201">
      <formula>C$9&gt;=20/24</formula>
    </cfRule>
    <cfRule type="expression" dxfId="1774" priority="202">
      <formula>AND(C$9&gt;=14/24,C$9&lt;20/24)</formula>
    </cfRule>
    <cfRule type="expression" dxfId="1773" priority="203">
      <formula>AND(C$9&gt;=8/24,C$9&lt;14/24)</formula>
    </cfRule>
    <cfRule type="expression" dxfId="1772" priority="204">
      <formula>C$9&lt;8/24</formula>
    </cfRule>
  </conditionalFormatting>
  <conditionalFormatting sqref="O3:P3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Q45:AA49 AB48:AE49">
    <cfRule type="expression" dxfId="1771" priority="177">
      <formula>Q$9&lt;8/24</formula>
    </cfRule>
    <cfRule type="expression" dxfId="1770" priority="175">
      <formula>AND(Q$9&gt;=14/24,Q$9&lt;20/24)</formula>
    </cfRule>
    <cfRule type="expression" dxfId="1769" priority="174">
      <formula>Q$9&gt;=20/24</formula>
    </cfRule>
    <cfRule type="expression" dxfId="1768" priority="176">
      <formula>AND(Q$9&gt;=8/24,Q$9&lt;14/24)</formula>
    </cfRule>
  </conditionalFormatting>
  <conditionalFormatting sqref="S8 AB8 B8 M8">
    <cfRule type="expression" dxfId="1767" priority="250">
      <formula>C$9&gt;=20/24</formula>
    </cfRule>
  </conditionalFormatting>
  <conditionalFormatting sqref="S8">
    <cfRule type="expression" dxfId="1766" priority="222">
      <formula>U$9&lt;8/24</formula>
    </cfRule>
    <cfRule type="expression" dxfId="1765" priority="220">
      <formula>AND(U$9&gt;=14/24,U$9&lt;20/24)</formula>
    </cfRule>
    <cfRule type="expression" dxfId="1764" priority="219">
      <formula>U$9&gt;=20/24</formula>
    </cfRule>
    <cfRule type="expression" dxfId="1763" priority="221">
      <formula>AND(U$9&gt;=8/24,U$9&lt;14/24)</formula>
    </cfRule>
  </conditionalFormatting>
  <conditionalFormatting sqref="T237">
    <cfRule type="expression" dxfId="1762" priority="263">
      <formula>AX$9&gt;=20/24</formula>
    </cfRule>
    <cfRule type="expression" dxfId="1761" priority="264">
      <formula>AND(AX$9&gt;=14/24,AX$9&lt;20/24)</formula>
    </cfRule>
    <cfRule type="expression" dxfId="1760" priority="265">
      <formula>AND(AX$9&gt;=8/24,AX$9&lt;14/24)</formula>
    </cfRule>
    <cfRule type="expression" dxfId="1759" priority="266">
      <formula>AX$9&lt;8/24</formula>
    </cfRule>
  </conditionalFormatting>
  <conditionalFormatting sqref="V3 AB3">
    <cfRule type="iconSet" priority="249">
      <iconSet iconSet="3TrafficLights2" reverse="1">
        <cfvo type="percent" val="0"/>
        <cfvo type="num" val="1"/>
        <cfvo type="num" val="1"/>
      </iconSet>
    </cfRule>
  </conditionalFormatting>
  <conditionalFormatting sqref="Y31:AF38">
    <cfRule type="expression" dxfId="1758" priority="187">
      <formula>Y$9&lt;8/24</formula>
    </cfRule>
    <cfRule type="expression" dxfId="1757" priority="184">
      <formula>Y$9&gt;=20/24</formula>
    </cfRule>
    <cfRule type="expression" dxfId="1756" priority="185">
      <formula>AND(Y$9&gt;=14/24,Y$9&lt;20/24)</formula>
    </cfRule>
    <cfRule type="expression" dxfId="1755" priority="186">
      <formula>AND(Y$9&gt;=8/24,Y$9&lt;14/24)</formula>
    </cfRule>
  </conditionalFormatting>
  <conditionalFormatting sqref="AB8">
    <cfRule type="expression" dxfId="1754" priority="215">
      <formula>AD$9&gt;=20/24</formula>
    </cfRule>
    <cfRule type="expression" dxfId="1753" priority="216">
      <formula>AND(AD$9&gt;=14/24,AD$9&lt;20/24)</formula>
    </cfRule>
    <cfRule type="expression" dxfId="1752" priority="217">
      <formula>AND(AD$9&gt;=8/24,AD$9&lt;14/24)</formula>
    </cfRule>
    <cfRule type="expression" dxfId="1751" priority="218">
      <formula>AD$9&lt;8/24</formula>
    </cfRule>
  </conditionalFormatting>
  <conditionalFormatting sqref="AB45:AF47">
    <cfRule type="expression" dxfId="1750" priority="208">
      <formula>AND(AB$9&gt;=8/24,AB$9&lt;14/24)</formula>
    </cfRule>
    <cfRule type="expression" dxfId="1749" priority="209">
      <formula>AB$9&lt;8/24</formula>
    </cfRule>
    <cfRule type="expression" dxfId="1748" priority="206">
      <formula>AB$9&gt;=20/24</formula>
    </cfRule>
    <cfRule type="expression" dxfId="1747" priority="207">
      <formula>AND(AB$9&gt;=14/24,AB$9&lt;20/24)</formula>
    </cfRule>
  </conditionalFormatting>
  <conditionalFormatting sqref="AF49">
    <cfRule type="expression" dxfId="1746" priority="179">
      <formula>AF$9&gt;=20/24</formula>
    </cfRule>
    <cfRule type="expression" dxfId="1745" priority="182">
      <formula>AF$9&lt;8/24</formula>
    </cfRule>
    <cfRule type="expression" dxfId="1744" priority="181">
      <formula>AND(AF$9&gt;=8/24,AF$9&lt;14/24)</formula>
    </cfRule>
    <cfRule type="expression" dxfId="1743" priority="180">
      <formula>AND(AF$9&gt;=14/24,AF$9&lt;20/24)</formula>
    </cfRule>
  </conditionalFormatting>
  <conditionalFormatting sqref="AG237">
    <cfRule type="expression" dxfId="1742" priority="255">
      <formula>B$9&gt;=20/24</formula>
    </cfRule>
    <cfRule type="expression" dxfId="1741" priority="256">
      <formula>AND(B$9&gt;=14/24,B$9&lt;20/24)</formula>
    </cfRule>
    <cfRule type="expression" dxfId="1740" priority="257">
      <formula>AND(B$9&gt;=8/24,B$9&lt;14/24)</formula>
    </cfRule>
    <cfRule type="expression" dxfId="1739" priority="258">
      <formula>B$9&lt;8/24</formula>
    </cfRule>
  </conditionalFormatting>
  <conditionalFormatting sqref="AH237:AX237">
    <cfRule type="expression" dxfId="1738" priority="259">
      <formula>AG$9&gt;=20/24</formula>
    </cfRule>
    <cfRule type="expression" dxfId="1737" priority="260">
      <formula>AND(AG$9&gt;=14/24,AG$9&lt;20/24)</formula>
    </cfRule>
    <cfRule type="expression" dxfId="1736" priority="261">
      <formula>AND(AG$9&gt;=8/24,AG$9&lt;14/24)</formula>
    </cfRule>
    <cfRule type="expression" dxfId="1735" priority="262">
      <formula>AG$9&lt;8/24</formula>
    </cfRule>
  </conditionalFormatting>
  <conditionalFormatting sqref="AL4:AL6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AL17">
    <cfRule type="iconSet" priority="33">
      <iconSet iconSet="3TrafficLights2" reverse="1">
        <cfvo type="percent" val="0"/>
        <cfvo type="num" val="1"/>
        <cfvo type="num" val="1"/>
      </iconSet>
    </cfRule>
  </conditionalFormatting>
  <conditionalFormatting sqref="AL30">
    <cfRule type="iconSet" priority="2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64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AL36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AL37 AL34 AL18:AL29 AL7:AL16 AL31:AL32">
    <cfRule type="iconSet" priority="26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0" id="{1E2E6B0A-18A1-4CE0-AF08-D439D157AE11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1" id="{649D0A05-5419-45AE-8F1C-2BF6C2C98FE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2" id="{74A4967B-77F8-4971-B5F3-E58FA67125C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3" id="{8D907BDB-9B10-4502-9B01-D708D00AB76B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50" id="{580B4C45-E90B-4D63-B37B-AF05EC21B2EC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2" id="{C3D3C7D5-D33E-4A5B-A7A1-62E17FD3FCE9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51" id="{29456DA1-124F-4CD1-9DFE-A45E1FC5C34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9" id="{05BE1D78-465D-46B4-A9BC-33763A5AFF61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m:sqref>B109:AF109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J270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A29" sqref="A2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4" width="6.85546875" style="1" customWidth="1"/>
    <col min="25" max="25" width="7.7109375" style="1" customWidth="1"/>
    <col min="26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2079/06/5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15.8</v>
      </c>
      <c r="Y5" s="30">
        <f t="shared" si="0"/>
        <v>15</v>
      </c>
      <c r="Z5" s="30">
        <f t="shared" si="0"/>
        <v>15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1578MW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Load=1357</v>
      </c>
      <c r="B7" s="35">
        <f t="shared" ref="B7:AF7" si="1">B81</f>
        <v>1396.94</v>
      </c>
      <c r="C7" s="35">
        <f t="shared" si="1"/>
        <v>1399.3400000000001</v>
      </c>
      <c r="D7" s="35">
        <f t="shared" si="1"/>
        <v>1397.74</v>
      </c>
      <c r="E7" s="35">
        <f t="shared" si="1"/>
        <v>1370.94</v>
      </c>
      <c r="F7" s="35">
        <f t="shared" si="1"/>
        <v>1356.54</v>
      </c>
      <c r="G7" s="35">
        <f t="shared" si="1"/>
        <v>1415.14</v>
      </c>
      <c r="H7" s="35">
        <f t="shared" si="1"/>
        <v>1434.3400000000001</v>
      </c>
      <c r="I7" s="35">
        <f t="shared" si="1"/>
        <v>1477.44</v>
      </c>
      <c r="J7" s="35">
        <f t="shared" si="1"/>
        <v>1501.44</v>
      </c>
      <c r="K7" s="35">
        <f t="shared" si="1"/>
        <v>1535.44</v>
      </c>
      <c r="L7" s="35">
        <f t="shared" si="1"/>
        <v>1566.44</v>
      </c>
      <c r="M7" s="35">
        <f t="shared" si="1"/>
        <v>1578.44</v>
      </c>
      <c r="N7" s="35">
        <f t="shared" si="1"/>
        <v>1578.44</v>
      </c>
      <c r="O7" s="35">
        <f t="shared" si="1"/>
        <v>1553.44</v>
      </c>
      <c r="P7" s="35">
        <f t="shared" si="1"/>
        <v>1446.8400000000001</v>
      </c>
      <c r="Q7" s="35">
        <f t="shared" si="1"/>
        <v>1405.44</v>
      </c>
      <c r="R7" s="35">
        <f t="shared" si="1"/>
        <v>1456.94</v>
      </c>
      <c r="S7" s="35">
        <f t="shared" si="1"/>
        <v>1443.94</v>
      </c>
      <c r="T7" s="35">
        <f t="shared" si="1"/>
        <v>1488.2399999999998</v>
      </c>
      <c r="U7" s="35">
        <f t="shared" si="1"/>
        <v>1531.74</v>
      </c>
      <c r="V7" s="35">
        <f t="shared" si="1"/>
        <v>1510.24</v>
      </c>
      <c r="W7" s="35">
        <f t="shared" si="1"/>
        <v>1535.6399999999999</v>
      </c>
      <c r="X7" s="35">
        <f t="shared" si="1"/>
        <v>1731.04</v>
      </c>
      <c r="Y7" s="35">
        <f t="shared" si="1"/>
        <v>1759.04</v>
      </c>
      <c r="Z7" s="35">
        <f t="shared" si="1"/>
        <v>1715.94</v>
      </c>
      <c r="AA7" s="35">
        <f t="shared" si="1"/>
        <v>1732.44</v>
      </c>
      <c r="AB7" s="35">
        <f t="shared" si="1"/>
        <v>1627.34</v>
      </c>
      <c r="AC7" s="35">
        <f t="shared" si="1"/>
        <v>1607.1399999999999</v>
      </c>
      <c r="AD7" s="35">
        <f t="shared" si="1"/>
        <v>1551.04</v>
      </c>
      <c r="AE7" s="35">
        <f t="shared" si="1"/>
        <v>1503.54</v>
      </c>
      <c r="AF7" s="35">
        <f t="shared" si="1"/>
        <v>1491.04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53.2</v>
      </c>
      <c r="C11" s="45">
        <v>53.2</v>
      </c>
      <c r="D11" s="45">
        <v>53.2</v>
      </c>
      <c r="E11" s="45">
        <v>53.2</v>
      </c>
      <c r="F11" s="45">
        <v>53.2</v>
      </c>
      <c r="G11" s="45">
        <v>53.2</v>
      </c>
      <c r="H11" s="45">
        <v>53.2</v>
      </c>
      <c r="I11" s="45">
        <v>53.2</v>
      </c>
      <c r="J11" s="45">
        <v>53.2</v>
      </c>
      <c r="K11" s="45">
        <v>53.2</v>
      </c>
      <c r="L11" s="45">
        <v>53.2</v>
      </c>
      <c r="M11" s="45">
        <v>53.2</v>
      </c>
      <c r="N11" s="45">
        <v>53.2</v>
      </c>
      <c r="O11" s="45">
        <v>53.2</v>
      </c>
      <c r="P11" s="45">
        <v>53.2</v>
      </c>
      <c r="Q11" s="45">
        <v>53.2</v>
      </c>
      <c r="R11" s="45">
        <v>53.2</v>
      </c>
      <c r="S11" s="45">
        <v>53.2</v>
      </c>
      <c r="T11" s="45">
        <v>51</v>
      </c>
      <c r="U11" s="45">
        <v>51</v>
      </c>
      <c r="V11" s="45">
        <v>51</v>
      </c>
      <c r="W11" s="45">
        <v>51.4</v>
      </c>
      <c r="X11" s="45">
        <v>51.4</v>
      </c>
      <c r="Y11" s="46">
        <v>51.4</v>
      </c>
      <c r="Z11" s="46">
        <v>52.9</v>
      </c>
      <c r="AA11" s="46">
        <v>52.9</v>
      </c>
      <c r="AB11" s="46">
        <v>52.9</v>
      </c>
      <c r="AC11" s="46">
        <v>52.9</v>
      </c>
      <c r="AD11" s="46">
        <v>52.9</v>
      </c>
      <c r="AE11" s="46">
        <v>53</v>
      </c>
      <c r="AF11" s="46">
        <v>53</v>
      </c>
      <c r="AG11" s="47">
        <v>52.4</v>
      </c>
      <c r="AH11" s="48">
        <f>MAX(B11:AF11)</f>
        <v>53.2</v>
      </c>
      <c r="AI11" s="49">
        <f>MIN(B11:AF11)</f>
        <v>51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50.5</v>
      </c>
      <c r="C12" s="45">
        <v>50.5</v>
      </c>
      <c r="D12" s="45">
        <v>50.5</v>
      </c>
      <c r="E12" s="45">
        <v>50.5</v>
      </c>
      <c r="F12" s="45">
        <v>50.5</v>
      </c>
      <c r="G12" s="45">
        <v>50.5</v>
      </c>
      <c r="H12" s="45">
        <v>50.5</v>
      </c>
      <c r="I12" s="45">
        <v>50.5</v>
      </c>
      <c r="J12" s="45">
        <v>50.5</v>
      </c>
      <c r="K12" s="45">
        <v>50.5</v>
      </c>
      <c r="L12" s="45">
        <v>50.5</v>
      </c>
      <c r="M12" s="45">
        <v>50.5</v>
      </c>
      <c r="N12" s="45">
        <v>50.5</v>
      </c>
      <c r="O12" s="45">
        <v>50.5</v>
      </c>
      <c r="P12" s="45">
        <v>50.5</v>
      </c>
      <c r="Q12" s="45">
        <v>50.5</v>
      </c>
      <c r="R12" s="45">
        <v>50.5</v>
      </c>
      <c r="S12" s="45">
        <v>50.5</v>
      </c>
      <c r="T12" s="45">
        <v>50.5</v>
      </c>
      <c r="U12" s="45">
        <v>50.5</v>
      </c>
      <c r="V12" s="45">
        <v>50.5</v>
      </c>
      <c r="W12" s="45">
        <v>50.5</v>
      </c>
      <c r="X12" s="45">
        <v>50.5</v>
      </c>
      <c r="Y12" s="45">
        <v>50.5</v>
      </c>
      <c r="Z12" s="45">
        <v>50.5</v>
      </c>
      <c r="AA12" s="45">
        <v>50.5</v>
      </c>
      <c r="AB12" s="45">
        <v>50.5</v>
      </c>
      <c r="AC12" s="45">
        <v>50.5</v>
      </c>
      <c r="AD12" s="45">
        <v>50.5</v>
      </c>
      <c r="AE12" s="45">
        <v>50.5</v>
      </c>
      <c r="AF12" s="45">
        <v>50.5</v>
      </c>
      <c r="AG12" s="51">
        <v>50</v>
      </c>
      <c r="AH12" s="48">
        <f t="shared" ref="AH12:AH75" si="2">MAX(B12:AF12)</f>
        <v>50.5</v>
      </c>
      <c r="AI12" s="49">
        <f t="shared" ref="AI12:AI75" si="3">MIN(B12:AF12)</f>
        <v>50.5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41.4</v>
      </c>
      <c r="C13" s="45">
        <v>41.4</v>
      </c>
      <c r="D13" s="45">
        <v>41.4</v>
      </c>
      <c r="E13" s="45">
        <v>41.4</v>
      </c>
      <c r="F13" s="45">
        <v>41.4</v>
      </c>
      <c r="G13" s="45">
        <v>41.4</v>
      </c>
      <c r="H13" s="45">
        <v>41.4</v>
      </c>
      <c r="I13" s="45">
        <v>45.5</v>
      </c>
      <c r="J13" s="45">
        <v>45.5</v>
      </c>
      <c r="K13" s="45">
        <v>45.5</v>
      </c>
      <c r="L13" s="45">
        <v>45.5</v>
      </c>
      <c r="M13" s="45">
        <v>45.5</v>
      </c>
      <c r="N13" s="45">
        <v>45.5</v>
      </c>
      <c r="O13" s="45">
        <v>45.5</v>
      </c>
      <c r="P13" s="45">
        <v>45.5</v>
      </c>
      <c r="Q13" s="45">
        <v>45.5</v>
      </c>
      <c r="R13" s="45">
        <v>45.5</v>
      </c>
      <c r="S13" s="45">
        <v>45.5</v>
      </c>
      <c r="T13" s="45">
        <v>41.6</v>
      </c>
      <c r="U13" s="45">
        <v>41.6</v>
      </c>
      <c r="V13" s="45">
        <v>41.6</v>
      </c>
      <c r="W13" s="45">
        <v>46.1</v>
      </c>
      <c r="X13" s="45">
        <v>46.1</v>
      </c>
      <c r="Y13" s="45">
        <v>46.1</v>
      </c>
      <c r="Z13" s="45">
        <v>46.1</v>
      </c>
      <c r="AA13" s="45">
        <v>46.1</v>
      </c>
      <c r="AB13" s="45">
        <v>46.1</v>
      </c>
      <c r="AC13" s="45">
        <v>46.1</v>
      </c>
      <c r="AD13" s="45">
        <v>36</v>
      </c>
      <c r="AE13" s="45">
        <v>36</v>
      </c>
      <c r="AF13" s="45">
        <v>36</v>
      </c>
      <c r="AG13" s="51">
        <v>45</v>
      </c>
      <c r="AH13" s="48">
        <f t="shared" si="2"/>
        <v>46.1</v>
      </c>
      <c r="AI13" s="49">
        <f t="shared" si="3"/>
        <v>36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23</v>
      </c>
      <c r="C14" s="45">
        <v>23</v>
      </c>
      <c r="D14" s="45">
        <v>23</v>
      </c>
      <c r="E14" s="45">
        <v>20</v>
      </c>
      <c r="F14" s="45">
        <v>20</v>
      </c>
      <c r="G14" s="45">
        <v>20</v>
      </c>
      <c r="H14" s="45">
        <v>20</v>
      </c>
      <c r="I14" s="45">
        <v>26</v>
      </c>
      <c r="J14" s="45">
        <v>28</v>
      </c>
      <c r="K14" s="45">
        <v>35</v>
      </c>
      <c r="L14" s="45">
        <v>30</v>
      </c>
      <c r="M14" s="45">
        <v>30</v>
      </c>
      <c r="N14" s="45">
        <v>30</v>
      </c>
      <c r="O14" s="45">
        <v>30</v>
      </c>
      <c r="P14" s="45">
        <v>24</v>
      </c>
      <c r="Q14" s="45">
        <v>24</v>
      </c>
      <c r="R14" s="45">
        <v>28</v>
      </c>
      <c r="S14" s="45">
        <v>20</v>
      </c>
      <c r="T14" s="45">
        <v>20</v>
      </c>
      <c r="U14" s="45">
        <v>20</v>
      </c>
      <c r="V14" s="45">
        <v>20</v>
      </c>
      <c r="W14" s="45">
        <v>20</v>
      </c>
      <c r="X14" s="45">
        <v>28</v>
      </c>
      <c r="Y14" s="45">
        <v>28</v>
      </c>
      <c r="Z14" s="45">
        <v>26</v>
      </c>
      <c r="AA14" s="45">
        <v>26</v>
      </c>
      <c r="AB14" s="45">
        <v>26</v>
      </c>
      <c r="AC14" s="45">
        <v>26</v>
      </c>
      <c r="AD14" s="45">
        <v>26</v>
      </c>
      <c r="AE14" s="45">
        <v>26</v>
      </c>
      <c r="AF14" s="45">
        <v>26</v>
      </c>
      <c r="AG14" s="51">
        <v>42</v>
      </c>
      <c r="AH14" s="48">
        <f t="shared" si="2"/>
        <v>35</v>
      </c>
      <c r="AI14" s="49">
        <f t="shared" si="3"/>
        <v>20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5</v>
      </c>
      <c r="J15" s="45">
        <v>15</v>
      </c>
      <c r="K15" s="45">
        <v>20</v>
      </c>
      <c r="L15" s="45">
        <v>30</v>
      </c>
      <c r="M15" s="45">
        <v>30</v>
      </c>
      <c r="N15" s="45">
        <v>30</v>
      </c>
      <c r="O15" s="45">
        <v>30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5.2</v>
      </c>
      <c r="X15" s="45">
        <v>15</v>
      </c>
      <c r="Y15" s="45">
        <v>15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52">
        <v>30</v>
      </c>
      <c r="AH15" s="48">
        <f t="shared" si="2"/>
        <v>30</v>
      </c>
      <c r="AI15" s="49">
        <f t="shared" si="3"/>
        <v>0</v>
      </c>
      <c r="AK15" s="50"/>
      <c r="AL15" s="164">
        <f>1850-70-50</f>
        <v>1730</v>
      </c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23.7</v>
      </c>
      <c r="C16" s="45">
        <v>23.7</v>
      </c>
      <c r="D16" s="45">
        <v>23.7</v>
      </c>
      <c r="E16" s="45">
        <v>23.7</v>
      </c>
      <c r="F16" s="45">
        <v>23.7</v>
      </c>
      <c r="G16" s="45">
        <v>23.7</v>
      </c>
      <c r="H16" s="45">
        <v>23.7</v>
      </c>
      <c r="I16" s="45">
        <v>23.8</v>
      </c>
      <c r="J16" s="45">
        <v>23.8</v>
      </c>
      <c r="K16" s="45">
        <v>23.8</v>
      </c>
      <c r="L16" s="45">
        <v>23.8</v>
      </c>
      <c r="M16" s="45">
        <v>23.8</v>
      </c>
      <c r="N16" s="45">
        <v>23.8</v>
      </c>
      <c r="O16" s="45">
        <v>23.8</v>
      </c>
      <c r="P16" s="45">
        <v>16</v>
      </c>
      <c r="Q16" s="45">
        <v>16</v>
      </c>
      <c r="R16" s="45">
        <v>16</v>
      </c>
      <c r="S16" s="45">
        <v>16</v>
      </c>
      <c r="T16" s="45">
        <v>20.5</v>
      </c>
      <c r="U16" s="45">
        <v>20.5</v>
      </c>
      <c r="V16" s="45">
        <v>20.5</v>
      </c>
      <c r="W16" s="45">
        <v>20.399999999999999</v>
      </c>
      <c r="X16" s="45">
        <v>20.399999999999999</v>
      </c>
      <c r="Y16" s="45">
        <v>32.6</v>
      </c>
      <c r="Z16" s="45">
        <v>25</v>
      </c>
      <c r="AA16" s="45">
        <v>25</v>
      </c>
      <c r="AB16" s="45">
        <v>25</v>
      </c>
      <c r="AC16" s="45">
        <v>25</v>
      </c>
      <c r="AD16" s="45">
        <v>23</v>
      </c>
      <c r="AE16" s="45">
        <v>23</v>
      </c>
      <c r="AF16" s="45">
        <v>23</v>
      </c>
      <c r="AG16" s="51">
        <v>24.2</v>
      </c>
      <c r="AH16" s="48">
        <f t="shared" si="2"/>
        <v>32.6</v>
      </c>
      <c r="AI16" s="49">
        <f t="shared" si="3"/>
        <v>16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8</v>
      </c>
      <c r="J17" s="45">
        <v>15</v>
      </c>
      <c r="K17" s="45">
        <v>22</v>
      </c>
      <c r="L17" s="45">
        <v>27</v>
      </c>
      <c r="M17" s="45">
        <v>27</v>
      </c>
      <c r="N17" s="45">
        <v>27</v>
      </c>
      <c r="O17" s="45">
        <v>27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3</v>
      </c>
      <c r="X17" s="45">
        <v>3</v>
      </c>
      <c r="Y17" s="45">
        <v>9</v>
      </c>
      <c r="Z17" s="45">
        <v>3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52">
        <v>30</v>
      </c>
      <c r="AH17" s="48">
        <f t="shared" si="2"/>
        <v>27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25.3</v>
      </c>
      <c r="C18" s="45">
        <v>25.3</v>
      </c>
      <c r="D18" s="45">
        <v>25.3</v>
      </c>
      <c r="E18" s="45">
        <v>20.5</v>
      </c>
      <c r="F18" s="45">
        <v>20.5</v>
      </c>
      <c r="G18" s="45">
        <v>20.5</v>
      </c>
      <c r="H18" s="45">
        <v>20.5</v>
      </c>
      <c r="I18" s="45">
        <v>25.4</v>
      </c>
      <c r="J18" s="45">
        <v>25.4</v>
      </c>
      <c r="K18" s="45">
        <v>25.4</v>
      </c>
      <c r="L18" s="45">
        <v>25.4</v>
      </c>
      <c r="M18" s="45">
        <v>25.4</v>
      </c>
      <c r="N18" s="45">
        <v>25.4</v>
      </c>
      <c r="O18" s="45">
        <v>25.4</v>
      </c>
      <c r="P18" s="45">
        <v>25.4</v>
      </c>
      <c r="Q18" s="45">
        <v>25.4</v>
      </c>
      <c r="R18" s="45">
        <v>25.4</v>
      </c>
      <c r="S18" s="45">
        <v>25.4</v>
      </c>
      <c r="T18" s="45">
        <v>25.4</v>
      </c>
      <c r="U18" s="45">
        <v>20</v>
      </c>
      <c r="V18" s="45">
        <v>20</v>
      </c>
      <c r="W18" s="45">
        <v>20.6</v>
      </c>
      <c r="X18" s="45">
        <v>20.6</v>
      </c>
      <c r="Y18" s="45">
        <v>20.6</v>
      </c>
      <c r="Z18" s="45">
        <v>25.4</v>
      </c>
      <c r="AA18" s="45">
        <v>25.4</v>
      </c>
      <c r="AB18" s="45">
        <v>25.4</v>
      </c>
      <c r="AC18" s="45">
        <v>25.4</v>
      </c>
      <c r="AD18" s="45">
        <v>20.6</v>
      </c>
      <c r="AE18" s="45">
        <v>10</v>
      </c>
      <c r="AF18" s="45">
        <v>10</v>
      </c>
      <c r="AG18" s="51">
        <v>25</v>
      </c>
      <c r="AH18" s="48">
        <f t="shared" si="2"/>
        <v>25.4</v>
      </c>
      <c r="AI18" s="49">
        <f t="shared" si="3"/>
        <v>10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23</v>
      </c>
      <c r="C19" s="45">
        <v>23</v>
      </c>
      <c r="D19" s="45">
        <v>23</v>
      </c>
      <c r="E19" s="45">
        <v>23</v>
      </c>
      <c r="F19" s="45">
        <v>23</v>
      </c>
      <c r="G19" s="45">
        <v>23</v>
      </c>
      <c r="H19" s="45">
        <v>23</v>
      </c>
      <c r="I19" s="45">
        <v>23</v>
      </c>
      <c r="J19" s="45">
        <v>23</v>
      </c>
      <c r="K19" s="45">
        <v>23</v>
      </c>
      <c r="L19" s="45">
        <v>25</v>
      </c>
      <c r="M19" s="45">
        <v>25</v>
      </c>
      <c r="N19" s="45">
        <v>25</v>
      </c>
      <c r="O19" s="45">
        <v>25</v>
      </c>
      <c r="P19" s="45">
        <v>23</v>
      </c>
      <c r="Q19" s="45">
        <v>23</v>
      </c>
      <c r="R19" s="45">
        <v>0</v>
      </c>
      <c r="S19" s="45">
        <v>0</v>
      </c>
      <c r="T19" s="45">
        <v>0</v>
      </c>
      <c r="U19" s="45">
        <v>25</v>
      </c>
      <c r="V19" s="45">
        <v>25</v>
      </c>
      <c r="W19" s="45">
        <v>25</v>
      </c>
      <c r="X19" s="45">
        <v>25</v>
      </c>
      <c r="Y19" s="45">
        <v>25</v>
      </c>
      <c r="Z19" s="45">
        <v>25</v>
      </c>
      <c r="AA19" s="45">
        <v>25</v>
      </c>
      <c r="AB19" s="45">
        <v>25</v>
      </c>
      <c r="AC19" s="45">
        <v>25</v>
      </c>
      <c r="AD19" s="45">
        <v>25</v>
      </c>
      <c r="AE19" s="45">
        <v>25</v>
      </c>
      <c r="AF19" s="45">
        <v>25</v>
      </c>
      <c r="AG19" s="51">
        <v>25</v>
      </c>
      <c r="AH19" s="48">
        <f t="shared" si="2"/>
        <v>25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25</v>
      </c>
      <c r="C20" s="45">
        <v>25</v>
      </c>
      <c r="D20" s="45">
        <v>25</v>
      </c>
      <c r="E20" s="45">
        <v>20</v>
      </c>
      <c r="F20" s="45">
        <v>20</v>
      </c>
      <c r="G20" s="45">
        <v>22</v>
      </c>
      <c r="H20" s="45">
        <v>25</v>
      </c>
      <c r="I20" s="45">
        <v>25</v>
      </c>
      <c r="J20" s="45">
        <v>25</v>
      </c>
      <c r="K20" s="45">
        <v>25</v>
      </c>
      <c r="L20" s="45">
        <v>25</v>
      </c>
      <c r="M20" s="45">
        <v>25</v>
      </c>
      <c r="N20" s="45">
        <v>25</v>
      </c>
      <c r="O20" s="45">
        <v>25</v>
      </c>
      <c r="P20" s="45">
        <v>25</v>
      </c>
      <c r="Q20" s="45">
        <v>25</v>
      </c>
      <c r="R20" s="45">
        <v>25</v>
      </c>
      <c r="S20" s="45">
        <v>25</v>
      </c>
      <c r="T20" s="45">
        <v>25</v>
      </c>
      <c r="U20" s="45">
        <v>25</v>
      </c>
      <c r="V20" s="45">
        <v>25</v>
      </c>
      <c r="W20" s="45">
        <v>25</v>
      </c>
      <c r="X20" s="45">
        <v>25</v>
      </c>
      <c r="Y20" s="45">
        <v>25</v>
      </c>
      <c r="Z20" s="45">
        <v>25</v>
      </c>
      <c r="AA20" s="45">
        <v>25</v>
      </c>
      <c r="AB20" s="45">
        <v>25</v>
      </c>
      <c r="AC20" s="45">
        <v>25</v>
      </c>
      <c r="AD20" s="45">
        <v>25</v>
      </c>
      <c r="AE20" s="45">
        <v>25</v>
      </c>
      <c r="AF20" s="45">
        <v>25</v>
      </c>
      <c r="AG20" s="51">
        <v>25</v>
      </c>
      <c r="AH20" s="48">
        <f t="shared" si="2"/>
        <v>25</v>
      </c>
      <c r="AI20" s="49">
        <f t="shared" si="3"/>
        <v>20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23</v>
      </c>
      <c r="C21" s="45">
        <v>23</v>
      </c>
      <c r="D21" s="45">
        <v>23</v>
      </c>
      <c r="E21" s="45">
        <v>23</v>
      </c>
      <c r="F21" s="45">
        <v>23</v>
      </c>
      <c r="G21" s="45">
        <v>23</v>
      </c>
      <c r="H21" s="45">
        <v>23</v>
      </c>
      <c r="I21" s="45">
        <v>23</v>
      </c>
      <c r="J21" s="45">
        <v>23</v>
      </c>
      <c r="K21" s="45">
        <v>23</v>
      </c>
      <c r="L21" s="45">
        <v>23</v>
      </c>
      <c r="M21" s="45">
        <v>23</v>
      </c>
      <c r="N21" s="45">
        <v>23</v>
      </c>
      <c r="O21" s="45">
        <v>23</v>
      </c>
      <c r="P21" s="45">
        <v>23</v>
      </c>
      <c r="Q21" s="45">
        <v>23</v>
      </c>
      <c r="R21" s="45">
        <v>23</v>
      </c>
      <c r="S21" s="45">
        <v>23</v>
      </c>
      <c r="T21" s="45">
        <v>23</v>
      </c>
      <c r="U21" s="45">
        <v>23</v>
      </c>
      <c r="V21" s="45">
        <v>23</v>
      </c>
      <c r="W21" s="45">
        <v>23</v>
      </c>
      <c r="X21" s="45">
        <v>23</v>
      </c>
      <c r="Y21" s="45">
        <v>23</v>
      </c>
      <c r="Z21" s="45">
        <v>23</v>
      </c>
      <c r="AA21" s="45">
        <v>23</v>
      </c>
      <c r="AB21" s="45">
        <v>23</v>
      </c>
      <c r="AC21" s="45">
        <v>23</v>
      </c>
      <c r="AD21" s="45">
        <v>23</v>
      </c>
      <c r="AE21" s="45">
        <v>23</v>
      </c>
      <c r="AF21" s="45">
        <v>23</v>
      </c>
      <c r="AG21" s="51">
        <v>23.5</v>
      </c>
      <c r="AH21" s="48">
        <f t="shared" si="2"/>
        <v>23</v>
      </c>
      <c r="AI21" s="49">
        <f t="shared" si="3"/>
        <v>23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19</v>
      </c>
      <c r="C22" s="45">
        <v>19</v>
      </c>
      <c r="D22" s="45">
        <v>19</v>
      </c>
      <c r="E22" s="45">
        <v>19</v>
      </c>
      <c r="F22" s="45">
        <v>19</v>
      </c>
      <c r="G22" s="45">
        <v>19</v>
      </c>
      <c r="H22" s="45">
        <v>22</v>
      </c>
      <c r="I22" s="45">
        <v>22</v>
      </c>
      <c r="J22" s="45">
        <v>22</v>
      </c>
      <c r="K22" s="45">
        <v>22</v>
      </c>
      <c r="L22" s="45">
        <v>22</v>
      </c>
      <c r="M22" s="45">
        <v>22</v>
      </c>
      <c r="N22" s="45">
        <v>22</v>
      </c>
      <c r="O22" s="45">
        <v>22</v>
      </c>
      <c r="P22" s="45">
        <v>22</v>
      </c>
      <c r="Q22" s="45">
        <v>22</v>
      </c>
      <c r="R22" s="45">
        <v>22</v>
      </c>
      <c r="S22" s="45">
        <v>22</v>
      </c>
      <c r="T22" s="45">
        <v>22</v>
      </c>
      <c r="U22" s="45">
        <v>22</v>
      </c>
      <c r="V22" s="45">
        <v>22</v>
      </c>
      <c r="W22" s="45">
        <v>22</v>
      </c>
      <c r="X22" s="45">
        <v>22</v>
      </c>
      <c r="Y22" s="45">
        <v>22</v>
      </c>
      <c r="Z22" s="45">
        <v>22</v>
      </c>
      <c r="AA22" s="45">
        <v>22</v>
      </c>
      <c r="AB22" s="45">
        <v>22</v>
      </c>
      <c r="AC22" s="45">
        <v>22</v>
      </c>
      <c r="AD22" s="45">
        <v>22</v>
      </c>
      <c r="AE22" s="45">
        <v>22</v>
      </c>
      <c r="AF22" s="45">
        <v>22</v>
      </c>
      <c r="AG22" s="51">
        <v>22.2</v>
      </c>
      <c r="AH22" s="48">
        <f t="shared" si="2"/>
        <v>22</v>
      </c>
      <c r="AI22" s="49">
        <f t="shared" si="3"/>
        <v>19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22</v>
      </c>
      <c r="C23" s="45">
        <v>22</v>
      </c>
      <c r="D23" s="45">
        <v>22</v>
      </c>
      <c r="E23" s="45">
        <v>22</v>
      </c>
      <c r="F23" s="45">
        <v>22</v>
      </c>
      <c r="G23" s="45">
        <v>22</v>
      </c>
      <c r="H23" s="45">
        <v>22</v>
      </c>
      <c r="I23" s="45">
        <v>17</v>
      </c>
      <c r="J23" s="45">
        <v>17</v>
      </c>
      <c r="K23" s="45">
        <v>17</v>
      </c>
      <c r="L23" s="45">
        <v>22</v>
      </c>
      <c r="M23" s="45">
        <v>22</v>
      </c>
      <c r="N23" s="45">
        <v>22</v>
      </c>
      <c r="O23" s="45">
        <v>22</v>
      </c>
      <c r="P23" s="45">
        <v>14</v>
      </c>
      <c r="Q23" s="45">
        <v>14</v>
      </c>
      <c r="R23" s="45">
        <v>0</v>
      </c>
      <c r="S23" s="45">
        <v>0</v>
      </c>
      <c r="T23" s="45">
        <v>0</v>
      </c>
      <c r="U23" s="45">
        <v>22</v>
      </c>
      <c r="V23" s="45">
        <v>22</v>
      </c>
      <c r="W23" s="45">
        <v>22</v>
      </c>
      <c r="X23" s="45">
        <v>22</v>
      </c>
      <c r="Y23" s="45">
        <v>22</v>
      </c>
      <c r="Z23" s="45">
        <v>22</v>
      </c>
      <c r="AA23" s="45">
        <v>22</v>
      </c>
      <c r="AB23" s="45">
        <v>22</v>
      </c>
      <c r="AC23" s="45">
        <v>22</v>
      </c>
      <c r="AD23" s="45">
        <v>22</v>
      </c>
      <c r="AE23" s="45">
        <v>22</v>
      </c>
      <c r="AF23" s="45">
        <v>22</v>
      </c>
      <c r="AG23" s="51">
        <v>22.1</v>
      </c>
      <c r="AH23" s="48">
        <f t="shared" si="2"/>
        <v>22</v>
      </c>
      <c r="AI23" s="49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22</v>
      </c>
      <c r="C24" s="45">
        <v>22</v>
      </c>
      <c r="D24" s="45">
        <v>22</v>
      </c>
      <c r="E24" s="45">
        <v>18</v>
      </c>
      <c r="F24" s="45">
        <v>20</v>
      </c>
      <c r="G24" s="45">
        <v>20</v>
      </c>
      <c r="H24" s="45">
        <v>22</v>
      </c>
      <c r="I24" s="45">
        <v>22</v>
      </c>
      <c r="J24" s="45">
        <v>22</v>
      </c>
      <c r="K24" s="45">
        <v>22</v>
      </c>
      <c r="L24" s="45">
        <v>22</v>
      </c>
      <c r="M24" s="45">
        <v>22</v>
      </c>
      <c r="N24" s="45">
        <v>22</v>
      </c>
      <c r="O24" s="45">
        <v>22</v>
      </c>
      <c r="P24" s="45">
        <v>20</v>
      </c>
      <c r="Q24" s="45">
        <v>20</v>
      </c>
      <c r="R24" s="45">
        <v>0</v>
      </c>
      <c r="S24" s="45">
        <v>0</v>
      </c>
      <c r="T24" s="45">
        <v>0</v>
      </c>
      <c r="U24" s="45">
        <v>20</v>
      </c>
      <c r="V24" s="45">
        <v>20</v>
      </c>
      <c r="W24" s="45">
        <v>20</v>
      </c>
      <c r="X24" s="45">
        <v>20</v>
      </c>
      <c r="Y24" s="45">
        <v>20</v>
      </c>
      <c r="Z24" s="45">
        <v>20</v>
      </c>
      <c r="AA24" s="45">
        <v>20</v>
      </c>
      <c r="AB24" s="45">
        <v>20</v>
      </c>
      <c r="AC24" s="45">
        <v>20</v>
      </c>
      <c r="AD24" s="45">
        <v>20</v>
      </c>
      <c r="AE24" s="45">
        <v>20</v>
      </c>
      <c r="AF24" s="45">
        <v>20</v>
      </c>
      <c r="AG24" s="51">
        <v>22</v>
      </c>
      <c r="AH24" s="48">
        <f t="shared" si="2"/>
        <v>22</v>
      </c>
      <c r="AI24" s="49">
        <f t="shared" si="3"/>
        <v>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22</v>
      </c>
      <c r="C25" s="45">
        <v>22</v>
      </c>
      <c r="D25" s="45">
        <v>22</v>
      </c>
      <c r="E25" s="45">
        <v>22</v>
      </c>
      <c r="F25" s="45">
        <v>22</v>
      </c>
      <c r="G25" s="45">
        <v>22</v>
      </c>
      <c r="H25" s="45">
        <v>22</v>
      </c>
      <c r="I25" s="45">
        <v>22</v>
      </c>
      <c r="J25" s="45">
        <v>22</v>
      </c>
      <c r="K25" s="45">
        <v>22</v>
      </c>
      <c r="L25" s="45">
        <v>22</v>
      </c>
      <c r="M25" s="45">
        <v>22</v>
      </c>
      <c r="N25" s="45">
        <v>22</v>
      </c>
      <c r="O25" s="45">
        <v>22</v>
      </c>
      <c r="P25" s="45">
        <v>22</v>
      </c>
      <c r="Q25" s="45">
        <v>22</v>
      </c>
      <c r="R25" s="45">
        <v>22</v>
      </c>
      <c r="S25" s="45">
        <v>22</v>
      </c>
      <c r="T25" s="45">
        <v>22</v>
      </c>
      <c r="U25" s="45">
        <v>22</v>
      </c>
      <c r="V25" s="45">
        <v>22</v>
      </c>
      <c r="W25" s="45">
        <v>22</v>
      </c>
      <c r="X25" s="45">
        <v>22</v>
      </c>
      <c r="Y25" s="45">
        <v>22</v>
      </c>
      <c r="Z25" s="45">
        <v>22</v>
      </c>
      <c r="AA25" s="45">
        <v>22</v>
      </c>
      <c r="AB25" s="45">
        <v>22</v>
      </c>
      <c r="AC25" s="45">
        <v>22</v>
      </c>
      <c r="AD25" s="45">
        <v>22</v>
      </c>
      <c r="AE25" s="45">
        <v>0</v>
      </c>
      <c r="AF25" s="45">
        <v>0</v>
      </c>
      <c r="AG25" s="51">
        <v>22</v>
      </c>
      <c r="AH25" s="48">
        <f t="shared" si="2"/>
        <v>22</v>
      </c>
      <c r="AI25" s="49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5</v>
      </c>
      <c r="J26" s="45">
        <v>5</v>
      </c>
      <c r="K26" s="45">
        <v>10</v>
      </c>
      <c r="L26" s="45">
        <v>10</v>
      </c>
      <c r="M26" s="45">
        <v>10</v>
      </c>
      <c r="N26" s="45">
        <v>10</v>
      </c>
      <c r="O26" s="45">
        <v>10</v>
      </c>
      <c r="P26" s="45">
        <v>10</v>
      </c>
      <c r="Q26" s="45">
        <v>10</v>
      </c>
      <c r="R26" s="45">
        <v>10</v>
      </c>
      <c r="S26" s="45">
        <v>10</v>
      </c>
      <c r="T26" s="45">
        <v>10</v>
      </c>
      <c r="U26" s="45">
        <v>10</v>
      </c>
      <c r="V26" s="45">
        <v>10</v>
      </c>
      <c r="W26" s="45">
        <v>10</v>
      </c>
      <c r="X26" s="45">
        <v>10</v>
      </c>
      <c r="Y26" s="45">
        <v>10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0</v>
      </c>
      <c r="S27" s="45">
        <v>0</v>
      </c>
      <c r="T27" s="45">
        <v>0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14.9</v>
      </c>
      <c r="AH27" s="48">
        <f t="shared" si="2"/>
        <v>14</v>
      </c>
      <c r="AI27" s="49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6.8</v>
      </c>
      <c r="C28" s="45">
        <v>6.8</v>
      </c>
      <c r="D28" s="45">
        <v>6.8</v>
      </c>
      <c r="E28" s="45">
        <v>6.8</v>
      </c>
      <c r="F28" s="45">
        <v>6.8</v>
      </c>
      <c r="G28" s="45">
        <v>6.8</v>
      </c>
      <c r="H28" s="45">
        <v>6.8</v>
      </c>
      <c r="I28" s="45">
        <v>6.8</v>
      </c>
      <c r="J28" s="45">
        <v>6.8</v>
      </c>
      <c r="K28" s="45">
        <v>6.8</v>
      </c>
      <c r="L28" s="45">
        <v>6.8</v>
      </c>
      <c r="M28" s="45">
        <v>6.8</v>
      </c>
      <c r="N28" s="45">
        <v>6.8</v>
      </c>
      <c r="O28" s="45">
        <v>6.8</v>
      </c>
      <c r="P28" s="45">
        <v>6.8</v>
      </c>
      <c r="Q28" s="45">
        <v>6.8</v>
      </c>
      <c r="R28" s="45">
        <v>6.8</v>
      </c>
      <c r="S28" s="45">
        <v>6.8</v>
      </c>
      <c r="T28" s="45">
        <v>6.8</v>
      </c>
      <c r="U28" s="45">
        <v>6.8</v>
      </c>
      <c r="V28" s="45">
        <v>6.8</v>
      </c>
      <c r="W28" s="45">
        <v>6.8</v>
      </c>
      <c r="X28" s="45">
        <v>6.8</v>
      </c>
      <c r="Y28" s="45">
        <v>6.8</v>
      </c>
      <c r="Z28" s="45">
        <v>6.8</v>
      </c>
      <c r="AA28" s="45">
        <v>6.8</v>
      </c>
      <c r="AB28" s="45">
        <v>6.8</v>
      </c>
      <c r="AC28" s="45">
        <v>6.8</v>
      </c>
      <c r="AD28" s="45">
        <v>6.8</v>
      </c>
      <c r="AE28" s="45">
        <v>6.8</v>
      </c>
      <c r="AF28" s="45">
        <v>6.8</v>
      </c>
      <c r="AG28" s="51">
        <v>13.6</v>
      </c>
      <c r="AH28" s="48">
        <f t="shared" si="2"/>
        <v>6.8</v>
      </c>
      <c r="AI28" s="49">
        <f t="shared" si="3"/>
        <v>6.8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13</v>
      </c>
      <c r="C29" s="45">
        <v>13</v>
      </c>
      <c r="D29" s="45">
        <v>13</v>
      </c>
      <c r="E29" s="45">
        <v>13</v>
      </c>
      <c r="F29" s="45">
        <v>13</v>
      </c>
      <c r="G29" s="45">
        <v>13</v>
      </c>
      <c r="H29" s="45">
        <v>13</v>
      </c>
      <c r="I29" s="45">
        <v>13</v>
      </c>
      <c r="J29" s="45">
        <v>13</v>
      </c>
      <c r="K29" s="45">
        <v>13</v>
      </c>
      <c r="L29" s="45">
        <v>13</v>
      </c>
      <c r="M29" s="45">
        <v>13</v>
      </c>
      <c r="N29" s="45">
        <v>13</v>
      </c>
      <c r="O29" s="45">
        <v>13</v>
      </c>
      <c r="P29" s="45">
        <v>13</v>
      </c>
      <c r="Q29" s="45">
        <v>13</v>
      </c>
      <c r="R29" s="45">
        <v>13</v>
      </c>
      <c r="S29" s="45">
        <v>13</v>
      </c>
      <c r="T29" s="45">
        <v>13</v>
      </c>
      <c r="U29" s="45">
        <v>13</v>
      </c>
      <c r="V29" s="45">
        <v>13</v>
      </c>
      <c r="W29" s="45">
        <v>13</v>
      </c>
      <c r="X29" s="45">
        <v>13</v>
      </c>
      <c r="Y29" s="45">
        <v>13</v>
      </c>
      <c r="Z29" s="45">
        <v>13</v>
      </c>
      <c r="AA29" s="45">
        <v>13</v>
      </c>
      <c r="AB29" s="45">
        <v>13</v>
      </c>
      <c r="AC29" s="45">
        <v>13</v>
      </c>
      <c r="AD29" s="45">
        <v>13</v>
      </c>
      <c r="AE29" s="45">
        <v>13</v>
      </c>
      <c r="AF29" s="45">
        <v>13</v>
      </c>
      <c r="AG29" s="51">
        <v>13</v>
      </c>
      <c r="AH29" s="48">
        <f t="shared" si="2"/>
        <v>13</v>
      </c>
      <c r="AI29" s="49">
        <f t="shared" si="3"/>
        <v>13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5</v>
      </c>
      <c r="J30" s="45">
        <v>10</v>
      </c>
      <c r="K30" s="45">
        <v>10</v>
      </c>
      <c r="L30" s="45">
        <v>8</v>
      </c>
      <c r="M30" s="45">
        <v>8</v>
      </c>
      <c r="N30" s="45">
        <v>8</v>
      </c>
      <c r="O30" s="45">
        <v>8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3</v>
      </c>
      <c r="Y30" s="45">
        <v>3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51">
        <v>12</v>
      </c>
      <c r="AH30" s="48">
        <f t="shared" si="2"/>
        <v>10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0</v>
      </c>
      <c r="C31" s="45">
        <v>0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2"/>
        <v>12</v>
      </c>
      <c r="AI31" s="49">
        <f t="shared" si="3"/>
        <v>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3</v>
      </c>
      <c r="C32" s="45">
        <v>3</v>
      </c>
      <c r="D32" s="45">
        <v>3</v>
      </c>
      <c r="E32" s="45">
        <v>3</v>
      </c>
      <c r="F32" s="45">
        <v>3</v>
      </c>
      <c r="G32" s="45">
        <v>3</v>
      </c>
      <c r="H32" s="45">
        <v>3</v>
      </c>
      <c r="I32" s="45">
        <v>3</v>
      </c>
      <c r="J32" s="45">
        <v>3</v>
      </c>
      <c r="K32" s="45">
        <v>3</v>
      </c>
      <c r="L32" s="45">
        <v>12</v>
      </c>
      <c r="M32" s="45">
        <v>12</v>
      </c>
      <c r="N32" s="45">
        <v>12</v>
      </c>
      <c r="O32" s="45">
        <v>12</v>
      </c>
      <c r="P32" s="45">
        <v>12</v>
      </c>
      <c r="Q32" s="45">
        <v>12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1">
        <v>12</v>
      </c>
      <c r="AH32" s="48">
        <f t="shared" si="2"/>
        <v>12</v>
      </c>
      <c r="AI32" s="49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12</v>
      </c>
      <c r="C33" s="45">
        <v>12</v>
      </c>
      <c r="D33" s="45">
        <v>12</v>
      </c>
      <c r="E33" s="45">
        <v>12</v>
      </c>
      <c r="F33" s="45">
        <v>12</v>
      </c>
      <c r="G33" s="45">
        <v>12</v>
      </c>
      <c r="H33" s="45">
        <v>12</v>
      </c>
      <c r="I33" s="45">
        <v>12</v>
      </c>
      <c r="J33" s="45">
        <v>12</v>
      </c>
      <c r="K33" s="45">
        <v>12</v>
      </c>
      <c r="L33" s="45">
        <v>12</v>
      </c>
      <c r="M33" s="45">
        <v>12</v>
      </c>
      <c r="N33" s="45">
        <v>12</v>
      </c>
      <c r="O33" s="45">
        <v>12</v>
      </c>
      <c r="P33" s="45">
        <v>12</v>
      </c>
      <c r="Q33" s="45">
        <v>12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53">
        <v>22</v>
      </c>
      <c r="AH33" s="48">
        <f t="shared" si="2"/>
        <v>12</v>
      </c>
      <c r="AI33" s="49">
        <f t="shared" si="3"/>
        <v>0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11</v>
      </c>
      <c r="C34" s="45">
        <v>11</v>
      </c>
      <c r="D34" s="45">
        <v>11</v>
      </c>
      <c r="E34" s="45">
        <v>11</v>
      </c>
      <c r="F34" s="45">
        <v>11</v>
      </c>
      <c r="G34" s="45">
        <v>11</v>
      </c>
      <c r="H34" s="45">
        <v>11</v>
      </c>
      <c r="I34" s="45">
        <v>11</v>
      </c>
      <c r="J34" s="45">
        <v>11</v>
      </c>
      <c r="K34" s="45">
        <v>11</v>
      </c>
      <c r="L34" s="45">
        <v>11</v>
      </c>
      <c r="M34" s="45">
        <v>11</v>
      </c>
      <c r="N34" s="45">
        <v>11</v>
      </c>
      <c r="O34" s="45">
        <v>11</v>
      </c>
      <c r="P34" s="45">
        <v>11</v>
      </c>
      <c r="Q34" s="45">
        <v>11</v>
      </c>
      <c r="R34" s="45">
        <v>11</v>
      </c>
      <c r="S34" s="45">
        <v>11</v>
      </c>
      <c r="T34" s="45">
        <v>11</v>
      </c>
      <c r="U34" s="45">
        <v>9</v>
      </c>
      <c r="V34" s="45">
        <v>9</v>
      </c>
      <c r="W34" s="45">
        <v>9</v>
      </c>
      <c r="X34" s="45">
        <v>9</v>
      </c>
      <c r="Y34" s="45">
        <v>9</v>
      </c>
      <c r="Z34" s="45">
        <v>9</v>
      </c>
      <c r="AA34" s="45">
        <v>9</v>
      </c>
      <c r="AB34" s="45">
        <v>9</v>
      </c>
      <c r="AC34" s="45">
        <v>9</v>
      </c>
      <c r="AD34" s="45">
        <v>9</v>
      </c>
      <c r="AE34" s="45">
        <v>9</v>
      </c>
      <c r="AF34" s="45">
        <v>9</v>
      </c>
      <c r="AG34" s="52">
        <v>11.88</v>
      </c>
      <c r="AH34" s="48">
        <f t="shared" si="2"/>
        <v>11</v>
      </c>
      <c r="AI34" s="49">
        <f t="shared" si="3"/>
        <v>9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11</v>
      </c>
      <c r="C35" s="45">
        <v>11</v>
      </c>
      <c r="D35" s="45">
        <v>11</v>
      </c>
      <c r="E35" s="45">
        <v>7</v>
      </c>
      <c r="F35" s="45">
        <v>7</v>
      </c>
      <c r="G35" s="45">
        <v>7</v>
      </c>
      <c r="H35" s="45">
        <v>11</v>
      </c>
      <c r="I35" s="45">
        <v>11</v>
      </c>
      <c r="J35" s="45">
        <v>11</v>
      </c>
      <c r="K35" s="45">
        <v>11</v>
      </c>
      <c r="L35" s="45">
        <v>11</v>
      </c>
      <c r="M35" s="45">
        <v>11</v>
      </c>
      <c r="N35" s="45">
        <v>11</v>
      </c>
      <c r="O35" s="45">
        <v>11</v>
      </c>
      <c r="P35" s="45">
        <v>11</v>
      </c>
      <c r="Q35" s="45">
        <v>11</v>
      </c>
      <c r="R35" s="45">
        <v>11</v>
      </c>
      <c r="S35" s="45">
        <v>11</v>
      </c>
      <c r="T35" s="45">
        <v>11</v>
      </c>
      <c r="U35" s="45">
        <v>11</v>
      </c>
      <c r="V35" s="45">
        <v>11</v>
      </c>
      <c r="W35" s="45">
        <v>11</v>
      </c>
      <c r="X35" s="45">
        <v>11</v>
      </c>
      <c r="Y35" s="45">
        <v>11</v>
      </c>
      <c r="Z35" s="45">
        <v>11</v>
      </c>
      <c r="AA35" s="45">
        <v>11</v>
      </c>
      <c r="AB35" s="45">
        <v>11</v>
      </c>
      <c r="AC35" s="45">
        <v>11</v>
      </c>
      <c r="AD35" s="45">
        <v>11</v>
      </c>
      <c r="AE35" s="45">
        <v>11</v>
      </c>
      <c r="AF35" s="45">
        <v>11</v>
      </c>
      <c r="AG35" s="55">
        <v>11</v>
      </c>
      <c r="AH35" s="48">
        <f t="shared" si="2"/>
        <v>11</v>
      </c>
      <c r="AI35" s="49">
        <f t="shared" si="3"/>
        <v>7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9.3000000000000007</v>
      </c>
      <c r="C36" s="45">
        <v>9.3000000000000007</v>
      </c>
      <c r="D36" s="45">
        <v>9.3000000000000007</v>
      </c>
      <c r="E36" s="45">
        <v>9.3000000000000007</v>
      </c>
      <c r="F36" s="45">
        <v>9.3000000000000007</v>
      </c>
      <c r="G36" s="45">
        <v>9.3000000000000007</v>
      </c>
      <c r="H36" s="45">
        <v>9.3000000000000007</v>
      </c>
      <c r="I36" s="45">
        <v>9.3000000000000007</v>
      </c>
      <c r="J36" s="45">
        <v>9.3000000000000007</v>
      </c>
      <c r="K36" s="45">
        <v>9.3000000000000007</v>
      </c>
      <c r="L36" s="45">
        <v>9.3000000000000007</v>
      </c>
      <c r="M36" s="45">
        <v>9.3000000000000007</v>
      </c>
      <c r="N36" s="45">
        <v>9.3000000000000007</v>
      </c>
      <c r="O36" s="45">
        <v>9.3000000000000007</v>
      </c>
      <c r="P36" s="45">
        <v>9.3000000000000007</v>
      </c>
      <c r="Q36" s="45">
        <v>9.3000000000000007</v>
      </c>
      <c r="R36" s="45">
        <v>9.3000000000000007</v>
      </c>
      <c r="S36" s="45">
        <v>9.3000000000000007</v>
      </c>
      <c r="T36" s="45">
        <v>9.3000000000000007</v>
      </c>
      <c r="U36" s="45">
        <v>9.3000000000000007</v>
      </c>
      <c r="V36" s="45">
        <v>9.3000000000000007</v>
      </c>
      <c r="W36" s="45">
        <v>9.3000000000000007</v>
      </c>
      <c r="X36" s="45">
        <v>9.3000000000000007</v>
      </c>
      <c r="Y36" s="45">
        <v>9.3000000000000007</v>
      </c>
      <c r="Z36" s="45">
        <v>9.3000000000000007</v>
      </c>
      <c r="AA36" s="45">
        <v>9.3000000000000007</v>
      </c>
      <c r="AB36" s="45">
        <v>9.3000000000000007</v>
      </c>
      <c r="AC36" s="45">
        <v>9.3000000000000007</v>
      </c>
      <c r="AD36" s="45">
        <v>9.3000000000000007</v>
      </c>
      <c r="AE36" s="45">
        <v>9.3000000000000007</v>
      </c>
      <c r="AF36" s="45">
        <v>9.3000000000000007</v>
      </c>
      <c r="AG36" s="55">
        <v>10</v>
      </c>
      <c r="AH36" s="48">
        <f t="shared" si="2"/>
        <v>9.3000000000000007</v>
      </c>
      <c r="AI36" s="49">
        <f t="shared" si="3"/>
        <v>9.3000000000000007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2</v>
      </c>
      <c r="N37" s="45">
        <v>2</v>
      </c>
      <c r="O37" s="45">
        <v>2</v>
      </c>
      <c r="P37" s="45">
        <v>2</v>
      </c>
      <c r="Q37" s="45">
        <v>2</v>
      </c>
      <c r="R37" s="45">
        <v>2</v>
      </c>
      <c r="S37" s="45">
        <v>2</v>
      </c>
      <c r="T37" s="45">
        <v>2</v>
      </c>
      <c r="U37" s="45">
        <v>2</v>
      </c>
      <c r="V37" s="45">
        <v>2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2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300</v>
      </c>
      <c r="C38" s="57">
        <v>300</v>
      </c>
      <c r="D38" s="57">
        <v>300</v>
      </c>
      <c r="E38" s="57">
        <v>300</v>
      </c>
      <c r="F38" s="57">
        <v>300</v>
      </c>
      <c r="G38" s="57">
        <v>300</v>
      </c>
      <c r="H38" s="57">
        <v>300</v>
      </c>
      <c r="I38" s="57">
        <v>300</v>
      </c>
      <c r="J38" s="57">
        <v>300</v>
      </c>
      <c r="K38" s="57">
        <v>300</v>
      </c>
      <c r="L38" s="57">
        <v>300</v>
      </c>
      <c r="M38" s="57">
        <v>300</v>
      </c>
      <c r="N38" s="57">
        <v>300</v>
      </c>
      <c r="O38" s="57">
        <v>300</v>
      </c>
      <c r="P38" s="57">
        <v>300</v>
      </c>
      <c r="Q38" s="57">
        <v>300</v>
      </c>
      <c r="R38" s="57">
        <v>300</v>
      </c>
      <c r="S38" s="57">
        <v>300</v>
      </c>
      <c r="T38" s="57">
        <v>300</v>
      </c>
      <c r="U38" s="57">
        <v>300</v>
      </c>
      <c r="V38" s="57">
        <v>300</v>
      </c>
      <c r="W38" s="57">
        <v>300</v>
      </c>
      <c r="X38" s="57">
        <v>300</v>
      </c>
      <c r="Y38" s="57">
        <v>300</v>
      </c>
      <c r="Z38" s="57">
        <v>300</v>
      </c>
      <c r="AA38" s="57">
        <v>300</v>
      </c>
      <c r="AB38" s="57">
        <v>300</v>
      </c>
      <c r="AC38" s="57">
        <v>300</v>
      </c>
      <c r="AD38" s="57">
        <v>300</v>
      </c>
      <c r="AE38" s="57">
        <v>300</v>
      </c>
      <c r="AF38" s="57">
        <v>300</v>
      </c>
      <c r="AG38" s="55">
        <v>85</v>
      </c>
      <c r="AH38" s="48">
        <f t="shared" si="2"/>
        <v>300</v>
      </c>
      <c r="AI38" s="49">
        <f t="shared" si="3"/>
        <v>300</v>
      </c>
      <c r="AK38" s="50"/>
    </row>
    <row r="39" spans="1:88" ht="15.75" thickBot="1" x14ac:dyDescent="0.3">
      <c r="A39" s="58" t="s">
        <v>47</v>
      </c>
      <c r="B39" s="59">
        <v>163</v>
      </c>
      <c r="C39" s="59">
        <v>163</v>
      </c>
      <c r="D39" s="59">
        <v>163</v>
      </c>
      <c r="E39" s="59">
        <f>86.2+73.4</f>
        <v>159.60000000000002</v>
      </c>
      <c r="F39" s="59">
        <f>86.2+73.3</f>
        <v>159.5</v>
      </c>
      <c r="G39" s="59">
        <f>72.9+86</f>
        <v>158.9</v>
      </c>
      <c r="H39" s="59">
        <v>158</v>
      </c>
      <c r="I39" s="59">
        <f>89.6+73.4</f>
        <v>163</v>
      </c>
      <c r="J39" s="59">
        <f>89.7+73.9</f>
        <v>163.60000000000002</v>
      </c>
      <c r="K39" s="59">
        <f>74.5+92.4</f>
        <v>166.9</v>
      </c>
      <c r="L39" s="57">
        <f>90+77</f>
        <v>167</v>
      </c>
      <c r="M39" s="57">
        <f>90+78.9</f>
        <v>168.9</v>
      </c>
      <c r="N39" s="57">
        <f>92.2+77.3</f>
        <v>169.5</v>
      </c>
      <c r="O39" s="57">
        <f>93.5+75</f>
        <v>168.5</v>
      </c>
      <c r="P39" s="57">
        <f>93.5+75</f>
        <v>168.5</v>
      </c>
      <c r="Q39" s="57">
        <f>94+74.1</f>
        <v>168.1</v>
      </c>
      <c r="R39" s="57">
        <f>0</f>
        <v>0</v>
      </c>
      <c r="S39" s="57">
        <f>0</f>
        <v>0</v>
      </c>
      <c r="T39" s="59">
        <v>0</v>
      </c>
      <c r="U39" s="59">
        <f>65.3+79.8</f>
        <v>145.1</v>
      </c>
      <c r="V39" s="59">
        <f>69.3+83</f>
        <v>152.30000000000001</v>
      </c>
      <c r="W39" s="59">
        <f>69.3+83</f>
        <v>152.30000000000001</v>
      </c>
      <c r="X39" s="59">
        <f>80.4+90.8</f>
        <v>171.2</v>
      </c>
      <c r="Y39" s="59">
        <f>79.9+94.9</f>
        <v>174.8</v>
      </c>
      <c r="Z39" s="59">
        <f>79.5+94.1</f>
        <v>173.6</v>
      </c>
      <c r="AA39" s="59">
        <f>75.1+94.3</f>
        <v>169.39999999999998</v>
      </c>
      <c r="AB39" s="59">
        <f>75.5+95.5</f>
        <v>171</v>
      </c>
      <c r="AC39" s="59">
        <f>72.9+95.8</f>
        <v>168.7</v>
      </c>
      <c r="AD39" s="59">
        <f>74.3+96.3</f>
        <v>170.6</v>
      </c>
      <c r="AE39" s="59">
        <f>75.4+95.7</f>
        <v>171.10000000000002</v>
      </c>
      <c r="AF39" s="59">
        <f>65.1+97.1</f>
        <v>162.19999999999999</v>
      </c>
      <c r="AG39" s="55">
        <v>240</v>
      </c>
      <c r="AH39" s="48">
        <f t="shared" si="2"/>
        <v>174.8</v>
      </c>
      <c r="AI39" s="49">
        <f t="shared" si="3"/>
        <v>0</v>
      </c>
      <c r="AK39" s="50"/>
    </row>
    <row r="40" spans="1:88" ht="15.75" thickBot="1" x14ac:dyDescent="0.3">
      <c r="A40" s="60" t="s">
        <v>48</v>
      </c>
      <c r="B40" s="61">
        <f t="shared" ref="B40:AG40" si="4">SUM(B11:B38)</f>
        <v>753.2</v>
      </c>
      <c r="C40" s="61">
        <f t="shared" si="4"/>
        <v>753.2</v>
      </c>
      <c r="D40" s="61">
        <f t="shared" si="4"/>
        <v>753.2</v>
      </c>
      <c r="E40" s="61">
        <f t="shared" si="4"/>
        <v>732.4</v>
      </c>
      <c r="F40" s="61">
        <f t="shared" si="4"/>
        <v>734.4</v>
      </c>
      <c r="G40" s="61">
        <f t="shared" si="4"/>
        <v>736.4</v>
      </c>
      <c r="H40" s="61">
        <f t="shared" si="4"/>
        <v>748.4</v>
      </c>
      <c r="I40" s="61">
        <f t="shared" si="4"/>
        <v>781.5</v>
      </c>
      <c r="J40" s="61">
        <f t="shared" si="4"/>
        <v>805.5</v>
      </c>
      <c r="K40" s="61">
        <f t="shared" si="4"/>
        <v>829.5</v>
      </c>
      <c r="L40" s="61">
        <f t="shared" si="4"/>
        <v>853.5</v>
      </c>
      <c r="M40" s="61">
        <f t="shared" si="4"/>
        <v>855.5</v>
      </c>
      <c r="N40" s="61">
        <f t="shared" si="4"/>
        <v>855.5</v>
      </c>
      <c r="O40" s="61">
        <f t="shared" si="4"/>
        <v>855.5</v>
      </c>
      <c r="P40" s="61">
        <f t="shared" si="4"/>
        <v>764.7</v>
      </c>
      <c r="Q40" s="61">
        <f t="shared" si="4"/>
        <v>764.7</v>
      </c>
      <c r="R40" s="61">
        <f t="shared" si="4"/>
        <v>673.7</v>
      </c>
      <c r="S40" s="61">
        <f t="shared" ref="S40" si="5">SUM(S11:S38)</f>
        <v>665.7</v>
      </c>
      <c r="T40" s="61">
        <f t="shared" si="4"/>
        <v>664.1</v>
      </c>
      <c r="U40" s="61">
        <f t="shared" si="4"/>
        <v>737.7</v>
      </c>
      <c r="V40" s="61">
        <f t="shared" si="4"/>
        <v>737.7</v>
      </c>
      <c r="W40" s="61">
        <f t="shared" si="4"/>
        <v>749.3</v>
      </c>
      <c r="X40" s="61">
        <f t="shared" si="4"/>
        <v>770.1</v>
      </c>
      <c r="Y40" s="61">
        <v>802.3</v>
      </c>
      <c r="Z40" s="61">
        <f t="shared" si="4"/>
        <v>763</v>
      </c>
      <c r="AA40" s="61">
        <f t="shared" si="4"/>
        <v>760</v>
      </c>
      <c r="AB40" s="61">
        <f t="shared" si="4"/>
        <v>760</v>
      </c>
      <c r="AC40" s="61">
        <f t="shared" si="4"/>
        <v>760</v>
      </c>
      <c r="AD40" s="61">
        <f t="shared" si="4"/>
        <v>743.1</v>
      </c>
      <c r="AE40" s="61">
        <f t="shared" si="4"/>
        <v>710.6</v>
      </c>
      <c r="AF40" s="61">
        <f t="shared" si="4"/>
        <v>710.6</v>
      </c>
      <c r="AG40" s="62">
        <f t="shared" si="4"/>
        <v>707.78000000000009</v>
      </c>
      <c r="AH40" s="48">
        <f t="shared" si="2"/>
        <v>855.5</v>
      </c>
      <c r="AI40" s="49">
        <f t="shared" si="3"/>
        <v>664.1</v>
      </c>
      <c r="AK40" s="50"/>
    </row>
    <row r="41" spans="1:88" x14ac:dyDescent="0.25">
      <c r="A41" s="63" t="s">
        <v>49</v>
      </c>
      <c r="B41" s="45">
        <v>270</v>
      </c>
      <c r="C41" s="45">
        <v>280</v>
      </c>
      <c r="D41" s="45">
        <v>295</v>
      </c>
      <c r="E41" s="45">
        <v>295</v>
      </c>
      <c r="F41" s="45">
        <v>290</v>
      </c>
      <c r="G41" s="45">
        <v>300</v>
      </c>
      <c r="H41" s="45">
        <v>300</v>
      </c>
      <c r="I41" s="45">
        <v>310</v>
      </c>
      <c r="J41" s="45">
        <v>310</v>
      </c>
      <c r="K41" s="45">
        <v>320</v>
      </c>
      <c r="L41" s="45">
        <v>325</v>
      </c>
      <c r="M41" s="45">
        <v>325</v>
      </c>
      <c r="N41" s="45">
        <v>325</v>
      </c>
      <c r="O41" s="45">
        <v>300</v>
      </c>
      <c r="P41" s="45">
        <v>285</v>
      </c>
      <c r="Q41" s="45">
        <v>260</v>
      </c>
      <c r="R41" s="45">
        <v>385</v>
      </c>
      <c r="S41" s="45">
        <v>380</v>
      </c>
      <c r="T41" s="45">
        <v>400</v>
      </c>
      <c r="U41" s="45">
        <v>340</v>
      </c>
      <c r="V41" s="45">
        <v>320</v>
      </c>
      <c r="W41" s="45">
        <v>280</v>
      </c>
      <c r="X41" s="45">
        <v>456</v>
      </c>
      <c r="Y41" s="45">
        <v>436</v>
      </c>
      <c r="Z41" s="45">
        <v>436</v>
      </c>
      <c r="AA41" s="45">
        <f>456</f>
        <v>456</v>
      </c>
      <c r="AB41" s="45">
        <v>360</v>
      </c>
      <c r="AC41" s="45">
        <v>340</v>
      </c>
      <c r="AD41" s="45">
        <v>300</v>
      </c>
      <c r="AE41" s="45">
        <v>300</v>
      </c>
      <c r="AF41" s="45">
        <v>300</v>
      </c>
      <c r="AG41" s="52">
        <v>456</v>
      </c>
      <c r="AH41" s="48">
        <f t="shared" si="2"/>
        <v>456</v>
      </c>
      <c r="AI41" s="49">
        <f t="shared" si="3"/>
        <v>260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22</v>
      </c>
      <c r="C43" s="67">
        <v>22</v>
      </c>
      <c r="D43" s="67">
        <v>22</v>
      </c>
      <c r="E43" s="67">
        <v>22</v>
      </c>
      <c r="F43" s="67">
        <v>22</v>
      </c>
      <c r="G43" s="67">
        <v>22</v>
      </c>
      <c r="H43" s="67">
        <v>22</v>
      </c>
      <c r="I43" s="67">
        <v>22</v>
      </c>
      <c r="J43" s="67">
        <v>22</v>
      </c>
      <c r="K43" s="67">
        <v>22</v>
      </c>
      <c r="L43" s="67">
        <v>22</v>
      </c>
      <c r="M43" s="67">
        <v>22</v>
      </c>
      <c r="N43" s="67">
        <v>22</v>
      </c>
      <c r="O43" s="67">
        <v>22</v>
      </c>
      <c r="P43" s="67">
        <v>22</v>
      </c>
      <c r="Q43" s="67">
        <v>22</v>
      </c>
      <c r="R43" s="67">
        <v>22</v>
      </c>
      <c r="S43" s="67">
        <v>22</v>
      </c>
      <c r="T43" s="67">
        <v>22</v>
      </c>
      <c r="U43" s="67">
        <v>22</v>
      </c>
      <c r="V43" s="67">
        <v>22</v>
      </c>
      <c r="W43" s="67">
        <v>22</v>
      </c>
      <c r="X43" s="67">
        <v>22</v>
      </c>
      <c r="Y43" s="67">
        <v>22</v>
      </c>
      <c r="Z43" s="67">
        <v>22</v>
      </c>
      <c r="AA43" s="67">
        <v>22</v>
      </c>
      <c r="AB43" s="67">
        <v>22</v>
      </c>
      <c r="AC43" s="67">
        <v>22</v>
      </c>
      <c r="AD43" s="67">
        <v>22</v>
      </c>
      <c r="AE43" s="67">
        <v>22</v>
      </c>
      <c r="AF43" s="67">
        <v>13.1</v>
      </c>
      <c r="AG43" s="68">
        <v>22.1</v>
      </c>
      <c r="AH43" s="48">
        <f t="shared" si="2"/>
        <v>22</v>
      </c>
      <c r="AI43" s="49">
        <f t="shared" si="3"/>
        <v>13.1</v>
      </c>
      <c r="AK43" s="50"/>
    </row>
    <row r="44" spans="1:88" ht="15.75" thickBot="1" x14ac:dyDescent="0.3">
      <c r="A44" s="69" t="s">
        <v>52</v>
      </c>
      <c r="B44" s="61">
        <f t="shared" ref="B44:AG44" si="6">SUM(B41:B43)</f>
        <v>352</v>
      </c>
      <c r="C44" s="61">
        <f t="shared" si="6"/>
        <v>362</v>
      </c>
      <c r="D44" s="61">
        <f t="shared" si="6"/>
        <v>377</v>
      </c>
      <c r="E44" s="61">
        <f t="shared" si="6"/>
        <v>377</v>
      </c>
      <c r="F44" s="61">
        <f t="shared" si="6"/>
        <v>372</v>
      </c>
      <c r="G44" s="61">
        <f t="shared" si="6"/>
        <v>382</v>
      </c>
      <c r="H44" s="61">
        <f t="shared" si="6"/>
        <v>382</v>
      </c>
      <c r="I44" s="61">
        <f t="shared" si="6"/>
        <v>392</v>
      </c>
      <c r="J44" s="61">
        <f t="shared" si="6"/>
        <v>392</v>
      </c>
      <c r="K44" s="61">
        <f t="shared" si="6"/>
        <v>402</v>
      </c>
      <c r="L44" s="61">
        <f t="shared" si="6"/>
        <v>407</v>
      </c>
      <c r="M44" s="61">
        <f t="shared" si="6"/>
        <v>407</v>
      </c>
      <c r="N44" s="61">
        <f t="shared" si="6"/>
        <v>407</v>
      </c>
      <c r="O44" s="61">
        <f t="shared" si="6"/>
        <v>382</v>
      </c>
      <c r="P44" s="61">
        <f t="shared" si="6"/>
        <v>367</v>
      </c>
      <c r="Q44" s="61">
        <f t="shared" si="6"/>
        <v>342</v>
      </c>
      <c r="R44" s="61">
        <f t="shared" si="6"/>
        <v>467</v>
      </c>
      <c r="S44" s="61">
        <f t="shared" si="6"/>
        <v>462</v>
      </c>
      <c r="T44" s="61">
        <f t="shared" si="6"/>
        <v>482</v>
      </c>
      <c r="U44" s="61">
        <f t="shared" si="6"/>
        <v>422</v>
      </c>
      <c r="V44" s="61">
        <f t="shared" si="6"/>
        <v>402</v>
      </c>
      <c r="W44" s="61">
        <f t="shared" si="6"/>
        <v>362</v>
      </c>
      <c r="X44" s="61">
        <f t="shared" si="6"/>
        <v>538</v>
      </c>
      <c r="Y44" s="61">
        <v>518</v>
      </c>
      <c r="Z44" s="61">
        <f t="shared" si="6"/>
        <v>518</v>
      </c>
      <c r="AA44" s="61">
        <f t="shared" si="6"/>
        <v>538</v>
      </c>
      <c r="AB44" s="61">
        <f t="shared" si="6"/>
        <v>442</v>
      </c>
      <c r="AC44" s="61">
        <f t="shared" si="6"/>
        <v>422</v>
      </c>
      <c r="AD44" s="61">
        <f t="shared" si="6"/>
        <v>382</v>
      </c>
      <c r="AE44" s="61">
        <f t="shared" si="6"/>
        <v>382</v>
      </c>
      <c r="AF44" s="61">
        <f t="shared" si="6"/>
        <v>373.1</v>
      </c>
      <c r="AG44" s="62">
        <f t="shared" si="6"/>
        <v>538.1</v>
      </c>
      <c r="AH44" s="48">
        <f t="shared" si="2"/>
        <v>538</v>
      </c>
      <c r="AI44" s="49">
        <f t="shared" si="3"/>
        <v>342</v>
      </c>
      <c r="AK44" s="50"/>
    </row>
    <row r="45" spans="1:88" x14ac:dyDescent="0.25">
      <c r="A45" s="44" t="s">
        <v>53</v>
      </c>
      <c r="B45" s="45">
        <v>70.900000000000006</v>
      </c>
      <c r="C45" s="45">
        <v>61</v>
      </c>
      <c r="D45" s="45">
        <v>61</v>
      </c>
      <c r="E45" s="45">
        <v>61</v>
      </c>
      <c r="F45" s="45">
        <v>70</v>
      </c>
      <c r="G45" s="45">
        <v>91.5</v>
      </c>
      <c r="H45" s="45">
        <v>91.5</v>
      </c>
      <c r="I45" s="45">
        <v>91.5</v>
      </c>
      <c r="J45" s="45">
        <v>91.5</v>
      </c>
      <c r="K45" s="45">
        <v>91.5</v>
      </c>
      <c r="L45" s="45">
        <v>91.5</v>
      </c>
      <c r="M45" s="45">
        <v>91.5</v>
      </c>
      <c r="N45" s="45">
        <v>91.5</v>
      </c>
      <c r="O45" s="45">
        <v>91.5</v>
      </c>
      <c r="P45" s="45">
        <v>91</v>
      </c>
      <c r="Q45" s="45">
        <v>91</v>
      </c>
      <c r="R45" s="45">
        <v>91</v>
      </c>
      <c r="S45" s="45">
        <v>91</v>
      </c>
      <c r="T45" s="45">
        <v>94.5</v>
      </c>
      <c r="U45" s="45">
        <v>106.5</v>
      </c>
      <c r="V45" s="45">
        <v>106.5</v>
      </c>
      <c r="W45" s="45">
        <v>141</v>
      </c>
      <c r="X45" s="45">
        <v>140.5</v>
      </c>
      <c r="Y45" s="45">
        <v>140.69999999999999</v>
      </c>
      <c r="Z45" s="45">
        <v>136.1</v>
      </c>
      <c r="AA45" s="45">
        <v>134.6</v>
      </c>
      <c r="AB45" s="45">
        <v>140.5</v>
      </c>
      <c r="AC45" s="45">
        <v>140.30000000000001</v>
      </c>
      <c r="AD45" s="45">
        <v>140.30000000000001</v>
      </c>
      <c r="AE45" s="45">
        <v>132.4</v>
      </c>
      <c r="AF45" s="45">
        <v>132.5</v>
      </c>
      <c r="AG45" s="52">
        <v>144</v>
      </c>
      <c r="AH45" s="48">
        <f t="shared" si="2"/>
        <v>141</v>
      </c>
      <c r="AI45" s="49">
        <f t="shared" si="3"/>
        <v>61</v>
      </c>
      <c r="AK45" s="50"/>
    </row>
    <row r="46" spans="1:88" x14ac:dyDescent="0.25">
      <c r="A46" s="54" t="s">
        <v>54</v>
      </c>
      <c r="B46" s="65">
        <v>50</v>
      </c>
      <c r="C46" s="65">
        <v>51.6</v>
      </c>
      <c r="D46" s="65">
        <v>36</v>
      </c>
      <c r="E46" s="65">
        <v>30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43</v>
      </c>
      <c r="U46" s="45">
        <v>61.1</v>
      </c>
      <c r="V46" s="45">
        <v>72.400000000000006</v>
      </c>
      <c r="W46" s="45">
        <v>71.5</v>
      </c>
      <c r="X46" s="45">
        <v>71.5</v>
      </c>
      <c r="Y46" s="65">
        <v>71.8</v>
      </c>
      <c r="Z46" s="65">
        <v>71.900000000000006</v>
      </c>
      <c r="AA46" s="65">
        <v>71.7</v>
      </c>
      <c r="AB46" s="65">
        <v>71.7</v>
      </c>
      <c r="AC46" s="65">
        <v>71.7</v>
      </c>
      <c r="AD46" s="65">
        <v>72.2</v>
      </c>
      <c r="AE46" s="65">
        <v>70</v>
      </c>
      <c r="AF46" s="65">
        <v>65.599999999999994</v>
      </c>
      <c r="AG46" s="55">
        <v>70</v>
      </c>
      <c r="AH46" s="48">
        <f t="shared" si="2"/>
        <v>72.400000000000006</v>
      </c>
      <c r="AI46" s="49">
        <f t="shared" si="3"/>
        <v>0</v>
      </c>
      <c r="AK46" s="50"/>
    </row>
    <row r="47" spans="1:88" x14ac:dyDescent="0.25">
      <c r="A47" s="54" t="s">
        <v>55</v>
      </c>
      <c r="B47" s="65">
        <v>51.3</v>
      </c>
      <c r="C47" s="65">
        <v>52</v>
      </c>
      <c r="D47" s="65">
        <v>51</v>
      </c>
      <c r="E47" s="65">
        <v>51</v>
      </c>
      <c r="F47" s="65">
        <v>60</v>
      </c>
      <c r="G47" s="65">
        <v>65</v>
      </c>
      <c r="H47" s="65">
        <v>65</v>
      </c>
      <c r="I47" s="65">
        <v>65</v>
      </c>
      <c r="J47" s="65">
        <v>65</v>
      </c>
      <c r="K47" s="65">
        <v>65</v>
      </c>
      <c r="L47" s="65">
        <v>65</v>
      </c>
      <c r="M47" s="65">
        <v>65</v>
      </c>
      <c r="N47" s="65">
        <v>65</v>
      </c>
      <c r="O47" s="65">
        <v>65</v>
      </c>
      <c r="P47" s="45">
        <v>64.7</v>
      </c>
      <c r="Q47" s="45">
        <v>48.3</v>
      </c>
      <c r="R47" s="45">
        <v>65.3</v>
      </c>
      <c r="S47" s="45">
        <v>65.3</v>
      </c>
      <c r="T47" s="45">
        <v>63.6</v>
      </c>
      <c r="U47" s="45">
        <v>53.6</v>
      </c>
      <c r="V47" s="45">
        <v>52.3</v>
      </c>
      <c r="W47" s="45">
        <v>64.900000000000006</v>
      </c>
      <c r="X47" s="45">
        <v>64.400000000000006</v>
      </c>
      <c r="Y47" s="65">
        <v>64</v>
      </c>
      <c r="Z47" s="65">
        <v>65</v>
      </c>
      <c r="AA47" s="65">
        <v>66.2</v>
      </c>
      <c r="AB47" s="65">
        <v>66.2</v>
      </c>
      <c r="AC47" s="65">
        <v>66.2</v>
      </c>
      <c r="AD47" s="65">
        <v>66.3</v>
      </c>
      <c r="AE47" s="65">
        <v>60.1</v>
      </c>
      <c r="AF47" s="65">
        <v>60.8</v>
      </c>
      <c r="AG47" s="55">
        <v>69</v>
      </c>
      <c r="AH47" s="48">
        <f t="shared" si="2"/>
        <v>66.3</v>
      </c>
      <c r="AI47" s="49">
        <f t="shared" si="3"/>
        <v>48.3</v>
      </c>
      <c r="AK47" s="50"/>
    </row>
    <row r="48" spans="1:88" x14ac:dyDescent="0.25">
      <c r="A48" s="54" t="s">
        <v>56</v>
      </c>
      <c r="B48" s="57">
        <v>40</v>
      </c>
      <c r="C48" s="57">
        <v>40</v>
      </c>
      <c r="D48" s="57">
        <v>40</v>
      </c>
      <c r="E48" s="57">
        <v>40</v>
      </c>
      <c r="F48" s="57">
        <v>40</v>
      </c>
      <c r="G48" s="57">
        <v>60</v>
      </c>
      <c r="H48" s="57">
        <v>60</v>
      </c>
      <c r="I48" s="57">
        <v>60</v>
      </c>
      <c r="J48" s="57">
        <v>60</v>
      </c>
      <c r="K48" s="57">
        <v>60</v>
      </c>
      <c r="L48" s="57">
        <v>60</v>
      </c>
      <c r="M48" s="45">
        <v>60</v>
      </c>
      <c r="N48" s="45">
        <v>60</v>
      </c>
      <c r="O48" s="45">
        <v>60</v>
      </c>
      <c r="P48" s="45">
        <v>60</v>
      </c>
      <c r="Q48" s="45">
        <v>60</v>
      </c>
      <c r="R48" s="45">
        <v>61.5</v>
      </c>
      <c r="S48" s="45">
        <v>61.5</v>
      </c>
      <c r="T48" s="45">
        <v>42.6</v>
      </c>
      <c r="U48" s="45">
        <v>52.4</v>
      </c>
      <c r="V48" s="45">
        <v>52.4</v>
      </c>
      <c r="W48" s="45">
        <v>60</v>
      </c>
      <c r="X48" s="45">
        <v>60</v>
      </c>
      <c r="Y48" s="65">
        <v>59.7</v>
      </c>
      <c r="Z48" s="65">
        <v>60.4</v>
      </c>
      <c r="AA48" s="65">
        <v>60.4</v>
      </c>
      <c r="AB48" s="65">
        <v>60.4</v>
      </c>
      <c r="AC48" s="65">
        <v>60.4</v>
      </c>
      <c r="AD48" s="65">
        <v>60.9</v>
      </c>
      <c r="AE48" s="57">
        <v>60.3</v>
      </c>
      <c r="AF48" s="57">
        <v>60</v>
      </c>
      <c r="AG48" s="55">
        <v>60</v>
      </c>
      <c r="AH48" s="48">
        <f t="shared" si="2"/>
        <v>61.5</v>
      </c>
      <c r="AI48" s="49">
        <f t="shared" si="3"/>
        <v>40</v>
      </c>
      <c r="AK48" s="50"/>
    </row>
    <row r="49" spans="1:41" x14ac:dyDescent="0.25">
      <c r="A49" s="54" t="s">
        <v>57</v>
      </c>
      <c r="B49" s="57">
        <v>25.6</v>
      </c>
      <c r="C49" s="57">
        <v>25.6</v>
      </c>
      <c r="D49" s="57">
        <v>25.6</v>
      </c>
      <c r="E49" s="57">
        <v>25.6</v>
      </c>
      <c r="F49" s="57">
        <v>26.2</v>
      </c>
      <c r="G49" s="57">
        <v>26.3</v>
      </c>
      <c r="H49" s="57">
        <v>30</v>
      </c>
      <c r="I49" s="57">
        <v>30</v>
      </c>
      <c r="J49" s="57">
        <v>30</v>
      </c>
      <c r="K49" s="57">
        <v>30</v>
      </c>
      <c r="L49" s="57">
        <v>30</v>
      </c>
      <c r="M49" s="45">
        <v>30</v>
      </c>
      <c r="N49" s="45">
        <v>30</v>
      </c>
      <c r="O49" s="45">
        <v>30</v>
      </c>
      <c r="P49" s="45">
        <v>30</v>
      </c>
      <c r="Q49" s="45">
        <v>30</v>
      </c>
      <c r="R49" s="45">
        <v>30</v>
      </c>
      <c r="S49" s="45">
        <v>30</v>
      </c>
      <c r="T49" s="45">
        <v>30</v>
      </c>
      <c r="U49" s="45">
        <v>30</v>
      </c>
      <c r="V49" s="45">
        <v>30</v>
      </c>
      <c r="W49" s="45">
        <v>30</v>
      </c>
      <c r="X49" s="45">
        <v>29.6</v>
      </c>
      <c r="Y49" s="65">
        <v>29.6</v>
      </c>
      <c r="Z49" s="65">
        <v>30</v>
      </c>
      <c r="AA49" s="65">
        <v>30</v>
      </c>
      <c r="AB49" s="65">
        <v>30</v>
      </c>
      <c r="AC49" s="65">
        <v>30</v>
      </c>
      <c r="AD49" s="65">
        <v>29.7</v>
      </c>
      <c r="AE49" s="57">
        <v>29.8</v>
      </c>
      <c r="AF49" s="57">
        <v>29.8</v>
      </c>
      <c r="AG49" s="55">
        <v>30</v>
      </c>
      <c r="AH49" s="48">
        <f t="shared" si="2"/>
        <v>30</v>
      </c>
      <c r="AI49" s="49">
        <f t="shared" si="3"/>
        <v>25.6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10</v>
      </c>
      <c r="N50" s="65">
        <v>10</v>
      </c>
      <c r="O50" s="65">
        <v>10</v>
      </c>
      <c r="P50" s="65">
        <v>10</v>
      </c>
      <c r="Q50" s="65">
        <v>10</v>
      </c>
      <c r="R50" s="65">
        <v>10</v>
      </c>
      <c r="S50" s="65">
        <v>10</v>
      </c>
      <c r="T50" s="65">
        <v>10</v>
      </c>
      <c r="U50" s="65">
        <v>10</v>
      </c>
      <c r="V50" s="65">
        <v>0</v>
      </c>
      <c r="W50" s="65">
        <v>0</v>
      </c>
      <c r="X50" s="65">
        <v>0</v>
      </c>
      <c r="Y50" s="45">
        <v>0</v>
      </c>
      <c r="Z50" s="45">
        <v>0</v>
      </c>
      <c r="AA50" s="45">
        <v>0</v>
      </c>
      <c r="AB50" s="45">
        <v>0</v>
      </c>
      <c r="AC50" s="45">
        <v>0</v>
      </c>
      <c r="AD50" s="45">
        <v>0</v>
      </c>
      <c r="AE50" s="65">
        <v>0</v>
      </c>
      <c r="AF50" s="65">
        <v>0</v>
      </c>
      <c r="AG50" s="55">
        <v>25</v>
      </c>
      <c r="AH50" s="48">
        <f t="shared" si="2"/>
        <v>10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10</v>
      </c>
      <c r="C51" s="65">
        <v>10</v>
      </c>
      <c r="D51" s="65">
        <v>10</v>
      </c>
      <c r="E51" s="65">
        <v>10</v>
      </c>
      <c r="F51" s="65">
        <v>10</v>
      </c>
      <c r="G51" s="65">
        <v>10</v>
      </c>
      <c r="H51" s="65">
        <v>14</v>
      </c>
      <c r="I51" s="65">
        <v>14</v>
      </c>
      <c r="J51" s="65">
        <v>14</v>
      </c>
      <c r="K51" s="65">
        <v>14</v>
      </c>
      <c r="L51" s="65">
        <v>14</v>
      </c>
      <c r="M51" s="65">
        <v>14</v>
      </c>
      <c r="N51" s="65">
        <v>14</v>
      </c>
      <c r="O51" s="65">
        <v>14</v>
      </c>
      <c r="P51" s="65">
        <v>14</v>
      </c>
      <c r="Q51" s="65">
        <v>14</v>
      </c>
      <c r="R51" s="65">
        <v>13</v>
      </c>
      <c r="S51" s="65">
        <v>13</v>
      </c>
      <c r="T51" s="65">
        <v>13</v>
      </c>
      <c r="U51" s="65">
        <v>13</v>
      </c>
      <c r="V51" s="65">
        <v>12.5</v>
      </c>
      <c r="W51" s="65">
        <v>12.5</v>
      </c>
      <c r="X51" s="65">
        <v>12.5</v>
      </c>
      <c r="Y51" s="45">
        <v>12.5</v>
      </c>
      <c r="Z51" s="45">
        <v>12.2</v>
      </c>
      <c r="AA51" s="45">
        <v>12.2</v>
      </c>
      <c r="AB51" s="45">
        <v>12.2</v>
      </c>
      <c r="AC51" s="45">
        <v>12.2</v>
      </c>
      <c r="AD51" s="45">
        <v>12.2</v>
      </c>
      <c r="AE51" s="65">
        <v>12.8</v>
      </c>
      <c r="AF51" s="65">
        <v>12.8</v>
      </c>
      <c r="AG51" s="55">
        <v>24</v>
      </c>
      <c r="AH51" s="48">
        <f t="shared" si="2"/>
        <v>14</v>
      </c>
      <c r="AI51" s="49">
        <f t="shared" si="3"/>
        <v>10</v>
      </c>
      <c r="AK51" s="50"/>
    </row>
    <row r="52" spans="1:41" x14ac:dyDescent="0.25">
      <c r="A52" s="54" t="s">
        <v>60</v>
      </c>
      <c r="B52" s="65">
        <v>2</v>
      </c>
      <c r="C52" s="65">
        <v>2</v>
      </c>
      <c r="D52" s="65">
        <v>2</v>
      </c>
      <c r="E52" s="65">
        <v>2</v>
      </c>
      <c r="F52" s="65">
        <v>2</v>
      </c>
      <c r="G52" s="65">
        <v>2</v>
      </c>
      <c r="H52" s="65">
        <v>2</v>
      </c>
      <c r="I52" s="65">
        <v>2</v>
      </c>
      <c r="J52" s="65">
        <v>2</v>
      </c>
      <c r="K52" s="65">
        <v>2</v>
      </c>
      <c r="L52" s="65">
        <v>2</v>
      </c>
      <c r="M52" s="65">
        <v>2</v>
      </c>
      <c r="N52" s="65">
        <v>2</v>
      </c>
      <c r="O52" s="65">
        <v>2</v>
      </c>
      <c r="P52" s="65">
        <v>2</v>
      </c>
      <c r="Q52" s="65">
        <v>2</v>
      </c>
      <c r="R52" s="65">
        <v>2</v>
      </c>
      <c r="S52" s="65">
        <v>2</v>
      </c>
      <c r="T52" s="65">
        <v>2</v>
      </c>
      <c r="U52" s="65">
        <v>2</v>
      </c>
      <c r="V52" s="65">
        <v>2</v>
      </c>
      <c r="W52" s="65">
        <v>2</v>
      </c>
      <c r="X52" s="65">
        <v>2</v>
      </c>
      <c r="Y52" s="65">
        <v>2</v>
      </c>
      <c r="Z52" s="65">
        <v>2</v>
      </c>
      <c r="AA52" s="65">
        <v>2</v>
      </c>
      <c r="AB52" s="65">
        <v>2</v>
      </c>
      <c r="AC52" s="65">
        <v>2</v>
      </c>
      <c r="AD52" s="65">
        <v>2</v>
      </c>
      <c r="AE52" s="65">
        <v>2</v>
      </c>
      <c r="AF52" s="65">
        <v>2</v>
      </c>
      <c r="AG52" s="55">
        <v>15</v>
      </c>
      <c r="AH52" s="48">
        <f t="shared" si="2"/>
        <v>2</v>
      </c>
      <c r="AI52" s="49">
        <f t="shared" si="3"/>
        <v>2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11</v>
      </c>
      <c r="C53" s="65">
        <v>11</v>
      </c>
      <c r="D53" s="65">
        <v>11</v>
      </c>
      <c r="E53" s="65">
        <v>11</v>
      </c>
      <c r="F53" s="65">
        <v>11</v>
      </c>
      <c r="G53" s="65">
        <v>11</v>
      </c>
      <c r="H53" s="65">
        <v>8.4</v>
      </c>
      <c r="I53" s="65">
        <v>8.4</v>
      </c>
      <c r="J53" s="65">
        <v>8.4</v>
      </c>
      <c r="K53" s="65">
        <v>8.4</v>
      </c>
      <c r="L53" s="65">
        <v>10.4</v>
      </c>
      <c r="M53" s="65">
        <v>10.4</v>
      </c>
      <c r="N53" s="65">
        <v>10.4</v>
      </c>
      <c r="O53" s="65">
        <v>10.4</v>
      </c>
      <c r="P53" s="65">
        <v>10.4</v>
      </c>
      <c r="Q53" s="65">
        <v>10.4</v>
      </c>
      <c r="R53" s="65">
        <v>10.4</v>
      </c>
      <c r="S53" s="65">
        <v>10.4</v>
      </c>
      <c r="T53" s="65">
        <v>10.4</v>
      </c>
      <c r="U53" s="65">
        <v>10.4</v>
      </c>
      <c r="V53" s="65">
        <v>9.1999999999999993</v>
      </c>
      <c r="W53" s="65">
        <v>9.1999999999999993</v>
      </c>
      <c r="X53" s="65">
        <v>9.1999999999999993</v>
      </c>
      <c r="Y53" s="65">
        <v>9.1999999999999993</v>
      </c>
      <c r="Z53" s="65">
        <v>9.1999999999999993</v>
      </c>
      <c r="AA53" s="65">
        <v>9.1999999999999993</v>
      </c>
      <c r="AB53" s="65">
        <v>9.1999999999999993</v>
      </c>
      <c r="AC53" s="65">
        <v>9.1999999999999993</v>
      </c>
      <c r="AD53" s="65">
        <v>9.1999999999999993</v>
      </c>
      <c r="AE53" s="65">
        <v>10.4</v>
      </c>
      <c r="AF53" s="65">
        <v>10.7</v>
      </c>
      <c r="AG53" s="55">
        <v>14.1</v>
      </c>
      <c r="AH53" s="48">
        <f t="shared" si="2"/>
        <v>11</v>
      </c>
      <c r="AI53" s="49">
        <f t="shared" si="3"/>
        <v>8.4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12.2</v>
      </c>
      <c r="C54" s="65">
        <v>12.2</v>
      </c>
      <c r="D54" s="65">
        <v>12.2</v>
      </c>
      <c r="E54" s="65">
        <v>12.2</v>
      </c>
      <c r="F54" s="65">
        <v>12.2</v>
      </c>
      <c r="G54" s="65">
        <v>12.2</v>
      </c>
      <c r="H54" s="65">
        <v>14.3</v>
      </c>
      <c r="I54" s="65">
        <v>14.3</v>
      </c>
      <c r="J54" s="65">
        <v>14.3</v>
      </c>
      <c r="K54" s="65">
        <v>14.3</v>
      </c>
      <c r="L54" s="65">
        <v>14.3</v>
      </c>
      <c r="M54" s="65">
        <v>14.3</v>
      </c>
      <c r="N54" s="65">
        <v>14.3</v>
      </c>
      <c r="O54" s="65">
        <v>14.3</v>
      </c>
      <c r="P54" s="65">
        <v>14.3</v>
      </c>
      <c r="Q54" s="65">
        <v>14.3</v>
      </c>
      <c r="R54" s="65">
        <v>14.3</v>
      </c>
      <c r="S54" s="65">
        <v>14.3</v>
      </c>
      <c r="T54" s="65">
        <v>14.3</v>
      </c>
      <c r="U54" s="65">
        <v>14.3</v>
      </c>
      <c r="V54" s="65">
        <v>14.5</v>
      </c>
      <c r="W54" s="65">
        <v>14.5</v>
      </c>
      <c r="X54" s="65">
        <v>14.5</v>
      </c>
      <c r="Y54" s="65">
        <v>14.5</v>
      </c>
      <c r="Z54" s="65">
        <v>14.4</v>
      </c>
      <c r="AA54" s="65">
        <v>14.4</v>
      </c>
      <c r="AB54" s="65">
        <v>14.4</v>
      </c>
      <c r="AC54" s="65">
        <v>14.4</v>
      </c>
      <c r="AD54" s="65">
        <v>14.4</v>
      </c>
      <c r="AE54" s="65">
        <v>14.4</v>
      </c>
      <c r="AF54" s="65">
        <v>14.4</v>
      </c>
      <c r="AG54" s="55">
        <v>14</v>
      </c>
      <c r="AH54" s="48">
        <f t="shared" si="2"/>
        <v>14.5</v>
      </c>
      <c r="AI54" s="49">
        <f t="shared" si="3"/>
        <v>12.2</v>
      </c>
      <c r="AK54" s="50"/>
    </row>
    <row r="55" spans="1:41" x14ac:dyDescent="0.25">
      <c r="A55" s="54" t="s">
        <v>63</v>
      </c>
      <c r="B55" s="65">
        <v>9</v>
      </c>
      <c r="C55" s="65">
        <v>9</v>
      </c>
      <c r="D55" s="65">
        <v>9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9</v>
      </c>
      <c r="S55" s="65">
        <v>9</v>
      </c>
      <c r="T55" s="65">
        <v>9</v>
      </c>
      <c r="U55" s="65">
        <v>9</v>
      </c>
      <c r="V55" s="65">
        <v>9</v>
      </c>
      <c r="W55" s="65">
        <v>9</v>
      </c>
      <c r="X55" s="65">
        <v>9</v>
      </c>
      <c r="Y55" s="65">
        <v>9</v>
      </c>
      <c r="Z55" s="65">
        <v>9</v>
      </c>
      <c r="AA55" s="65">
        <v>9</v>
      </c>
      <c r="AB55" s="65">
        <v>9</v>
      </c>
      <c r="AC55" s="65">
        <v>9</v>
      </c>
      <c r="AD55" s="65">
        <v>9</v>
      </c>
      <c r="AE55" s="65">
        <v>9</v>
      </c>
      <c r="AF55" s="65">
        <v>9</v>
      </c>
      <c r="AG55" s="55">
        <v>10.050000000000001</v>
      </c>
      <c r="AH55" s="48">
        <f t="shared" si="2"/>
        <v>9</v>
      </c>
      <c r="AI55" s="49">
        <f t="shared" si="3"/>
        <v>9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:AG58" si="7">SUM(B45:B57)</f>
        <v>291.73999999999995</v>
      </c>
      <c r="C58" s="61">
        <f t="shared" si="7"/>
        <v>284.14</v>
      </c>
      <c r="D58" s="61">
        <f t="shared" si="7"/>
        <v>267.53999999999996</v>
      </c>
      <c r="E58" s="61">
        <f t="shared" si="7"/>
        <v>261.54000000000002</v>
      </c>
      <c r="F58" s="61">
        <f t="shared" si="7"/>
        <v>250.13999999999996</v>
      </c>
      <c r="G58" s="61">
        <f t="shared" si="7"/>
        <v>296.74</v>
      </c>
      <c r="H58" s="61">
        <f t="shared" si="7"/>
        <v>303.94</v>
      </c>
      <c r="I58" s="61">
        <f t="shared" si="7"/>
        <v>303.94</v>
      </c>
      <c r="J58" s="61">
        <f t="shared" si="7"/>
        <v>303.94</v>
      </c>
      <c r="K58" s="61">
        <f t="shared" si="7"/>
        <v>303.94</v>
      </c>
      <c r="L58" s="61">
        <f t="shared" si="7"/>
        <v>305.94</v>
      </c>
      <c r="M58" s="61">
        <f t="shared" si="7"/>
        <v>315.94</v>
      </c>
      <c r="N58" s="61">
        <f t="shared" si="7"/>
        <v>315.94</v>
      </c>
      <c r="O58" s="61">
        <f t="shared" si="7"/>
        <v>315.94</v>
      </c>
      <c r="P58" s="61">
        <f t="shared" si="7"/>
        <v>315.14</v>
      </c>
      <c r="Q58" s="61">
        <f t="shared" si="7"/>
        <v>298.74</v>
      </c>
      <c r="R58" s="61">
        <f t="shared" si="7"/>
        <v>316.24</v>
      </c>
      <c r="S58" s="61">
        <f t="shared" si="7"/>
        <v>316.24</v>
      </c>
      <c r="T58" s="61">
        <f t="shared" si="7"/>
        <v>342.14</v>
      </c>
      <c r="U58" s="61">
        <f t="shared" si="7"/>
        <v>372.03999999999996</v>
      </c>
      <c r="V58" s="61">
        <f t="shared" si="7"/>
        <v>370.53999999999996</v>
      </c>
      <c r="W58" s="61">
        <f t="shared" si="7"/>
        <v>424.34</v>
      </c>
      <c r="X58" s="61">
        <f t="shared" si="7"/>
        <v>422.94</v>
      </c>
      <c r="Y58" s="61">
        <v>422.94</v>
      </c>
      <c r="Z58" s="61">
        <f t="shared" si="7"/>
        <v>419.93999999999994</v>
      </c>
      <c r="AA58" s="61">
        <f>SUM(AA45:AA57)</f>
        <v>419.43999999999994</v>
      </c>
      <c r="AB58" s="61">
        <f t="shared" si="7"/>
        <v>425.33999999999992</v>
      </c>
      <c r="AC58" s="61">
        <f t="shared" si="7"/>
        <v>425.13999999999993</v>
      </c>
      <c r="AD58" s="61">
        <f t="shared" si="7"/>
        <v>425.93999999999994</v>
      </c>
      <c r="AE58" s="61">
        <f t="shared" si="7"/>
        <v>410.94</v>
      </c>
      <c r="AF58" s="61">
        <f t="shared" si="7"/>
        <v>407.34</v>
      </c>
      <c r="AG58" s="62">
        <f t="shared" si="7"/>
        <v>489.91</v>
      </c>
      <c r="AH58" s="48">
        <f t="shared" si="2"/>
        <v>425.93999999999994</v>
      </c>
      <c r="AI58" s="49">
        <f t="shared" si="3"/>
        <v>250.13999999999996</v>
      </c>
      <c r="AK58" s="50"/>
    </row>
    <row r="59" spans="1:41" x14ac:dyDescent="0.25">
      <c r="A59" s="44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>
        <v>0</v>
      </c>
      <c r="AC61" s="67">
        <v>0</v>
      </c>
      <c r="AD61" s="67">
        <v>0</v>
      </c>
      <c r="AE61" s="67">
        <v>0</v>
      </c>
      <c r="AF61" s="67">
        <v>0</v>
      </c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AG62" si="8">SUM(B59:B61)</f>
        <v>0</v>
      </c>
      <c r="C62" s="61">
        <f t="shared" si="8"/>
        <v>0</v>
      </c>
      <c r="D62" s="61">
        <f t="shared" si="8"/>
        <v>0</v>
      </c>
      <c r="E62" s="61">
        <f t="shared" si="8"/>
        <v>0</v>
      </c>
      <c r="F62" s="61">
        <f t="shared" si="8"/>
        <v>0</v>
      </c>
      <c r="G62" s="61">
        <f t="shared" si="8"/>
        <v>0</v>
      </c>
      <c r="H62" s="61">
        <f t="shared" si="8"/>
        <v>0</v>
      </c>
      <c r="I62" s="61">
        <f t="shared" si="8"/>
        <v>0</v>
      </c>
      <c r="J62" s="61">
        <f t="shared" si="8"/>
        <v>0</v>
      </c>
      <c r="K62" s="61">
        <f t="shared" si="8"/>
        <v>0</v>
      </c>
      <c r="L62" s="61">
        <f t="shared" si="8"/>
        <v>0</v>
      </c>
      <c r="M62" s="61">
        <f t="shared" si="8"/>
        <v>0</v>
      </c>
      <c r="N62" s="61">
        <f t="shared" si="8"/>
        <v>0</v>
      </c>
      <c r="O62" s="61">
        <f t="shared" si="8"/>
        <v>0</v>
      </c>
      <c r="P62" s="61">
        <f t="shared" si="8"/>
        <v>0</v>
      </c>
      <c r="Q62" s="61">
        <f t="shared" si="8"/>
        <v>0</v>
      </c>
      <c r="R62" s="61">
        <f t="shared" si="8"/>
        <v>0</v>
      </c>
      <c r="S62" s="61">
        <f t="shared" si="8"/>
        <v>0</v>
      </c>
      <c r="T62" s="61">
        <f t="shared" si="8"/>
        <v>0</v>
      </c>
      <c r="U62" s="61">
        <f t="shared" si="8"/>
        <v>0</v>
      </c>
      <c r="V62" s="61">
        <f t="shared" si="8"/>
        <v>0</v>
      </c>
      <c r="W62" s="61">
        <f t="shared" si="8"/>
        <v>0</v>
      </c>
      <c r="X62" s="61">
        <f t="shared" si="8"/>
        <v>0</v>
      </c>
      <c r="Y62" s="61">
        <v>0</v>
      </c>
      <c r="Z62" s="61">
        <f t="shared" si="8"/>
        <v>0</v>
      </c>
      <c r="AA62" s="61">
        <f t="shared" si="8"/>
        <v>0</v>
      </c>
      <c r="AB62" s="61">
        <f t="shared" si="8"/>
        <v>0</v>
      </c>
      <c r="AC62" s="61">
        <f t="shared" si="8"/>
        <v>0</v>
      </c>
      <c r="AD62" s="61">
        <f t="shared" si="8"/>
        <v>0</v>
      </c>
      <c r="AE62" s="61">
        <f t="shared" si="8"/>
        <v>0</v>
      </c>
      <c r="AF62" s="61">
        <f t="shared" si="8"/>
        <v>0</v>
      </c>
      <c r="AG62" s="62">
        <f t="shared" si="8"/>
        <v>106</v>
      </c>
      <c r="AH62" s="48">
        <f t="shared" si="2"/>
        <v>0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15.6</v>
      </c>
      <c r="Z63" s="45">
        <v>15</v>
      </c>
      <c r="AA63" s="45">
        <v>15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15.6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-367</v>
      </c>
      <c r="C65" s="65">
        <v>-364</v>
      </c>
      <c r="D65" s="65">
        <v>-371</v>
      </c>
      <c r="E65" s="65">
        <v>-375.5</v>
      </c>
      <c r="F65" s="65">
        <v>-370</v>
      </c>
      <c r="G65" s="65">
        <v>-368</v>
      </c>
      <c r="H65" s="65">
        <v>-385</v>
      </c>
      <c r="I65" s="65">
        <v>-377.3</v>
      </c>
      <c r="J65" s="65">
        <v>-366.2</v>
      </c>
      <c r="K65" s="65">
        <v>-370</v>
      </c>
      <c r="L65" s="65">
        <v>-367</v>
      </c>
      <c r="M65" s="65">
        <v>-374</v>
      </c>
      <c r="N65" s="65">
        <v>-371</v>
      </c>
      <c r="O65" s="65">
        <v>-409</v>
      </c>
      <c r="P65" s="65">
        <v>-372</v>
      </c>
      <c r="Q65" s="65">
        <v>-361</v>
      </c>
      <c r="R65" s="65">
        <v>-382</v>
      </c>
      <c r="S65" s="65">
        <v>-382</v>
      </c>
      <c r="T65" s="65">
        <v>-383</v>
      </c>
      <c r="U65" s="65">
        <v>-400</v>
      </c>
      <c r="V65" s="65">
        <v>-383</v>
      </c>
      <c r="W65" s="65">
        <v>-376</v>
      </c>
      <c r="X65" s="65">
        <v>-374</v>
      </c>
      <c r="Y65" s="65">
        <v>-409</v>
      </c>
      <c r="Z65" s="65">
        <v>-395</v>
      </c>
      <c r="AA65" s="65">
        <v>-398</v>
      </c>
      <c r="AB65" s="65">
        <v>-400.9</v>
      </c>
      <c r="AC65" s="65">
        <v>-379</v>
      </c>
      <c r="AD65" s="65">
        <v>-414.2</v>
      </c>
      <c r="AE65" s="65">
        <v>-404.1</v>
      </c>
      <c r="AF65" s="65">
        <v>-394.2</v>
      </c>
      <c r="AG65" s="75"/>
      <c r="AH65" s="48">
        <f t="shared" si="2"/>
        <v>-361</v>
      </c>
      <c r="AI65" s="49">
        <f t="shared" si="3"/>
        <v>-414.2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76">
        <v>0</v>
      </c>
      <c r="C67" s="76">
        <v>0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0</v>
      </c>
      <c r="Q67" s="76">
        <v>0</v>
      </c>
      <c r="R67" s="76">
        <v>0</v>
      </c>
      <c r="S67" s="76">
        <v>0</v>
      </c>
      <c r="T67" s="76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6">
        <v>0</v>
      </c>
      <c r="C68" s="76">
        <v>0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0</v>
      </c>
      <c r="P68" s="76">
        <v>0</v>
      </c>
      <c r="Q68" s="76">
        <v>0</v>
      </c>
      <c r="R68" s="76">
        <v>0</v>
      </c>
      <c r="S68" s="76">
        <v>0</v>
      </c>
      <c r="T68" s="76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6">
        <v>0</v>
      </c>
      <c r="C69" s="76">
        <v>0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7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7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6">
        <v>0</v>
      </c>
      <c r="C72" s="76">
        <v>0</v>
      </c>
      <c r="D72" s="76">
        <v>0</v>
      </c>
      <c r="E72" s="76">
        <v>0</v>
      </c>
      <c r="F72" s="76">
        <v>0</v>
      </c>
      <c r="G72" s="76">
        <v>0</v>
      </c>
      <c r="H72" s="76">
        <v>0</v>
      </c>
      <c r="I72" s="76">
        <v>0</v>
      </c>
      <c r="J72" s="76">
        <v>0</v>
      </c>
      <c r="K72" s="76">
        <v>0</v>
      </c>
      <c r="L72" s="76">
        <v>0</v>
      </c>
      <c r="M72" s="76">
        <v>0</v>
      </c>
      <c r="N72" s="76">
        <v>0</v>
      </c>
      <c r="O72" s="76">
        <v>0</v>
      </c>
      <c r="P72" s="76">
        <v>0</v>
      </c>
      <c r="Q72" s="76">
        <v>0</v>
      </c>
      <c r="R72" s="76">
        <v>0</v>
      </c>
      <c r="S72" s="76">
        <v>0</v>
      </c>
      <c r="T72" s="76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7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6">
        <v>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7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:AF74" si="9">SUMIF(B63:B73,"&gt;0")</f>
        <v>0</v>
      </c>
      <c r="C74" s="61">
        <f t="shared" si="9"/>
        <v>0</v>
      </c>
      <c r="D74" s="61">
        <f t="shared" si="9"/>
        <v>0</v>
      </c>
      <c r="E74" s="61">
        <f t="shared" si="9"/>
        <v>0</v>
      </c>
      <c r="F74" s="61">
        <f t="shared" si="9"/>
        <v>0</v>
      </c>
      <c r="G74" s="61">
        <f t="shared" si="9"/>
        <v>0</v>
      </c>
      <c r="H74" s="61">
        <f t="shared" si="9"/>
        <v>0</v>
      </c>
      <c r="I74" s="61">
        <f t="shared" si="9"/>
        <v>0</v>
      </c>
      <c r="J74" s="61">
        <f t="shared" si="9"/>
        <v>0</v>
      </c>
      <c r="K74" s="61">
        <f t="shared" si="9"/>
        <v>0</v>
      </c>
      <c r="L74" s="61">
        <f t="shared" si="9"/>
        <v>0</v>
      </c>
      <c r="M74" s="61">
        <f t="shared" si="9"/>
        <v>0</v>
      </c>
      <c r="N74" s="61">
        <f t="shared" si="9"/>
        <v>0</v>
      </c>
      <c r="O74" s="61">
        <f t="shared" si="9"/>
        <v>0</v>
      </c>
      <c r="P74" s="61">
        <f t="shared" si="9"/>
        <v>0</v>
      </c>
      <c r="Q74" s="61">
        <f t="shared" si="9"/>
        <v>0</v>
      </c>
      <c r="R74" s="61">
        <f t="shared" si="9"/>
        <v>0</v>
      </c>
      <c r="S74" s="61">
        <f t="shared" si="9"/>
        <v>0</v>
      </c>
      <c r="T74" s="61">
        <f t="shared" si="9"/>
        <v>0</v>
      </c>
      <c r="U74" s="61">
        <f t="shared" si="9"/>
        <v>0</v>
      </c>
      <c r="V74" s="61">
        <f t="shared" si="9"/>
        <v>0</v>
      </c>
      <c r="W74" s="61">
        <f t="shared" si="9"/>
        <v>0</v>
      </c>
      <c r="X74" s="61">
        <f t="shared" si="9"/>
        <v>0</v>
      </c>
      <c r="Y74" s="61">
        <v>15.8</v>
      </c>
      <c r="Z74" s="61">
        <f t="shared" si="9"/>
        <v>15</v>
      </c>
      <c r="AA74" s="61">
        <f t="shared" si="9"/>
        <v>15</v>
      </c>
      <c r="AB74" s="61">
        <f t="shared" si="9"/>
        <v>0</v>
      </c>
      <c r="AC74" s="61">
        <f t="shared" si="9"/>
        <v>0</v>
      </c>
      <c r="AD74" s="61">
        <f t="shared" si="9"/>
        <v>0</v>
      </c>
      <c r="AE74" s="61">
        <f t="shared" si="9"/>
        <v>0</v>
      </c>
      <c r="AF74" s="61">
        <f t="shared" si="9"/>
        <v>0</v>
      </c>
      <c r="AG74" s="81">
        <f>SUM(AG63:AG73)</f>
        <v>0</v>
      </c>
      <c r="AH74" s="48">
        <f t="shared" si="2"/>
        <v>15.8</v>
      </c>
      <c r="AI74" s="49">
        <f t="shared" si="3"/>
        <v>0</v>
      </c>
      <c r="AK74" s="50"/>
    </row>
    <row r="75" spans="1:37" x14ac:dyDescent="0.25">
      <c r="A75" s="44" t="s">
        <v>83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75">
        <v>14.4</v>
      </c>
      <c r="AH76" s="48">
        <f t="shared" ref="AH76:AH109" si="10">MAX(B76:AF76)</f>
        <v>0</v>
      </c>
      <c r="AI76" s="49">
        <f t="shared" ref="AI76:AI109" si="11">MIN(B76:AF76)</f>
        <v>0</v>
      </c>
      <c r="AK76" s="50"/>
    </row>
    <row r="77" spans="1:37" ht="15.75" thickBot="1" x14ac:dyDescent="0.3">
      <c r="A77" s="78" t="s">
        <v>85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>
        <v>0</v>
      </c>
      <c r="AC77" s="79">
        <v>0</v>
      </c>
      <c r="AD77" s="79">
        <v>0</v>
      </c>
      <c r="AE77" s="79">
        <v>0</v>
      </c>
      <c r="AF77" s="79">
        <v>0</v>
      </c>
      <c r="AG77" s="80">
        <v>2</v>
      </c>
      <c r="AH77" s="48">
        <f t="shared" si="10"/>
        <v>0</v>
      </c>
      <c r="AI77" s="49">
        <f t="shared" si="11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10"/>
        <v>0</v>
      </c>
      <c r="AI78" s="49">
        <f t="shared" si="11"/>
        <v>0</v>
      </c>
    </row>
    <row r="79" spans="1:37" ht="15.75" thickBot="1" x14ac:dyDescent="0.3">
      <c r="A79" s="74" t="s">
        <v>87</v>
      </c>
      <c r="B79" s="83">
        <f t="shared" ref="B79:AG79" si="12">B40+B44+B62+B58+B74+B78</f>
        <v>1396.94</v>
      </c>
      <c r="C79" s="83">
        <f t="shared" si="12"/>
        <v>1399.3400000000001</v>
      </c>
      <c r="D79" s="83">
        <f t="shared" si="12"/>
        <v>1397.74</v>
      </c>
      <c r="E79" s="83">
        <f t="shared" si="12"/>
        <v>1370.94</v>
      </c>
      <c r="F79" s="83">
        <f t="shared" si="12"/>
        <v>1356.54</v>
      </c>
      <c r="G79" s="83">
        <f t="shared" si="12"/>
        <v>1415.14</v>
      </c>
      <c r="H79" s="83">
        <f t="shared" si="12"/>
        <v>1434.3400000000001</v>
      </c>
      <c r="I79" s="83">
        <f t="shared" si="12"/>
        <v>1477.44</v>
      </c>
      <c r="J79" s="83">
        <f t="shared" si="12"/>
        <v>1501.44</v>
      </c>
      <c r="K79" s="83">
        <f t="shared" si="12"/>
        <v>1535.44</v>
      </c>
      <c r="L79" s="83">
        <f t="shared" si="12"/>
        <v>1566.44</v>
      </c>
      <c r="M79" s="83">
        <f t="shared" si="12"/>
        <v>1578.44</v>
      </c>
      <c r="N79" s="83">
        <f t="shared" si="12"/>
        <v>1578.44</v>
      </c>
      <c r="O79" s="83">
        <f t="shared" si="12"/>
        <v>1553.44</v>
      </c>
      <c r="P79" s="83">
        <f t="shared" si="12"/>
        <v>1446.8400000000001</v>
      </c>
      <c r="Q79" s="83">
        <f t="shared" si="12"/>
        <v>1405.44</v>
      </c>
      <c r="R79" s="83">
        <f t="shared" si="12"/>
        <v>1456.94</v>
      </c>
      <c r="S79" s="83">
        <f t="shared" si="12"/>
        <v>1443.94</v>
      </c>
      <c r="T79" s="83">
        <f t="shared" si="12"/>
        <v>1488.2399999999998</v>
      </c>
      <c r="U79" s="83">
        <f t="shared" si="12"/>
        <v>1531.74</v>
      </c>
      <c r="V79" s="83">
        <f t="shared" si="12"/>
        <v>1510.24</v>
      </c>
      <c r="W79" s="83">
        <f t="shared" si="12"/>
        <v>1535.6399999999999</v>
      </c>
      <c r="X79" s="83">
        <f t="shared" si="12"/>
        <v>1731.04</v>
      </c>
      <c r="Y79" s="83">
        <v>1759.04</v>
      </c>
      <c r="Z79" s="83">
        <f t="shared" si="12"/>
        <v>1715.94</v>
      </c>
      <c r="AA79" s="83">
        <f t="shared" si="12"/>
        <v>1732.44</v>
      </c>
      <c r="AB79" s="83">
        <f t="shared" si="12"/>
        <v>1627.34</v>
      </c>
      <c r="AC79" s="83">
        <f t="shared" si="12"/>
        <v>1607.1399999999999</v>
      </c>
      <c r="AD79" s="83">
        <f t="shared" si="12"/>
        <v>1551.04</v>
      </c>
      <c r="AE79" s="83">
        <f t="shared" si="12"/>
        <v>1503.54</v>
      </c>
      <c r="AF79" s="83">
        <f t="shared" si="12"/>
        <v>1491.04</v>
      </c>
      <c r="AG79" s="62">
        <f t="shared" si="12"/>
        <v>1897.1900000000003</v>
      </c>
      <c r="AH79" s="48">
        <f t="shared" si="10"/>
        <v>1759.04</v>
      </c>
      <c r="AI79" s="49">
        <f t="shared" si="11"/>
        <v>1356.54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10"/>
        <v>0</v>
      </c>
      <c r="AI80" s="49">
        <f t="shared" si="11"/>
        <v>0</v>
      </c>
    </row>
    <row r="81" spans="1:37" ht="15.75" thickBot="1" x14ac:dyDescent="0.3">
      <c r="A81" s="74" t="s">
        <v>89</v>
      </c>
      <c r="B81" s="83">
        <f t="shared" ref="B81:AF81" si="13">B79+B80</f>
        <v>1396.94</v>
      </c>
      <c r="C81" s="83">
        <f t="shared" si="13"/>
        <v>1399.3400000000001</v>
      </c>
      <c r="D81" s="83">
        <f t="shared" si="13"/>
        <v>1397.74</v>
      </c>
      <c r="E81" s="83">
        <f t="shared" si="13"/>
        <v>1370.94</v>
      </c>
      <c r="F81" s="83">
        <f t="shared" si="13"/>
        <v>1356.54</v>
      </c>
      <c r="G81" s="83">
        <f t="shared" si="13"/>
        <v>1415.14</v>
      </c>
      <c r="H81" s="83">
        <f t="shared" si="13"/>
        <v>1434.3400000000001</v>
      </c>
      <c r="I81" s="83">
        <f t="shared" si="13"/>
        <v>1477.44</v>
      </c>
      <c r="J81" s="83">
        <f t="shared" si="13"/>
        <v>1501.44</v>
      </c>
      <c r="K81" s="83">
        <f t="shared" si="13"/>
        <v>1535.44</v>
      </c>
      <c r="L81" s="83">
        <f t="shared" si="13"/>
        <v>1566.44</v>
      </c>
      <c r="M81" s="83">
        <f t="shared" si="13"/>
        <v>1578.44</v>
      </c>
      <c r="N81" s="83">
        <f t="shared" si="13"/>
        <v>1578.44</v>
      </c>
      <c r="O81" s="83">
        <f t="shared" si="13"/>
        <v>1553.44</v>
      </c>
      <c r="P81" s="83">
        <f t="shared" si="13"/>
        <v>1446.8400000000001</v>
      </c>
      <c r="Q81" s="83">
        <f t="shared" si="13"/>
        <v>1405.44</v>
      </c>
      <c r="R81" s="83">
        <f t="shared" si="13"/>
        <v>1456.94</v>
      </c>
      <c r="S81" s="83">
        <f t="shared" si="13"/>
        <v>1443.94</v>
      </c>
      <c r="T81" s="83">
        <f t="shared" si="13"/>
        <v>1488.2399999999998</v>
      </c>
      <c r="U81" s="83">
        <f t="shared" si="13"/>
        <v>1531.74</v>
      </c>
      <c r="V81" s="83">
        <f t="shared" si="13"/>
        <v>1510.24</v>
      </c>
      <c r="W81" s="83">
        <f t="shared" si="13"/>
        <v>1535.6399999999999</v>
      </c>
      <c r="X81" s="83">
        <f t="shared" si="13"/>
        <v>1731.04</v>
      </c>
      <c r="Y81" s="83">
        <v>1759.04</v>
      </c>
      <c r="Z81" s="83">
        <f t="shared" si="13"/>
        <v>1715.94</v>
      </c>
      <c r="AA81" s="83">
        <f t="shared" si="13"/>
        <v>1732.44</v>
      </c>
      <c r="AB81" s="83">
        <f t="shared" si="13"/>
        <v>1627.34</v>
      </c>
      <c r="AC81" s="83">
        <f t="shared" si="13"/>
        <v>1607.1399999999999</v>
      </c>
      <c r="AD81" s="83">
        <f t="shared" si="13"/>
        <v>1551.04</v>
      </c>
      <c r="AE81" s="83">
        <f t="shared" si="13"/>
        <v>1503.54</v>
      </c>
      <c r="AF81" s="83">
        <f t="shared" si="13"/>
        <v>1491.04</v>
      </c>
      <c r="AG81" s="81">
        <f>AG78+AG74+AG62+AG58+AG40+AG80</f>
        <v>1359.0900000000001</v>
      </c>
      <c r="AH81" s="48">
        <f t="shared" si="10"/>
        <v>1759.04</v>
      </c>
      <c r="AI81" s="49">
        <f t="shared" si="11"/>
        <v>1356.54</v>
      </c>
    </row>
    <row r="82" spans="1:37" ht="15.75" thickBot="1" x14ac:dyDescent="0.3">
      <c r="A82" s="74" t="s">
        <v>90</v>
      </c>
      <c r="B82" s="83">
        <f t="shared" ref="B82:AF82" si="14">B81-B89</f>
        <v>1029.94</v>
      </c>
      <c r="C82" s="83">
        <f t="shared" si="14"/>
        <v>1035.3400000000001</v>
      </c>
      <c r="D82" s="83">
        <f t="shared" si="14"/>
        <v>1026.74</v>
      </c>
      <c r="E82" s="83">
        <f t="shared" si="14"/>
        <v>995.44</v>
      </c>
      <c r="F82" s="83">
        <f t="shared" si="14"/>
        <v>986.54</v>
      </c>
      <c r="G82" s="83">
        <f t="shared" si="14"/>
        <v>1047.1400000000001</v>
      </c>
      <c r="H82" s="83">
        <f t="shared" si="14"/>
        <v>1049.3400000000001</v>
      </c>
      <c r="I82" s="83">
        <f t="shared" si="14"/>
        <v>1100.1400000000001</v>
      </c>
      <c r="J82" s="83">
        <f t="shared" si="14"/>
        <v>1135.24</v>
      </c>
      <c r="K82" s="83">
        <f t="shared" si="14"/>
        <v>1165.44</v>
      </c>
      <c r="L82" s="83">
        <f t="shared" si="14"/>
        <v>1199.44</v>
      </c>
      <c r="M82" s="83">
        <f t="shared" si="14"/>
        <v>1204.44</v>
      </c>
      <c r="N82" s="83">
        <f t="shared" si="14"/>
        <v>1207.44</v>
      </c>
      <c r="O82" s="83">
        <f t="shared" si="14"/>
        <v>1144.44</v>
      </c>
      <c r="P82" s="83">
        <f t="shared" si="14"/>
        <v>1074.8400000000001</v>
      </c>
      <c r="Q82" s="83">
        <f t="shared" si="14"/>
        <v>1044.44</v>
      </c>
      <c r="R82" s="83">
        <f t="shared" si="14"/>
        <v>1074.94</v>
      </c>
      <c r="S82" s="83">
        <f t="shared" si="14"/>
        <v>1061.94</v>
      </c>
      <c r="T82" s="83">
        <f t="shared" si="14"/>
        <v>1105.2399999999998</v>
      </c>
      <c r="U82" s="83">
        <f t="shared" si="14"/>
        <v>1131.74</v>
      </c>
      <c r="V82" s="83">
        <f t="shared" si="14"/>
        <v>1127.24</v>
      </c>
      <c r="W82" s="83">
        <f t="shared" si="14"/>
        <v>1159.6399999999999</v>
      </c>
      <c r="X82" s="83">
        <f t="shared" si="14"/>
        <v>1357.04</v>
      </c>
      <c r="Y82" s="83">
        <v>1355.04</v>
      </c>
      <c r="Z82" s="83">
        <f t="shared" si="14"/>
        <v>1320.94</v>
      </c>
      <c r="AA82" s="83">
        <f t="shared" si="14"/>
        <v>1334.44</v>
      </c>
      <c r="AB82" s="83">
        <f t="shared" si="14"/>
        <v>1226.44</v>
      </c>
      <c r="AC82" s="83">
        <f t="shared" si="14"/>
        <v>1228.1399999999999</v>
      </c>
      <c r="AD82" s="83">
        <f t="shared" si="14"/>
        <v>1136.8399999999999</v>
      </c>
      <c r="AE82" s="83">
        <f t="shared" si="14"/>
        <v>1099.44</v>
      </c>
      <c r="AF82" s="83">
        <f t="shared" si="14"/>
        <v>1096.8399999999999</v>
      </c>
      <c r="AG82" s="81"/>
      <c r="AH82" s="48">
        <f t="shared" si="10"/>
        <v>1357.04</v>
      </c>
      <c r="AI82" s="49">
        <f t="shared" si="11"/>
        <v>986.54</v>
      </c>
    </row>
    <row r="83" spans="1:37" x14ac:dyDescent="0.25">
      <c r="A83" s="44" t="s">
        <v>74</v>
      </c>
      <c r="B83" s="76">
        <f t="shared" ref="B83:AF83" si="15">IF(B66&lt;0,B66*-1,0)</f>
        <v>0</v>
      </c>
      <c r="C83" s="76">
        <f t="shared" si="15"/>
        <v>0</v>
      </c>
      <c r="D83" s="76">
        <f t="shared" si="15"/>
        <v>0</v>
      </c>
      <c r="E83" s="76">
        <f t="shared" si="15"/>
        <v>0</v>
      </c>
      <c r="F83" s="76">
        <f t="shared" si="15"/>
        <v>0</v>
      </c>
      <c r="G83" s="76">
        <f t="shared" si="15"/>
        <v>0</v>
      </c>
      <c r="H83" s="76">
        <f t="shared" si="15"/>
        <v>0</v>
      </c>
      <c r="I83" s="76">
        <f t="shared" si="15"/>
        <v>0</v>
      </c>
      <c r="J83" s="76">
        <f t="shared" si="15"/>
        <v>0</v>
      </c>
      <c r="K83" s="76">
        <f t="shared" si="15"/>
        <v>0</v>
      </c>
      <c r="L83" s="76">
        <f t="shared" si="15"/>
        <v>0</v>
      </c>
      <c r="M83" s="76">
        <f t="shared" si="15"/>
        <v>0</v>
      </c>
      <c r="N83" s="76">
        <f t="shared" si="15"/>
        <v>0</v>
      </c>
      <c r="O83" s="76">
        <f t="shared" si="15"/>
        <v>0</v>
      </c>
      <c r="P83" s="76">
        <f t="shared" si="15"/>
        <v>0</v>
      </c>
      <c r="Q83" s="76">
        <f t="shared" si="15"/>
        <v>0</v>
      </c>
      <c r="R83" s="76">
        <f t="shared" si="15"/>
        <v>0</v>
      </c>
      <c r="S83" s="76">
        <f t="shared" si="15"/>
        <v>0</v>
      </c>
      <c r="T83" s="76">
        <f t="shared" si="15"/>
        <v>0</v>
      </c>
      <c r="U83" s="76">
        <f t="shared" si="15"/>
        <v>0</v>
      </c>
      <c r="V83" s="76">
        <f t="shared" si="15"/>
        <v>0</v>
      </c>
      <c r="W83" s="76">
        <f t="shared" si="15"/>
        <v>0</v>
      </c>
      <c r="X83" s="76">
        <f t="shared" si="15"/>
        <v>0</v>
      </c>
      <c r="Y83" s="76">
        <v>0</v>
      </c>
      <c r="Z83" s="76">
        <f t="shared" si="15"/>
        <v>0</v>
      </c>
      <c r="AA83" s="76">
        <f t="shared" si="15"/>
        <v>0</v>
      </c>
      <c r="AB83" s="76">
        <f t="shared" si="15"/>
        <v>0</v>
      </c>
      <c r="AC83" s="76">
        <f t="shared" si="15"/>
        <v>0</v>
      </c>
      <c r="AD83" s="76">
        <f t="shared" si="15"/>
        <v>0</v>
      </c>
      <c r="AE83" s="76">
        <f t="shared" si="15"/>
        <v>0</v>
      </c>
      <c r="AF83" s="76">
        <f t="shared" si="15"/>
        <v>0</v>
      </c>
      <c r="AG83" s="52"/>
      <c r="AH83" s="48">
        <f t="shared" si="10"/>
        <v>0</v>
      </c>
      <c r="AI83" s="49">
        <f t="shared" si="11"/>
        <v>0</v>
      </c>
    </row>
    <row r="84" spans="1:37" x14ac:dyDescent="0.25">
      <c r="A84" s="54" t="s">
        <v>72</v>
      </c>
      <c r="B84" s="76">
        <f t="shared" ref="B84:AF84" si="16">IF(B64&lt;0,B64*-1,0)</f>
        <v>0</v>
      </c>
      <c r="C84" s="76">
        <f t="shared" si="16"/>
        <v>0</v>
      </c>
      <c r="D84" s="76">
        <f t="shared" si="16"/>
        <v>0</v>
      </c>
      <c r="E84" s="76">
        <f t="shared" si="16"/>
        <v>0</v>
      </c>
      <c r="F84" s="76">
        <f t="shared" si="16"/>
        <v>0</v>
      </c>
      <c r="G84" s="76">
        <f t="shared" si="16"/>
        <v>0</v>
      </c>
      <c r="H84" s="76">
        <f t="shared" si="16"/>
        <v>0</v>
      </c>
      <c r="I84" s="76">
        <f t="shared" si="16"/>
        <v>0</v>
      </c>
      <c r="J84" s="76">
        <f t="shared" si="16"/>
        <v>0</v>
      </c>
      <c r="K84" s="76">
        <f t="shared" si="16"/>
        <v>0</v>
      </c>
      <c r="L84" s="76">
        <f t="shared" si="16"/>
        <v>0</v>
      </c>
      <c r="M84" s="76">
        <f t="shared" si="16"/>
        <v>0</v>
      </c>
      <c r="N84" s="76">
        <f t="shared" si="16"/>
        <v>0</v>
      </c>
      <c r="O84" s="76">
        <f t="shared" si="16"/>
        <v>0</v>
      </c>
      <c r="P84" s="76">
        <f t="shared" si="16"/>
        <v>0</v>
      </c>
      <c r="Q84" s="76">
        <f t="shared" si="16"/>
        <v>0</v>
      </c>
      <c r="R84" s="76">
        <f t="shared" si="16"/>
        <v>0</v>
      </c>
      <c r="S84" s="76">
        <f t="shared" si="16"/>
        <v>0</v>
      </c>
      <c r="T84" s="76">
        <f t="shared" si="16"/>
        <v>0</v>
      </c>
      <c r="U84" s="76">
        <f t="shared" si="16"/>
        <v>0</v>
      </c>
      <c r="V84" s="76">
        <f t="shared" si="16"/>
        <v>0</v>
      </c>
      <c r="W84" s="76">
        <f t="shared" si="16"/>
        <v>0</v>
      </c>
      <c r="X84" s="76">
        <f t="shared" si="16"/>
        <v>0</v>
      </c>
      <c r="Y84" s="76">
        <v>0</v>
      </c>
      <c r="Z84" s="76">
        <f t="shared" si="16"/>
        <v>0</v>
      </c>
      <c r="AA84" s="76">
        <f t="shared" si="16"/>
        <v>0</v>
      </c>
      <c r="AB84" s="76">
        <f t="shared" si="16"/>
        <v>0</v>
      </c>
      <c r="AC84" s="76">
        <f t="shared" si="16"/>
        <v>0</v>
      </c>
      <c r="AD84" s="76">
        <f t="shared" si="16"/>
        <v>0</v>
      </c>
      <c r="AE84" s="76">
        <f t="shared" si="16"/>
        <v>0</v>
      </c>
      <c r="AF84" s="76">
        <f t="shared" si="16"/>
        <v>0</v>
      </c>
      <c r="AG84" s="55"/>
      <c r="AH84" s="48">
        <f t="shared" si="10"/>
        <v>0</v>
      </c>
      <c r="AI84" s="49">
        <f t="shared" si="11"/>
        <v>0</v>
      </c>
    </row>
    <row r="85" spans="1:37" x14ac:dyDescent="0.25">
      <c r="A85" s="78" t="s">
        <v>91</v>
      </c>
      <c r="B85" s="76">
        <f t="shared" ref="B85:AF85" si="17">IF(B67&lt;0,B67*-1,0)</f>
        <v>0</v>
      </c>
      <c r="C85" s="76">
        <f t="shared" si="17"/>
        <v>0</v>
      </c>
      <c r="D85" s="76">
        <f t="shared" si="17"/>
        <v>0</v>
      </c>
      <c r="E85" s="76">
        <f t="shared" si="17"/>
        <v>0</v>
      </c>
      <c r="F85" s="76">
        <f t="shared" si="17"/>
        <v>0</v>
      </c>
      <c r="G85" s="76">
        <f t="shared" si="17"/>
        <v>0</v>
      </c>
      <c r="H85" s="76">
        <f t="shared" si="17"/>
        <v>0</v>
      </c>
      <c r="I85" s="76">
        <f t="shared" si="17"/>
        <v>0</v>
      </c>
      <c r="J85" s="76">
        <f t="shared" si="17"/>
        <v>0</v>
      </c>
      <c r="K85" s="76">
        <f t="shared" si="17"/>
        <v>0</v>
      </c>
      <c r="L85" s="76">
        <f t="shared" si="17"/>
        <v>0</v>
      </c>
      <c r="M85" s="76">
        <f t="shared" si="17"/>
        <v>0</v>
      </c>
      <c r="N85" s="76">
        <f t="shared" si="17"/>
        <v>0</v>
      </c>
      <c r="O85" s="76">
        <f t="shared" si="17"/>
        <v>0</v>
      </c>
      <c r="P85" s="76">
        <f t="shared" si="17"/>
        <v>0</v>
      </c>
      <c r="Q85" s="76">
        <f t="shared" si="17"/>
        <v>0</v>
      </c>
      <c r="R85" s="76">
        <f t="shared" si="17"/>
        <v>0</v>
      </c>
      <c r="S85" s="76">
        <f t="shared" si="17"/>
        <v>0</v>
      </c>
      <c r="T85" s="76">
        <f t="shared" si="17"/>
        <v>0</v>
      </c>
      <c r="U85" s="76">
        <f t="shared" si="17"/>
        <v>0</v>
      </c>
      <c r="V85" s="76">
        <f t="shared" si="17"/>
        <v>0</v>
      </c>
      <c r="W85" s="76">
        <f t="shared" si="17"/>
        <v>0</v>
      </c>
      <c r="X85" s="76">
        <f t="shared" si="17"/>
        <v>0</v>
      </c>
      <c r="Y85" s="76">
        <v>0</v>
      </c>
      <c r="Z85" s="76">
        <f t="shared" si="17"/>
        <v>0</v>
      </c>
      <c r="AA85" s="76">
        <f t="shared" si="17"/>
        <v>0</v>
      </c>
      <c r="AB85" s="76">
        <f t="shared" si="17"/>
        <v>0</v>
      </c>
      <c r="AC85" s="76">
        <f t="shared" si="17"/>
        <v>0</v>
      </c>
      <c r="AD85" s="76">
        <f t="shared" si="17"/>
        <v>0</v>
      </c>
      <c r="AE85" s="76">
        <f t="shared" si="17"/>
        <v>0</v>
      </c>
      <c r="AF85" s="76">
        <f t="shared" si="17"/>
        <v>0</v>
      </c>
      <c r="AG85" s="86"/>
      <c r="AH85" s="48">
        <f t="shared" si="10"/>
        <v>0</v>
      </c>
      <c r="AI85" s="49">
        <f t="shared" si="11"/>
        <v>0</v>
      </c>
    </row>
    <row r="86" spans="1:37" x14ac:dyDescent="0.25">
      <c r="A86" s="78" t="s">
        <v>92</v>
      </c>
      <c r="B86" s="76">
        <f t="shared" ref="B86:AF86" si="18">IF(B65&lt;0,B65*-1,0)</f>
        <v>367</v>
      </c>
      <c r="C86" s="76">
        <f t="shared" si="18"/>
        <v>364</v>
      </c>
      <c r="D86" s="76">
        <f t="shared" si="18"/>
        <v>371</v>
      </c>
      <c r="E86" s="76">
        <f t="shared" si="18"/>
        <v>375.5</v>
      </c>
      <c r="F86" s="76">
        <f t="shared" si="18"/>
        <v>370</v>
      </c>
      <c r="G86" s="76">
        <f t="shared" si="18"/>
        <v>368</v>
      </c>
      <c r="H86" s="76">
        <f t="shared" si="18"/>
        <v>385</v>
      </c>
      <c r="I86" s="76">
        <f t="shared" si="18"/>
        <v>377.3</v>
      </c>
      <c r="J86" s="76">
        <f t="shared" si="18"/>
        <v>366.2</v>
      </c>
      <c r="K86" s="76">
        <f t="shared" si="18"/>
        <v>370</v>
      </c>
      <c r="L86" s="76">
        <f t="shared" si="18"/>
        <v>367</v>
      </c>
      <c r="M86" s="76">
        <f t="shared" si="18"/>
        <v>374</v>
      </c>
      <c r="N86" s="76">
        <f t="shared" si="18"/>
        <v>371</v>
      </c>
      <c r="O86" s="76">
        <f t="shared" si="18"/>
        <v>409</v>
      </c>
      <c r="P86" s="76">
        <f t="shared" si="18"/>
        <v>372</v>
      </c>
      <c r="Q86" s="76">
        <f t="shared" si="18"/>
        <v>361</v>
      </c>
      <c r="R86" s="76">
        <f t="shared" si="18"/>
        <v>382</v>
      </c>
      <c r="S86" s="76">
        <f t="shared" si="18"/>
        <v>382</v>
      </c>
      <c r="T86" s="76">
        <f t="shared" si="18"/>
        <v>383</v>
      </c>
      <c r="U86" s="76">
        <f t="shared" si="18"/>
        <v>400</v>
      </c>
      <c r="V86" s="76">
        <f t="shared" si="18"/>
        <v>383</v>
      </c>
      <c r="W86" s="76">
        <f t="shared" si="18"/>
        <v>376</v>
      </c>
      <c r="X86" s="76">
        <f t="shared" si="18"/>
        <v>374</v>
      </c>
      <c r="Y86" s="76">
        <v>404</v>
      </c>
      <c r="Z86" s="76">
        <f t="shared" si="18"/>
        <v>395</v>
      </c>
      <c r="AA86" s="76">
        <f t="shared" si="18"/>
        <v>398</v>
      </c>
      <c r="AB86" s="76">
        <f t="shared" si="18"/>
        <v>400.9</v>
      </c>
      <c r="AC86" s="76">
        <f t="shared" si="18"/>
        <v>379</v>
      </c>
      <c r="AD86" s="76">
        <f t="shared" si="18"/>
        <v>414.2</v>
      </c>
      <c r="AE86" s="76">
        <f t="shared" si="18"/>
        <v>404.1</v>
      </c>
      <c r="AF86" s="76">
        <f t="shared" si="18"/>
        <v>394.2</v>
      </c>
      <c r="AG86" s="86"/>
      <c r="AH86" s="48">
        <f t="shared" si="10"/>
        <v>414.2</v>
      </c>
      <c r="AI86" s="49">
        <f t="shared" si="11"/>
        <v>361</v>
      </c>
    </row>
    <row r="87" spans="1:37" x14ac:dyDescent="0.25">
      <c r="A87" s="78" t="s">
        <v>71</v>
      </c>
      <c r="B87" s="76">
        <f t="shared" ref="B87:AF87" si="19">IF(B63&lt;0,B63*-1,0)</f>
        <v>0</v>
      </c>
      <c r="C87" s="76">
        <f t="shared" si="19"/>
        <v>0</v>
      </c>
      <c r="D87" s="76">
        <f t="shared" si="19"/>
        <v>0</v>
      </c>
      <c r="E87" s="76">
        <f t="shared" si="19"/>
        <v>0</v>
      </c>
      <c r="F87" s="76">
        <f t="shared" si="19"/>
        <v>0</v>
      </c>
      <c r="G87" s="76">
        <f t="shared" si="19"/>
        <v>0</v>
      </c>
      <c r="H87" s="76">
        <f t="shared" si="19"/>
        <v>0</v>
      </c>
      <c r="I87" s="76">
        <f t="shared" si="19"/>
        <v>0</v>
      </c>
      <c r="J87" s="76">
        <f t="shared" si="19"/>
        <v>0</v>
      </c>
      <c r="K87" s="76">
        <f t="shared" si="19"/>
        <v>0</v>
      </c>
      <c r="L87" s="76">
        <f t="shared" si="19"/>
        <v>0</v>
      </c>
      <c r="M87" s="76">
        <f t="shared" si="19"/>
        <v>0</v>
      </c>
      <c r="N87" s="76">
        <f t="shared" si="19"/>
        <v>0</v>
      </c>
      <c r="O87" s="76">
        <f t="shared" si="19"/>
        <v>0</v>
      </c>
      <c r="P87" s="76">
        <f t="shared" si="19"/>
        <v>0</v>
      </c>
      <c r="Q87" s="76">
        <f t="shared" si="19"/>
        <v>0</v>
      </c>
      <c r="R87" s="76">
        <f t="shared" si="19"/>
        <v>0</v>
      </c>
      <c r="S87" s="76">
        <f t="shared" si="19"/>
        <v>0</v>
      </c>
      <c r="T87" s="76">
        <f t="shared" si="19"/>
        <v>0</v>
      </c>
      <c r="U87" s="76">
        <f t="shared" si="19"/>
        <v>0</v>
      </c>
      <c r="V87" s="76">
        <f t="shared" si="19"/>
        <v>0</v>
      </c>
      <c r="W87" s="76">
        <f t="shared" si="19"/>
        <v>0</v>
      </c>
      <c r="X87" s="76">
        <f t="shared" si="19"/>
        <v>0</v>
      </c>
      <c r="Y87" s="76">
        <v>0</v>
      </c>
      <c r="Z87" s="76">
        <f t="shared" si="19"/>
        <v>0</v>
      </c>
      <c r="AA87" s="76">
        <f t="shared" si="19"/>
        <v>0</v>
      </c>
      <c r="AB87" s="76">
        <f t="shared" si="19"/>
        <v>0</v>
      </c>
      <c r="AC87" s="76">
        <f t="shared" si="19"/>
        <v>0</v>
      </c>
      <c r="AD87" s="76">
        <f t="shared" si="19"/>
        <v>0</v>
      </c>
      <c r="AE87" s="76">
        <f t="shared" si="19"/>
        <v>0</v>
      </c>
      <c r="AF87" s="76">
        <f t="shared" si="19"/>
        <v>0</v>
      </c>
      <c r="AG87" s="86"/>
      <c r="AH87" s="48">
        <f>MAX(B87:AG87)</f>
        <v>0</v>
      </c>
      <c r="AI87" s="49">
        <f>MIN(B87:AG87)</f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>
        <v>0</v>
      </c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10"/>
        <v>0</v>
      </c>
      <c r="AI88" s="49">
        <f t="shared" si="11"/>
        <v>0</v>
      </c>
    </row>
    <row r="89" spans="1:37" ht="15.75" thickBot="1" x14ac:dyDescent="0.3">
      <c r="A89" s="87" t="s">
        <v>94</v>
      </c>
      <c r="B89" s="61">
        <f t="shared" ref="B89:AF89" si="20">SUM(B83:B88)</f>
        <v>367</v>
      </c>
      <c r="C89" s="61">
        <f t="shared" si="20"/>
        <v>364</v>
      </c>
      <c r="D89" s="61">
        <f t="shared" si="20"/>
        <v>371</v>
      </c>
      <c r="E89" s="61">
        <f t="shared" si="20"/>
        <v>375.5</v>
      </c>
      <c r="F89" s="61">
        <f t="shared" si="20"/>
        <v>370</v>
      </c>
      <c r="G89" s="61">
        <f t="shared" si="20"/>
        <v>368</v>
      </c>
      <c r="H89" s="61">
        <f t="shared" si="20"/>
        <v>385</v>
      </c>
      <c r="I89" s="61">
        <f t="shared" si="20"/>
        <v>377.3</v>
      </c>
      <c r="J89" s="61">
        <f t="shared" si="20"/>
        <v>366.2</v>
      </c>
      <c r="K89" s="61">
        <f t="shared" si="20"/>
        <v>370</v>
      </c>
      <c r="L89" s="61">
        <f t="shared" si="20"/>
        <v>367</v>
      </c>
      <c r="M89" s="61">
        <f t="shared" si="20"/>
        <v>374</v>
      </c>
      <c r="N89" s="61">
        <f t="shared" si="20"/>
        <v>371</v>
      </c>
      <c r="O89" s="61">
        <f t="shared" si="20"/>
        <v>409</v>
      </c>
      <c r="P89" s="61">
        <f t="shared" si="20"/>
        <v>372</v>
      </c>
      <c r="Q89" s="61">
        <f t="shared" si="20"/>
        <v>361</v>
      </c>
      <c r="R89" s="61">
        <f t="shared" si="20"/>
        <v>382</v>
      </c>
      <c r="S89" s="61">
        <f t="shared" si="20"/>
        <v>382</v>
      </c>
      <c r="T89" s="61">
        <f t="shared" si="20"/>
        <v>383</v>
      </c>
      <c r="U89" s="61">
        <f t="shared" si="20"/>
        <v>400</v>
      </c>
      <c r="V89" s="61">
        <f t="shared" si="20"/>
        <v>383</v>
      </c>
      <c r="W89" s="61">
        <f t="shared" si="20"/>
        <v>376</v>
      </c>
      <c r="X89" s="61">
        <f t="shared" si="20"/>
        <v>374</v>
      </c>
      <c r="Y89" s="61">
        <v>404</v>
      </c>
      <c r="Z89" s="61">
        <f t="shared" si="20"/>
        <v>395</v>
      </c>
      <c r="AA89" s="61">
        <f t="shared" si="20"/>
        <v>398</v>
      </c>
      <c r="AB89" s="61">
        <f t="shared" si="20"/>
        <v>400.9</v>
      </c>
      <c r="AC89" s="61">
        <f t="shared" si="20"/>
        <v>379</v>
      </c>
      <c r="AD89" s="61">
        <f t="shared" si="20"/>
        <v>414.2</v>
      </c>
      <c r="AE89" s="61">
        <f t="shared" si="20"/>
        <v>404.1</v>
      </c>
      <c r="AF89" s="61">
        <f t="shared" si="20"/>
        <v>394.2</v>
      </c>
      <c r="AG89" s="81"/>
      <c r="AH89" s="48">
        <f t="shared" si="10"/>
        <v>414.2</v>
      </c>
      <c r="AI89" s="49">
        <f t="shared" si="11"/>
        <v>361</v>
      </c>
      <c r="AK89" s="50"/>
    </row>
    <row r="90" spans="1:37" ht="15.75" thickBot="1" x14ac:dyDescent="0.3">
      <c r="A90" s="74" t="s">
        <v>95</v>
      </c>
      <c r="B90" s="61">
        <f t="shared" ref="B90:AF90" si="21">B74-B89</f>
        <v>-367</v>
      </c>
      <c r="C90" s="61">
        <f t="shared" si="21"/>
        <v>-364</v>
      </c>
      <c r="D90" s="61">
        <f t="shared" si="21"/>
        <v>-371</v>
      </c>
      <c r="E90" s="61">
        <f t="shared" si="21"/>
        <v>-375.5</v>
      </c>
      <c r="F90" s="61">
        <f t="shared" si="21"/>
        <v>-370</v>
      </c>
      <c r="G90" s="61">
        <f t="shared" si="21"/>
        <v>-368</v>
      </c>
      <c r="H90" s="61">
        <f t="shared" si="21"/>
        <v>-385</v>
      </c>
      <c r="I90" s="61">
        <f t="shared" si="21"/>
        <v>-377.3</v>
      </c>
      <c r="J90" s="61">
        <f t="shared" si="21"/>
        <v>-366.2</v>
      </c>
      <c r="K90" s="61">
        <f t="shared" si="21"/>
        <v>-370</v>
      </c>
      <c r="L90" s="61">
        <f t="shared" si="21"/>
        <v>-367</v>
      </c>
      <c r="M90" s="61">
        <f t="shared" si="21"/>
        <v>-374</v>
      </c>
      <c r="N90" s="61">
        <f t="shared" si="21"/>
        <v>-371</v>
      </c>
      <c r="O90" s="61">
        <f t="shared" si="21"/>
        <v>-409</v>
      </c>
      <c r="P90" s="61">
        <f t="shared" si="21"/>
        <v>-372</v>
      </c>
      <c r="Q90" s="61">
        <f t="shared" si="21"/>
        <v>-361</v>
      </c>
      <c r="R90" s="61">
        <f t="shared" si="21"/>
        <v>-382</v>
      </c>
      <c r="S90" s="61">
        <f t="shared" si="21"/>
        <v>-382</v>
      </c>
      <c r="T90" s="61">
        <f t="shared" si="21"/>
        <v>-383</v>
      </c>
      <c r="U90" s="61">
        <f t="shared" si="21"/>
        <v>-400</v>
      </c>
      <c r="V90" s="61">
        <f t="shared" si="21"/>
        <v>-383</v>
      </c>
      <c r="W90" s="61">
        <f t="shared" si="21"/>
        <v>-376</v>
      </c>
      <c r="X90" s="61">
        <f t="shared" si="21"/>
        <v>-374</v>
      </c>
      <c r="Y90" s="61">
        <v>-388.2</v>
      </c>
      <c r="Z90" s="61">
        <f t="shared" si="21"/>
        <v>-380</v>
      </c>
      <c r="AA90" s="61">
        <f t="shared" si="21"/>
        <v>-383</v>
      </c>
      <c r="AB90" s="61">
        <f t="shared" si="21"/>
        <v>-400.9</v>
      </c>
      <c r="AC90" s="61">
        <f t="shared" si="21"/>
        <v>-379</v>
      </c>
      <c r="AD90" s="61">
        <f t="shared" si="21"/>
        <v>-414.2</v>
      </c>
      <c r="AE90" s="61">
        <f t="shared" si="21"/>
        <v>-404.1</v>
      </c>
      <c r="AF90" s="61">
        <f t="shared" si="21"/>
        <v>-394.2</v>
      </c>
      <c r="AG90" s="81"/>
      <c r="AH90" s="48">
        <f t="shared" si="10"/>
        <v>-361</v>
      </c>
      <c r="AI90" s="49">
        <f t="shared" si="11"/>
        <v>-414.2</v>
      </c>
    </row>
    <row r="91" spans="1:37" x14ac:dyDescent="0.25">
      <c r="A91" s="88" t="s">
        <v>96</v>
      </c>
      <c r="B91" s="89">
        <v>50.045999999999999</v>
      </c>
      <c r="C91" s="89">
        <v>49.96</v>
      </c>
      <c r="D91" s="89">
        <v>50.03</v>
      </c>
      <c r="E91" s="89">
        <v>49.975000000000001</v>
      </c>
      <c r="F91" s="89">
        <v>50.109000000000002</v>
      </c>
      <c r="G91" s="89">
        <v>50.06</v>
      </c>
      <c r="H91" s="89">
        <v>50.01</v>
      </c>
      <c r="I91" s="89">
        <v>50.045000000000002</v>
      </c>
      <c r="J91" s="89">
        <v>50.04</v>
      </c>
      <c r="K91" s="89">
        <v>50.12</v>
      </c>
      <c r="L91" s="89">
        <v>49.962000000000003</v>
      </c>
      <c r="M91" s="89">
        <v>50.012</v>
      </c>
      <c r="N91" s="89">
        <v>49.963999999999999</v>
      </c>
      <c r="O91" s="89">
        <v>49.9</v>
      </c>
      <c r="P91" s="89">
        <v>50</v>
      </c>
      <c r="Q91" s="89">
        <v>50.085999999999999</v>
      </c>
      <c r="R91" s="89">
        <v>50.024000000000001</v>
      </c>
      <c r="S91" s="89">
        <v>50.02</v>
      </c>
      <c r="T91" s="89">
        <v>49.984000000000002</v>
      </c>
      <c r="U91" s="89">
        <v>50.042999999999999</v>
      </c>
      <c r="V91" s="89">
        <v>49.93</v>
      </c>
      <c r="W91" s="89">
        <v>50.02</v>
      </c>
      <c r="X91" s="89">
        <v>50.07</v>
      </c>
      <c r="Y91" s="89">
        <v>50.03</v>
      </c>
      <c r="Z91" s="89">
        <v>50.03</v>
      </c>
      <c r="AA91" s="89">
        <v>50.04</v>
      </c>
      <c r="AB91" s="89">
        <v>50.012</v>
      </c>
      <c r="AC91" s="89">
        <v>50.006</v>
      </c>
      <c r="AD91" s="89">
        <v>49.982999999999997</v>
      </c>
      <c r="AE91" s="89">
        <v>49.96</v>
      </c>
      <c r="AF91" s="89">
        <v>49.93</v>
      </c>
      <c r="AG91" s="90"/>
      <c r="AH91" s="48">
        <f t="shared" si="10"/>
        <v>50.12</v>
      </c>
      <c r="AI91" s="49">
        <f t="shared" si="11"/>
        <v>49.9</v>
      </c>
    </row>
    <row r="92" spans="1:37" x14ac:dyDescent="0.25">
      <c r="A92" s="91" t="s">
        <v>97</v>
      </c>
      <c r="B92" s="65">
        <v>125.5</v>
      </c>
      <c r="C92" s="65">
        <v>127</v>
      </c>
      <c r="D92" s="65">
        <v>126</v>
      </c>
      <c r="E92" s="65">
        <v>126.5</v>
      </c>
      <c r="F92" s="65">
        <v>126.6</v>
      </c>
      <c r="G92" s="65">
        <v>126.1</v>
      </c>
      <c r="H92" s="65">
        <v>124.7</v>
      </c>
      <c r="I92" s="65">
        <v>126.6</v>
      </c>
      <c r="J92" s="65">
        <v>124.2</v>
      </c>
      <c r="K92" s="65">
        <v>125.4</v>
      </c>
      <c r="L92" s="65">
        <v>122.7</v>
      </c>
      <c r="M92" s="65">
        <v>123.1</v>
      </c>
      <c r="N92" s="65">
        <v>124.7</v>
      </c>
      <c r="O92" s="65">
        <v>124.7</v>
      </c>
      <c r="P92" s="65">
        <v>124.6</v>
      </c>
      <c r="Q92" s="65">
        <v>126.3</v>
      </c>
      <c r="R92" s="65">
        <v>125.2</v>
      </c>
      <c r="S92" s="65">
        <v>125.1</v>
      </c>
      <c r="T92" s="65">
        <v>125.7</v>
      </c>
      <c r="U92" s="65">
        <v>125.8</v>
      </c>
      <c r="V92" s="65">
        <v>125.8</v>
      </c>
      <c r="W92" s="65">
        <v>125.7</v>
      </c>
      <c r="X92" s="65">
        <v>125.1</v>
      </c>
      <c r="Y92" s="65">
        <v>125.4</v>
      </c>
      <c r="Z92" s="65">
        <v>125.4</v>
      </c>
      <c r="AA92" s="65">
        <v>127.3</v>
      </c>
      <c r="AB92" s="65">
        <v>128.1</v>
      </c>
      <c r="AC92" s="65">
        <v>128.1</v>
      </c>
      <c r="AD92" s="65">
        <v>127.1</v>
      </c>
      <c r="AE92" s="65">
        <v>126.3</v>
      </c>
      <c r="AF92" s="65">
        <v>126.6</v>
      </c>
      <c r="AG92" s="92"/>
      <c r="AH92" s="48">
        <f t="shared" si="10"/>
        <v>128.1</v>
      </c>
      <c r="AI92" s="49">
        <f t="shared" si="11"/>
        <v>122.7</v>
      </c>
    </row>
    <row r="93" spans="1:37" x14ac:dyDescent="0.25">
      <c r="A93" s="91" t="s">
        <v>98</v>
      </c>
      <c r="B93" s="65">
        <v>130.19999999999999</v>
      </c>
      <c r="C93" s="65">
        <v>131</v>
      </c>
      <c r="D93" s="65">
        <v>130.6</v>
      </c>
      <c r="E93" s="65">
        <v>131</v>
      </c>
      <c r="F93" s="65">
        <v>130.9</v>
      </c>
      <c r="G93" s="65">
        <v>130.6</v>
      </c>
      <c r="H93" s="65">
        <v>129.1</v>
      </c>
      <c r="I93" s="65">
        <v>130.1</v>
      </c>
      <c r="J93" s="65">
        <v>128</v>
      </c>
      <c r="K93" s="65">
        <v>128.80000000000001</v>
      </c>
      <c r="L93" s="65">
        <v>127.2</v>
      </c>
      <c r="M93" s="65">
        <v>127.2</v>
      </c>
      <c r="N93" s="65">
        <v>128.19999999999999</v>
      </c>
      <c r="O93" s="65">
        <v>128.19999999999999</v>
      </c>
      <c r="P93" s="65">
        <v>128</v>
      </c>
      <c r="Q93" s="65">
        <v>130</v>
      </c>
      <c r="R93" s="65">
        <v>128.80000000000001</v>
      </c>
      <c r="S93" s="65">
        <v>128.80000000000001</v>
      </c>
      <c r="T93" s="65">
        <v>129.30000000000001</v>
      </c>
      <c r="U93" s="65">
        <v>129.30000000000001</v>
      </c>
      <c r="V93" s="65">
        <v>129.1</v>
      </c>
      <c r="W93" s="65">
        <v>128.9</v>
      </c>
      <c r="X93" s="65">
        <v>128</v>
      </c>
      <c r="Y93" s="65">
        <v>128.30000000000001</v>
      </c>
      <c r="Z93" s="65">
        <v>128.30000000000001</v>
      </c>
      <c r="AA93" s="65">
        <v>130.19999999999999</v>
      </c>
      <c r="AB93" s="65">
        <v>131.1</v>
      </c>
      <c r="AC93" s="65">
        <v>131.30000000000001</v>
      </c>
      <c r="AD93" s="65">
        <v>130.69999999999999</v>
      </c>
      <c r="AE93" s="65">
        <v>130.9</v>
      </c>
      <c r="AF93" s="65">
        <v>131.4</v>
      </c>
      <c r="AG93" s="92"/>
      <c r="AH93" s="48">
        <f t="shared" si="10"/>
        <v>131.4</v>
      </c>
      <c r="AI93" s="49">
        <f t="shared" si="11"/>
        <v>127.2</v>
      </c>
    </row>
    <row r="94" spans="1:37" x14ac:dyDescent="0.25">
      <c r="A94" s="91" t="s">
        <v>99</v>
      </c>
      <c r="B94" s="65">
        <v>129.30000000000001</v>
      </c>
      <c r="C94" s="65">
        <v>131</v>
      </c>
      <c r="D94" s="65">
        <v>131</v>
      </c>
      <c r="E94" s="65"/>
      <c r="F94" s="65">
        <v>130.9</v>
      </c>
      <c r="G94" s="65">
        <v>131.30000000000001</v>
      </c>
      <c r="H94" s="65">
        <v>128.69999999999999</v>
      </c>
      <c r="I94" s="65">
        <v>129</v>
      </c>
      <c r="J94" s="65">
        <v>128.19999999999999</v>
      </c>
      <c r="K94" s="65">
        <v>128.5</v>
      </c>
      <c r="L94" s="65">
        <v>128.5</v>
      </c>
      <c r="M94" s="65">
        <v>127.8</v>
      </c>
      <c r="N94" s="65">
        <v>128.19999999999999</v>
      </c>
      <c r="O94" s="65">
        <v>128.19999999999999</v>
      </c>
      <c r="P94" s="65">
        <v>129.6</v>
      </c>
      <c r="Q94" s="65">
        <v>130.69999999999999</v>
      </c>
      <c r="R94" s="65">
        <v>130.19999999999999</v>
      </c>
      <c r="S94" s="65">
        <v>130.19999999999999</v>
      </c>
      <c r="T94" s="65">
        <v>126.2</v>
      </c>
      <c r="U94" s="65">
        <v>129.1</v>
      </c>
      <c r="V94" s="65">
        <v>131</v>
      </c>
      <c r="W94" s="65">
        <v>130.4</v>
      </c>
      <c r="X94" s="65">
        <v>128.69999999999999</v>
      </c>
      <c r="Y94" s="65">
        <v>130.30000000000001</v>
      </c>
      <c r="Z94" s="65">
        <v>130.30000000000001</v>
      </c>
      <c r="AA94" s="65">
        <v>132.30000000000001</v>
      </c>
      <c r="AB94" s="65">
        <v>130.9</v>
      </c>
      <c r="AC94" s="65">
        <v>131.1</v>
      </c>
      <c r="AD94" s="65">
        <v>130.9</v>
      </c>
      <c r="AE94" s="65">
        <v>131.4</v>
      </c>
      <c r="AF94" s="65">
        <v>129.80000000000001</v>
      </c>
      <c r="AG94" s="92"/>
      <c r="AH94" s="48">
        <f t="shared" si="10"/>
        <v>132.30000000000001</v>
      </c>
      <c r="AI94" s="49">
        <f t="shared" si="11"/>
        <v>126.2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10"/>
        <v>0</v>
      </c>
      <c r="AI95" s="49">
        <f t="shared" si="11"/>
        <v>0</v>
      </c>
    </row>
    <row r="96" spans="1:37" x14ac:dyDescent="0.25">
      <c r="A96" s="93" t="s">
        <v>101</v>
      </c>
      <c r="B96" s="94">
        <v>130</v>
      </c>
      <c r="C96" s="94">
        <v>131</v>
      </c>
      <c r="D96" s="94">
        <v>131</v>
      </c>
      <c r="E96" s="94">
        <v>133</v>
      </c>
      <c r="F96" s="94">
        <v>134</v>
      </c>
      <c r="G96" s="94">
        <v>133.5</v>
      </c>
      <c r="H96" s="94">
        <v>131.69999999999999</v>
      </c>
      <c r="I96" s="94">
        <v>131</v>
      </c>
      <c r="J96" s="94">
        <v>131.80000000000001</v>
      </c>
      <c r="K96" s="94">
        <v>133.69999999999999</v>
      </c>
      <c r="L96" s="94">
        <v>131</v>
      </c>
      <c r="M96" s="94">
        <v>129.1</v>
      </c>
      <c r="N96" s="94">
        <v>132.30000000000001</v>
      </c>
      <c r="O96" s="94">
        <v>132.30000000000001</v>
      </c>
      <c r="P96" s="94">
        <v>130</v>
      </c>
      <c r="Q96" s="94">
        <v>134.6</v>
      </c>
      <c r="R96" s="94">
        <v>131.4</v>
      </c>
      <c r="S96" s="94">
        <v>131.4</v>
      </c>
      <c r="T96" s="94">
        <v>132.6</v>
      </c>
      <c r="U96" s="94">
        <v>134.80000000000001</v>
      </c>
      <c r="V96" s="94">
        <v>131.19999999999999</v>
      </c>
      <c r="W96" s="94">
        <v>134.69999999999999</v>
      </c>
      <c r="X96" s="94">
        <v>131.4</v>
      </c>
      <c r="Y96" s="94">
        <v>132.69999999999999</v>
      </c>
      <c r="Z96" s="94">
        <v>132.69999999999999</v>
      </c>
      <c r="AA96" s="94">
        <v>135</v>
      </c>
      <c r="AB96" s="94">
        <v>133.80000000000001</v>
      </c>
      <c r="AC96" s="94">
        <v>134.6</v>
      </c>
      <c r="AD96" s="94">
        <v>135</v>
      </c>
      <c r="AE96" s="94">
        <v>134.1</v>
      </c>
      <c r="AF96" s="94">
        <v>134.1</v>
      </c>
      <c r="AG96" s="95"/>
      <c r="AH96" s="48">
        <f t="shared" si="10"/>
        <v>135</v>
      </c>
      <c r="AI96" s="49">
        <f t="shared" si="11"/>
        <v>129.1</v>
      </c>
    </row>
    <row r="97" spans="1:37" x14ac:dyDescent="0.25">
      <c r="A97" s="91" t="s">
        <v>102</v>
      </c>
      <c r="B97" s="65">
        <v>127.5</v>
      </c>
      <c r="C97" s="65">
        <v>130.69999999999999</v>
      </c>
      <c r="D97" s="65">
        <v>127</v>
      </c>
      <c r="E97" s="65">
        <v>130</v>
      </c>
      <c r="F97" s="65">
        <v>132.19999999999999</v>
      </c>
      <c r="G97" s="65">
        <v>129.80000000000001</v>
      </c>
      <c r="H97" s="65">
        <v>128.6</v>
      </c>
      <c r="I97" s="65">
        <v>126.5</v>
      </c>
      <c r="J97" s="65">
        <v>129.9</v>
      </c>
      <c r="K97" s="65">
        <v>130.30000000000001</v>
      </c>
      <c r="L97" s="65">
        <v>126.7</v>
      </c>
      <c r="M97" s="65">
        <v>123.5</v>
      </c>
      <c r="N97" s="65">
        <v>133.6</v>
      </c>
      <c r="O97" s="65">
        <v>133.6</v>
      </c>
      <c r="P97" s="65">
        <v>128.6</v>
      </c>
      <c r="Q97" s="65">
        <v>131.4</v>
      </c>
      <c r="R97" s="65">
        <v>128.80000000000001</v>
      </c>
      <c r="S97" s="65">
        <v>128.80000000000001</v>
      </c>
      <c r="T97" s="65">
        <v>129.4</v>
      </c>
      <c r="U97" s="65">
        <v>131.9</v>
      </c>
      <c r="V97" s="65">
        <v>130.5</v>
      </c>
      <c r="W97" s="65">
        <v>132.30000000000001</v>
      </c>
      <c r="X97" s="65">
        <v>125.7</v>
      </c>
      <c r="Y97" s="65">
        <v>130.5</v>
      </c>
      <c r="Z97" s="65">
        <v>130.5</v>
      </c>
      <c r="AA97" s="65">
        <v>133.19999999999999</v>
      </c>
      <c r="AB97" s="65">
        <v>131.80000000000001</v>
      </c>
      <c r="AC97" s="65">
        <v>134</v>
      </c>
      <c r="AD97" s="65">
        <v>134</v>
      </c>
      <c r="AE97" s="65">
        <v>133</v>
      </c>
      <c r="AF97" s="65">
        <v>133.1</v>
      </c>
      <c r="AG97" s="92"/>
      <c r="AH97" s="48">
        <f t="shared" si="10"/>
        <v>134</v>
      </c>
      <c r="AI97" s="49">
        <f t="shared" si="11"/>
        <v>123.5</v>
      </c>
    </row>
    <row r="98" spans="1:37" ht="15.75" thickBot="1" x14ac:dyDescent="0.3">
      <c r="A98" s="91" t="s">
        <v>103</v>
      </c>
      <c r="B98" s="96">
        <v>65.900000000000006</v>
      </c>
      <c r="C98" s="96">
        <v>66.3</v>
      </c>
      <c r="D98" s="96">
        <v>66</v>
      </c>
      <c r="E98" s="96">
        <v>66.099999999999994</v>
      </c>
      <c r="F98" s="96">
        <v>66.099999999999994</v>
      </c>
      <c r="G98" s="96">
        <v>65.900000000000006</v>
      </c>
      <c r="H98" s="96">
        <v>65</v>
      </c>
      <c r="I98" s="96">
        <v>65.5</v>
      </c>
      <c r="J98" s="96">
        <v>64.5</v>
      </c>
      <c r="K98" s="96">
        <v>65.099999999999994</v>
      </c>
      <c r="L98" s="96">
        <v>64.2</v>
      </c>
      <c r="M98" s="96">
        <v>64.7</v>
      </c>
      <c r="N98" s="96">
        <v>64.8</v>
      </c>
      <c r="O98" s="96">
        <v>64.8</v>
      </c>
      <c r="P98" s="96">
        <v>64.7</v>
      </c>
      <c r="Q98" s="96">
        <v>65.599999999999994</v>
      </c>
      <c r="R98" s="96">
        <v>65</v>
      </c>
      <c r="S98" s="96">
        <v>65.099999999999994</v>
      </c>
      <c r="T98" s="96">
        <v>65.3</v>
      </c>
      <c r="U98" s="96">
        <v>65.3</v>
      </c>
      <c r="V98" s="96">
        <v>65.3</v>
      </c>
      <c r="W98" s="96">
        <v>65.099999999999994</v>
      </c>
      <c r="X98" s="96">
        <v>64.599999999999994</v>
      </c>
      <c r="Y98" s="96">
        <v>64.7</v>
      </c>
      <c r="Z98" s="96">
        <v>64.7</v>
      </c>
      <c r="AA98" s="96">
        <v>65.900000000000006</v>
      </c>
      <c r="AB98" s="96">
        <v>66.2</v>
      </c>
      <c r="AC98" s="96">
        <v>66.2</v>
      </c>
      <c r="AD98" s="96">
        <v>66</v>
      </c>
      <c r="AE98" s="96">
        <v>66.3</v>
      </c>
      <c r="AF98" s="96">
        <v>66.3</v>
      </c>
      <c r="AG98" s="97"/>
      <c r="AH98" s="48">
        <f t="shared" si="10"/>
        <v>66.3</v>
      </c>
      <c r="AI98" s="49">
        <f t="shared" si="11"/>
        <v>64.2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 t="s">
        <v>243</v>
      </c>
      <c r="Z99" s="96"/>
      <c r="AA99" s="96"/>
      <c r="AB99" s="96"/>
      <c r="AC99" s="96"/>
      <c r="AD99" s="96"/>
      <c r="AE99" s="96"/>
      <c r="AF99" s="96"/>
      <c r="AG99" s="97"/>
      <c r="AH99" s="48">
        <f t="shared" si="10"/>
        <v>0</v>
      </c>
      <c r="AI99" s="49">
        <f t="shared" si="11"/>
        <v>0</v>
      </c>
    </row>
    <row r="100" spans="1:37" ht="15.75" thickBot="1" x14ac:dyDescent="0.3">
      <c r="A100" s="99" t="s">
        <v>104</v>
      </c>
      <c r="B100" s="100">
        <f t="shared" ref="B100:AF100" si="22">SUM(B15,B20,B22:B23,B48,B50:B51,B53,B55,B101:B105,B127,B133,B139,B148,B150,B162,B169,B172:B173,B180,B182,B184,B188:B190,B192:B194,B199,B205:B206,B208:B210,B218,B223)</f>
        <v>50.5</v>
      </c>
      <c r="C100" s="100">
        <f t="shared" si="22"/>
        <v>41.54</v>
      </c>
      <c r="D100" s="100">
        <f t="shared" si="22"/>
        <v>36.94</v>
      </c>
      <c r="E100" s="100">
        <f t="shared" si="22"/>
        <v>35.739999999999995</v>
      </c>
      <c r="F100" s="100">
        <f t="shared" si="22"/>
        <v>46.439999999999984</v>
      </c>
      <c r="G100" s="100">
        <f t="shared" si="22"/>
        <v>70.039999999999992</v>
      </c>
      <c r="H100" s="100">
        <f t="shared" si="22"/>
        <v>84.54000000000002</v>
      </c>
      <c r="I100" s="100">
        <f t="shared" si="22"/>
        <v>114.24000000000002</v>
      </c>
      <c r="J100" s="100">
        <f t="shared" si="22"/>
        <v>136.04</v>
      </c>
      <c r="K100" s="100">
        <f t="shared" si="22"/>
        <v>177.34000000000003</v>
      </c>
      <c r="L100" s="100">
        <f t="shared" si="22"/>
        <v>206.04</v>
      </c>
      <c r="M100" s="100">
        <f t="shared" si="22"/>
        <v>218.83999999999997</v>
      </c>
      <c r="N100" s="100">
        <f t="shared" si="22"/>
        <v>244.33999999999997</v>
      </c>
      <c r="O100" s="100">
        <f t="shared" si="22"/>
        <v>220.93999999999997</v>
      </c>
      <c r="P100" s="100">
        <f t="shared" si="22"/>
        <v>155.54</v>
      </c>
      <c r="Q100" s="100">
        <f t="shared" si="22"/>
        <v>133.19999999999999</v>
      </c>
      <c r="R100" s="100">
        <f t="shared" si="22"/>
        <v>92.4</v>
      </c>
      <c r="S100" s="100">
        <f t="shared" si="22"/>
        <v>294.29999999999995</v>
      </c>
      <c r="T100" s="100">
        <f t="shared" si="22"/>
        <v>100.39999999999998</v>
      </c>
      <c r="U100" s="100">
        <f t="shared" si="22"/>
        <v>135.19999999999999</v>
      </c>
      <c r="V100" s="100">
        <f t="shared" si="22"/>
        <v>137.4</v>
      </c>
      <c r="W100" s="100">
        <f t="shared" si="22"/>
        <v>170.6</v>
      </c>
      <c r="X100" s="100">
        <f t="shared" si="22"/>
        <v>245.29999999999995</v>
      </c>
      <c r="Y100" s="100">
        <v>268.79708333333332</v>
      </c>
      <c r="Z100" s="100"/>
      <c r="AA100" s="100">
        <f>SUM(AA15,AA20,AA22:AA23,AA48,AA50:AA51,AA53,AA55,AA101:AA105,AA127,AA133,AA139,AA148,AA150,AA162,AA169,AA172:AA173,AA180,AA182,AA184,AA188:AA190,AA192:AA194,AA199,AA205:AA206,AA208:AA210,AA218,AA223)</f>
        <v>123.70000000000002</v>
      </c>
      <c r="AB100" s="100">
        <f t="shared" si="22"/>
        <v>181.89999999999995</v>
      </c>
      <c r="AC100" s="100">
        <f t="shared" si="22"/>
        <v>195.09999999999997</v>
      </c>
      <c r="AD100" s="100">
        <f t="shared" si="22"/>
        <v>153.89999999999995</v>
      </c>
      <c r="AE100" s="100">
        <f t="shared" si="22"/>
        <v>122.70000000000003</v>
      </c>
      <c r="AF100" s="100">
        <f t="shared" si="22"/>
        <v>108.99999999999999</v>
      </c>
      <c r="AG100" s="101"/>
      <c r="AH100" s="48">
        <f t="shared" si="10"/>
        <v>294.29999999999995</v>
      </c>
      <c r="AI100" s="49">
        <f t="shared" si="11"/>
        <v>35.739999999999995</v>
      </c>
    </row>
    <row r="101" spans="1:37" x14ac:dyDescent="0.25">
      <c r="A101" s="88" t="s">
        <v>105</v>
      </c>
      <c r="B101" s="102">
        <v>14.5</v>
      </c>
      <c r="C101" s="102">
        <v>15</v>
      </c>
      <c r="D101" s="102">
        <v>8</v>
      </c>
      <c r="E101" s="102">
        <v>7.4</v>
      </c>
      <c r="F101" s="102">
        <v>9.1999999999999993</v>
      </c>
      <c r="G101" s="102">
        <v>12.1</v>
      </c>
      <c r="H101" s="102">
        <v>14.3</v>
      </c>
      <c r="I101" s="102">
        <v>16.399999999999999</v>
      </c>
      <c r="J101" s="102">
        <v>26.4</v>
      </c>
      <c r="K101" s="102">
        <v>31.8</v>
      </c>
      <c r="L101" s="102">
        <v>29.8</v>
      </c>
      <c r="M101" s="102">
        <v>29.7</v>
      </c>
      <c r="N101" s="102">
        <v>30.5</v>
      </c>
      <c r="O101" s="102">
        <v>25</v>
      </c>
      <c r="P101" s="102">
        <v>20.5</v>
      </c>
      <c r="Q101" s="102">
        <v>17.7</v>
      </c>
      <c r="R101" s="102">
        <v>20</v>
      </c>
      <c r="S101" s="102">
        <v>14.5</v>
      </c>
      <c r="T101" s="102">
        <v>28.4</v>
      </c>
      <c r="U101" s="102">
        <v>28.7</v>
      </c>
      <c r="V101" s="102">
        <v>28.3</v>
      </c>
      <c r="W101" s="102">
        <v>39</v>
      </c>
      <c r="X101" s="102">
        <v>30.2</v>
      </c>
      <c r="Y101" s="102">
        <v>37.4</v>
      </c>
      <c r="Z101" s="102">
        <v>32</v>
      </c>
      <c r="AA101" s="102">
        <v>32.200000000000003</v>
      </c>
      <c r="AB101" s="102">
        <v>40.1</v>
      </c>
      <c r="AC101" s="102">
        <v>38.1</v>
      </c>
      <c r="AD101" s="102">
        <v>42.8</v>
      </c>
      <c r="AE101" s="102">
        <v>36.700000000000003</v>
      </c>
      <c r="AF101" s="102">
        <v>30.1</v>
      </c>
      <c r="AG101" s="103">
        <v>75</v>
      </c>
      <c r="AH101" s="48">
        <f t="shared" si="10"/>
        <v>42.8</v>
      </c>
      <c r="AI101" s="49">
        <f t="shared" si="11"/>
        <v>7.4</v>
      </c>
    </row>
    <row r="102" spans="1:37" x14ac:dyDescent="0.25">
      <c r="A102" s="91" t="s">
        <v>106</v>
      </c>
      <c r="B102" s="104">
        <v>32</v>
      </c>
      <c r="C102" s="104">
        <v>32</v>
      </c>
      <c r="D102" s="104">
        <v>22</v>
      </c>
      <c r="E102" s="104">
        <v>20.100000000000001</v>
      </c>
      <c r="F102" s="104">
        <v>21.1</v>
      </c>
      <c r="G102" s="104">
        <v>22.6</v>
      </c>
      <c r="H102" s="104">
        <v>25.9</v>
      </c>
      <c r="I102" s="104">
        <v>28.8</v>
      </c>
      <c r="J102" s="104">
        <v>45.1</v>
      </c>
      <c r="K102" s="104">
        <v>52</v>
      </c>
      <c r="L102" s="104">
        <v>49.3</v>
      </c>
      <c r="M102" s="104">
        <v>49.3</v>
      </c>
      <c r="N102" s="104">
        <v>51.3</v>
      </c>
      <c r="O102" s="104">
        <v>42</v>
      </c>
      <c r="P102" s="104">
        <v>33.799999999999997</v>
      </c>
      <c r="Q102" s="104">
        <v>25.7</v>
      </c>
      <c r="R102" s="104">
        <v>29.1</v>
      </c>
      <c r="S102" s="104">
        <v>19.399999999999999</v>
      </c>
      <c r="T102" s="104">
        <v>44.3</v>
      </c>
      <c r="U102" s="104">
        <v>46.4</v>
      </c>
      <c r="V102" s="104">
        <v>45.1</v>
      </c>
      <c r="W102" s="104">
        <v>55.8</v>
      </c>
      <c r="X102" s="104">
        <v>45.4</v>
      </c>
      <c r="Y102" s="104">
        <v>-78.699999999999989</v>
      </c>
      <c r="Z102" s="104">
        <v>-47.2</v>
      </c>
      <c r="AA102" s="104">
        <v>-47.2</v>
      </c>
      <c r="AB102" s="104">
        <v>55.7</v>
      </c>
      <c r="AC102" s="104">
        <v>56.1</v>
      </c>
      <c r="AD102" s="104">
        <v>62.7</v>
      </c>
      <c r="AE102" s="104">
        <v>57.2</v>
      </c>
      <c r="AF102" s="104">
        <v>52.6</v>
      </c>
      <c r="AG102" s="103">
        <v>240</v>
      </c>
      <c r="AH102" s="48">
        <f t="shared" si="10"/>
        <v>62.7</v>
      </c>
      <c r="AI102" s="49">
        <f t="shared" si="11"/>
        <v>-78.699999999999989</v>
      </c>
    </row>
    <row r="103" spans="1:37" x14ac:dyDescent="0.25">
      <c r="A103" s="91" t="s">
        <v>107</v>
      </c>
      <c r="B103" s="104">
        <v>-130</v>
      </c>
      <c r="C103" s="104">
        <v>-140</v>
      </c>
      <c r="D103" s="104">
        <v>-127</v>
      </c>
      <c r="E103" s="104">
        <f>-59-63</f>
        <v>-122</v>
      </c>
      <c r="F103" s="104">
        <f>-56-60</f>
        <v>-116</v>
      </c>
      <c r="G103" s="104">
        <f>-58-62</f>
        <v>-120</v>
      </c>
      <c r="H103" s="104">
        <f>-58-62</f>
        <v>-120</v>
      </c>
      <c r="I103" s="104">
        <f>-48-52</f>
        <v>-100</v>
      </c>
      <c r="J103" s="104">
        <f>-54-58</f>
        <v>-112</v>
      </c>
      <c r="K103" s="104">
        <f>-45-49</f>
        <v>-94</v>
      </c>
      <c r="L103" s="104">
        <f>-50-54</f>
        <v>-104</v>
      </c>
      <c r="M103" s="104">
        <f>-49.8-52.4</f>
        <v>-102.19999999999999</v>
      </c>
      <c r="N103" s="104">
        <f>-45-48</f>
        <v>-93</v>
      </c>
      <c r="O103" s="104">
        <v>-94</v>
      </c>
      <c r="P103" s="104">
        <v>-100</v>
      </c>
      <c r="Q103" s="104">
        <f>-49-53</f>
        <v>-102</v>
      </c>
      <c r="R103" s="104">
        <f>-55-58</f>
        <v>-113</v>
      </c>
      <c r="S103" s="104">
        <f>50.4+54.2</f>
        <v>104.6</v>
      </c>
      <c r="T103" s="104">
        <f>-55.6-55.2</f>
        <v>-110.80000000000001</v>
      </c>
      <c r="U103" s="104">
        <f>-53.1-57.7</f>
        <v>-110.80000000000001</v>
      </c>
      <c r="V103" s="104">
        <f>-47.2-50.5</f>
        <v>-97.7</v>
      </c>
      <c r="W103" s="104">
        <f>-49.2-49.7</f>
        <v>-98.9</v>
      </c>
      <c r="X103" s="104">
        <f>-36.7-36.2</f>
        <v>-72.900000000000006</v>
      </c>
      <c r="Y103" s="104">
        <v>-78</v>
      </c>
      <c r="Z103" s="104">
        <f>-35.5-38</f>
        <v>-73.5</v>
      </c>
      <c r="AA103" s="104">
        <f>-40.2-39.3</f>
        <v>-79.5</v>
      </c>
      <c r="AB103" s="104">
        <v>-96</v>
      </c>
      <c r="AC103" s="104">
        <v>-85</v>
      </c>
      <c r="AD103" s="104">
        <v>-114</v>
      </c>
      <c r="AE103" s="104">
        <f>-59-62.5</f>
        <v>-121.5</v>
      </c>
      <c r="AF103" s="104">
        <f>-60.7-65.6</f>
        <v>-126.3</v>
      </c>
      <c r="AG103" s="103">
        <v>240</v>
      </c>
      <c r="AH103" s="48">
        <f t="shared" si="10"/>
        <v>104.6</v>
      </c>
      <c r="AI103" s="49">
        <f t="shared" si="11"/>
        <v>-140</v>
      </c>
    </row>
    <row r="104" spans="1:37" x14ac:dyDescent="0.25">
      <c r="A104" s="91" t="s">
        <v>108</v>
      </c>
      <c r="B104" s="104">
        <v>-2</v>
      </c>
      <c r="C104" s="104">
        <v>-2.4</v>
      </c>
      <c r="D104" s="104">
        <v>-3</v>
      </c>
      <c r="E104" s="104">
        <v>-1.7</v>
      </c>
      <c r="F104" s="104">
        <v>0.2</v>
      </c>
      <c r="G104" s="104">
        <v>1.4</v>
      </c>
      <c r="H104" s="104">
        <v>3</v>
      </c>
      <c r="I104" s="104">
        <v>7.7</v>
      </c>
      <c r="J104" s="104">
        <v>5.2</v>
      </c>
      <c r="K104" s="104">
        <v>11.2</v>
      </c>
      <c r="L104" s="104">
        <v>8.4</v>
      </c>
      <c r="M104" s="104">
        <v>10.5</v>
      </c>
      <c r="N104" s="104">
        <v>12.6</v>
      </c>
      <c r="O104" s="104">
        <v>12.6</v>
      </c>
      <c r="P104" s="104">
        <v>9.6</v>
      </c>
      <c r="Q104" s="104">
        <v>7.2</v>
      </c>
      <c r="R104" s="104">
        <v>5.4</v>
      </c>
      <c r="S104" s="104">
        <v>4.9000000000000004</v>
      </c>
      <c r="T104" s="104">
        <v>6.5</v>
      </c>
      <c r="U104" s="104">
        <v>7.1</v>
      </c>
      <c r="V104" s="104">
        <v>9.6</v>
      </c>
      <c r="W104" s="104">
        <v>9.8000000000000007</v>
      </c>
      <c r="X104" s="104">
        <v>15.2</v>
      </c>
      <c r="Y104" s="104">
        <v>14.3</v>
      </c>
      <c r="Z104" s="104">
        <v>15.5</v>
      </c>
      <c r="AA104" s="104">
        <v>14.7</v>
      </c>
      <c r="AB104" s="104">
        <v>12.6</v>
      </c>
      <c r="AC104" s="104">
        <v>12.9</v>
      </c>
      <c r="AD104" s="104">
        <v>2.1</v>
      </c>
      <c r="AE104" s="104">
        <v>-11.2</v>
      </c>
      <c r="AF104" s="104">
        <v>-8.9</v>
      </c>
      <c r="AG104" s="103">
        <v>60</v>
      </c>
      <c r="AH104" s="48">
        <f t="shared" si="10"/>
        <v>15.5</v>
      </c>
      <c r="AI104" s="49">
        <f t="shared" si="11"/>
        <v>-11.2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29.2</v>
      </c>
      <c r="M105" s="106">
        <v>28.2</v>
      </c>
      <c r="N105" s="106">
        <v>39.6</v>
      </c>
      <c r="O105" s="106">
        <v>32</v>
      </c>
      <c r="P105" s="106">
        <v>26.3</v>
      </c>
      <c r="Q105" s="106">
        <v>20.2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52.7</v>
      </c>
      <c r="Y105" s="104">
        <v>54.6</v>
      </c>
      <c r="Z105" s="104">
        <v>48</v>
      </c>
      <c r="AA105" s="106">
        <v>43.7</v>
      </c>
      <c r="AB105" s="106">
        <v>9.6999999999999993</v>
      </c>
      <c r="AC105" s="106">
        <v>13.2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10"/>
        <v>54.6</v>
      </c>
      <c r="AI105" s="49">
        <f t="shared" si="11"/>
        <v>0</v>
      </c>
    </row>
    <row r="106" spans="1:37" x14ac:dyDescent="0.25">
      <c r="A106" s="105" t="s">
        <v>110</v>
      </c>
      <c r="B106" s="106">
        <v>8</v>
      </c>
      <c r="C106" s="106">
        <v>10</v>
      </c>
      <c r="D106" s="106">
        <v>16</v>
      </c>
      <c r="E106" s="106">
        <v>19.100000000000001</v>
      </c>
      <c r="F106" s="106">
        <v>21.3</v>
      </c>
      <c r="G106" s="106">
        <v>18</v>
      </c>
      <c r="H106" s="106">
        <v>12</v>
      </c>
      <c r="I106" s="106">
        <v>25.1</v>
      </c>
      <c r="J106" s="106">
        <v>16.600000000000001</v>
      </c>
      <c r="K106" s="106">
        <v>25.9</v>
      </c>
      <c r="L106" s="106">
        <v>47.2</v>
      </c>
      <c r="M106" s="106">
        <v>32</v>
      </c>
      <c r="N106" s="106">
        <v>35</v>
      </c>
      <c r="O106" s="106">
        <v>35</v>
      </c>
      <c r="P106" s="106">
        <v>29.9</v>
      </c>
      <c r="Q106" s="106">
        <v>27</v>
      </c>
      <c r="R106" s="106">
        <v>2</v>
      </c>
      <c r="S106" s="106">
        <v>32</v>
      </c>
      <c r="T106" s="106">
        <v>22.2</v>
      </c>
      <c r="U106" s="106">
        <v>6.2</v>
      </c>
      <c r="V106" s="106">
        <v>-4.3</v>
      </c>
      <c r="W106" s="106">
        <v>-4.0999999999999996</v>
      </c>
      <c r="X106" s="106">
        <v>28.3</v>
      </c>
      <c r="Y106" s="106">
        <v>18.2</v>
      </c>
      <c r="Z106" s="106">
        <v>21.1</v>
      </c>
      <c r="AA106" s="106">
        <v>15.9</v>
      </c>
      <c r="AB106" s="106">
        <v>-2.9</v>
      </c>
      <c r="AC106" s="106">
        <v>3.8</v>
      </c>
      <c r="AD106" s="106">
        <v>-15.6</v>
      </c>
      <c r="AE106" s="106">
        <v>8.6999999999999993</v>
      </c>
      <c r="AF106" s="106">
        <v>7.5</v>
      </c>
      <c r="AG106" s="107"/>
      <c r="AH106" s="48">
        <f t="shared" si="10"/>
        <v>47.2</v>
      </c>
      <c r="AI106" s="49">
        <f t="shared" si="11"/>
        <v>-15.6</v>
      </c>
    </row>
    <row r="107" spans="1:37" x14ac:dyDescent="0.25">
      <c r="A107" s="105" t="s">
        <v>111</v>
      </c>
      <c r="B107" s="106">
        <v>19</v>
      </c>
      <c r="C107" s="106">
        <v>30</v>
      </c>
      <c r="D107" s="106">
        <v>33</v>
      </c>
      <c r="E107" s="106">
        <v>24.5</v>
      </c>
      <c r="F107" s="106">
        <v>-4.0999999999999996</v>
      </c>
      <c r="G107" s="106">
        <v>0</v>
      </c>
      <c r="H107" s="106">
        <v>-10.1</v>
      </c>
      <c r="I107" s="106">
        <v>0.9</v>
      </c>
      <c r="J107" s="106">
        <v>-14.7</v>
      </c>
      <c r="K107" s="106">
        <v>-29</v>
      </c>
      <c r="L107" s="106">
        <v>-13.6</v>
      </c>
      <c r="M107" s="106">
        <v>-27</v>
      </c>
      <c r="N107" s="106">
        <v>-17.2</v>
      </c>
      <c r="O107" s="106">
        <v>-20</v>
      </c>
      <c r="P107" s="106">
        <v>-38.4</v>
      </c>
      <c r="Q107" s="106">
        <v>-38</v>
      </c>
      <c r="R107" s="106">
        <v>-31</v>
      </c>
      <c r="S107" s="106">
        <v>-19.8</v>
      </c>
      <c r="T107" s="106">
        <v>-14.1</v>
      </c>
      <c r="U107" s="106">
        <v>-8.6999999999999993</v>
      </c>
      <c r="V107" s="106">
        <v>10</v>
      </c>
      <c r="W107" s="106">
        <v>-28</v>
      </c>
      <c r="X107" s="106">
        <v>-32</v>
      </c>
      <c r="Y107" s="106">
        <v>-15.3</v>
      </c>
      <c r="Z107" s="106">
        <v>-5.8</v>
      </c>
      <c r="AA107" s="106">
        <v>4.4000000000000004</v>
      </c>
      <c r="AB107" s="106">
        <v>-21.9</v>
      </c>
      <c r="AC107" s="106">
        <v>-19.399999999999999</v>
      </c>
      <c r="AD107" s="106">
        <v>-36</v>
      </c>
      <c r="AE107" s="106">
        <v>-33.299999999999997</v>
      </c>
      <c r="AF107" s="106">
        <v>-5.9</v>
      </c>
      <c r="AG107" s="108"/>
      <c r="AH107" s="48">
        <f t="shared" si="10"/>
        <v>33</v>
      </c>
      <c r="AI107" s="49">
        <f t="shared" si="11"/>
        <v>-38.4</v>
      </c>
    </row>
    <row r="108" spans="1:37" x14ac:dyDescent="0.25">
      <c r="A108" s="109" t="s">
        <v>112</v>
      </c>
      <c r="B108" s="94">
        <v>117</v>
      </c>
      <c r="C108" s="94">
        <v>120</v>
      </c>
      <c r="D108" s="94">
        <v>120</v>
      </c>
      <c r="E108" s="94">
        <v>119</v>
      </c>
      <c r="F108" s="94">
        <v>116.1</v>
      </c>
      <c r="G108" s="94">
        <v>110.6</v>
      </c>
      <c r="H108" s="94">
        <v>117.5</v>
      </c>
      <c r="I108" s="94">
        <v>115.8</v>
      </c>
      <c r="J108" s="94">
        <v>114.2</v>
      </c>
      <c r="K108" s="94">
        <v>110.3</v>
      </c>
      <c r="L108" s="94">
        <v>112</v>
      </c>
      <c r="M108" s="94">
        <v>111.6</v>
      </c>
      <c r="N108" s="94">
        <v>112.1</v>
      </c>
      <c r="O108" s="94">
        <v>114</v>
      </c>
      <c r="P108" s="94">
        <v>120</v>
      </c>
      <c r="Q108" s="94">
        <v>120</v>
      </c>
      <c r="R108" s="94">
        <v>0</v>
      </c>
      <c r="S108" s="94">
        <v>0</v>
      </c>
      <c r="T108" s="94">
        <v>0</v>
      </c>
      <c r="U108" s="94">
        <v>75.099999999999994</v>
      </c>
      <c r="V108" s="94">
        <v>83.7</v>
      </c>
      <c r="W108" s="94">
        <v>94.5</v>
      </c>
      <c r="X108" s="94">
        <v>84.4</v>
      </c>
      <c r="Y108" s="106">
        <v>84</v>
      </c>
      <c r="Z108" s="106">
        <v>97.9</v>
      </c>
      <c r="AA108" s="94">
        <v>96.8</v>
      </c>
      <c r="AB108" s="94">
        <v>103.3</v>
      </c>
      <c r="AC108" s="94">
        <v>105.7</v>
      </c>
      <c r="AD108" s="94">
        <v>110.4</v>
      </c>
      <c r="AE108" s="94">
        <v>120.1</v>
      </c>
      <c r="AF108" s="94">
        <v>119.2</v>
      </c>
      <c r="AG108" s="108"/>
      <c r="AH108" s="48">
        <f t="shared" si="10"/>
        <v>120.1</v>
      </c>
      <c r="AI108" s="49">
        <f t="shared" si="11"/>
        <v>0</v>
      </c>
    </row>
    <row r="109" spans="1:37" ht="15.75" thickBot="1" x14ac:dyDescent="0.3">
      <c r="A109" s="109" t="s">
        <v>113</v>
      </c>
      <c r="B109" s="94">
        <v>98</v>
      </c>
      <c r="C109" s="94">
        <v>97</v>
      </c>
      <c r="D109" s="94">
        <v>90</v>
      </c>
      <c r="E109" s="94">
        <v>95</v>
      </c>
      <c r="F109" s="94">
        <v>94</v>
      </c>
      <c r="G109" s="94">
        <v>98</v>
      </c>
      <c r="H109" s="94">
        <v>89.5</v>
      </c>
      <c r="I109" s="94">
        <v>73.8</v>
      </c>
      <c r="J109" s="94">
        <v>82.7</v>
      </c>
      <c r="K109" s="94">
        <v>74.400000000000006</v>
      </c>
      <c r="L109" s="94">
        <v>79.099999999999994</v>
      </c>
      <c r="M109" s="94">
        <v>78</v>
      </c>
      <c r="N109" s="94">
        <v>71</v>
      </c>
      <c r="O109" s="94">
        <v>72</v>
      </c>
      <c r="P109" s="94">
        <v>74.599999999999994</v>
      </c>
      <c r="Q109" s="94">
        <v>72</v>
      </c>
      <c r="R109" s="94">
        <v>78.7</v>
      </c>
      <c r="S109" s="94">
        <v>73.599999999999994</v>
      </c>
      <c r="T109" s="94">
        <v>85.2</v>
      </c>
      <c r="U109" s="94">
        <v>88</v>
      </c>
      <c r="V109" s="94">
        <v>67.2</v>
      </c>
      <c r="W109" s="94">
        <v>77.900000000000006</v>
      </c>
      <c r="X109" s="94">
        <v>51.5</v>
      </c>
      <c r="Y109" s="94">
        <v>62</v>
      </c>
      <c r="Z109" s="94">
        <v>58.7</v>
      </c>
      <c r="AA109" s="94">
        <v>57.9</v>
      </c>
      <c r="AB109" s="94">
        <v>74.5</v>
      </c>
      <c r="AC109" s="94">
        <v>66.7</v>
      </c>
      <c r="AD109" s="94">
        <v>88.9</v>
      </c>
      <c r="AE109" s="94">
        <v>92.8</v>
      </c>
      <c r="AF109" s="94">
        <v>93.8</v>
      </c>
      <c r="AG109" s="108"/>
      <c r="AH109" s="48">
        <f t="shared" si="10"/>
        <v>98</v>
      </c>
      <c r="AI109" s="49">
        <f t="shared" si="11"/>
        <v>51.5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23">SUM(B111:B215)</f>
        <v>0</v>
      </c>
      <c r="C216" s="125">
        <f t="shared" si="23"/>
        <v>0</v>
      </c>
      <c r="D216" s="125">
        <f t="shared" si="23"/>
        <v>0</v>
      </c>
      <c r="E216" s="125">
        <f t="shared" si="23"/>
        <v>0</v>
      </c>
      <c r="F216" s="125">
        <f t="shared" si="23"/>
        <v>0</v>
      </c>
      <c r="G216" s="125">
        <f t="shared" si="23"/>
        <v>0</v>
      </c>
      <c r="H216" s="125">
        <f t="shared" si="23"/>
        <v>0</v>
      </c>
      <c r="I216" s="125">
        <f t="shared" si="23"/>
        <v>0</v>
      </c>
      <c r="J216" s="125">
        <f t="shared" si="23"/>
        <v>0</v>
      </c>
      <c r="K216" s="125">
        <f t="shared" si="23"/>
        <v>0</v>
      </c>
      <c r="L216" s="125">
        <f t="shared" si="23"/>
        <v>0</v>
      </c>
      <c r="M216" s="125">
        <f t="shared" si="23"/>
        <v>0</v>
      </c>
      <c r="N216" s="125">
        <f t="shared" si="23"/>
        <v>0</v>
      </c>
      <c r="O216" s="125">
        <f t="shared" si="23"/>
        <v>0</v>
      </c>
      <c r="P216" s="125">
        <f t="shared" si="23"/>
        <v>0</v>
      </c>
      <c r="Q216" s="125">
        <f t="shared" si="23"/>
        <v>0</v>
      </c>
      <c r="R216" s="125">
        <f t="shared" si="23"/>
        <v>0</v>
      </c>
      <c r="S216" s="125">
        <f t="shared" si="23"/>
        <v>0</v>
      </c>
      <c r="T216" s="125">
        <f t="shared" si="23"/>
        <v>0</v>
      </c>
      <c r="U216" s="125">
        <f t="shared" si="23"/>
        <v>0</v>
      </c>
      <c r="V216" s="125">
        <f t="shared" si="23"/>
        <v>0</v>
      </c>
      <c r="W216" s="125">
        <f t="shared" si="23"/>
        <v>0</v>
      </c>
      <c r="X216" s="125">
        <f t="shared" si="23"/>
        <v>0</v>
      </c>
      <c r="Y216" s="125">
        <f t="shared" si="23"/>
        <v>0</v>
      </c>
      <c r="Z216" s="125">
        <f t="shared" si="23"/>
        <v>0</v>
      </c>
      <c r="AA216" s="125">
        <f t="shared" si="23"/>
        <v>0</v>
      </c>
      <c r="AB216" s="125">
        <f t="shared" si="23"/>
        <v>0</v>
      </c>
      <c r="AC216" s="125">
        <f t="shared" si="23"/>
        <v>0</v>
      </c>
      <c r="AD216" s="125">
        <f t="shared" si="23"/>
        <v>0</v>
      </c>
      <c r="AE216" s="125">
        <f t="shared" si="23"/>
        <v>0</v>
      </c>
      <c r="AF216" s="126">
        <f t="shared" si="23"/>
        <v>0</v>
      </c>
      <c r="AG216" s="127">
        <f t="shared" si="23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24">AF218</f>
        <v>0</v>
      </c>
      <c r="C218" s="129">
        <v>0.3</v>
      </c>
      <c r="D218" s="129">
        <f t="shared" ref="D218:P223" si="25">C218</f>
        <v>0.3</v>
      </c>
      <c r="E218" s="129">
        <f t="shared" si="25"/>
        <v>0.3</v>
      </c>
      <c r="F218" s="129">
        <f t="shared" si="25"/>
        <v>0.3</v>
      </c>
      <c r="G218" s="129">
        <f t="shared" si="25"/>
        <v>0.3</v>
      </c>
      <c r="H218" s="129">
        <f t="shared" si="25"/>
        <v>0.3</v>
      </c>
      <c r="I218" s="129">
        <f t="shared" si="25"/>
        <v>0.3</v>
      </c>
      <c r="J218" s="129">
        <f t="shared" si="25"/>
        <v>0.3</v>
      </c>
      <c r="K218" s="129">
        <f t="shared" si="25"/>
        <v>0.3</v>
      </c>
      <c r="L218" s="129">
        <f t="shared" si="25"/>
        <v>0.3</v>
      </c>
      <c r="M218" s="129">
        <f t="shared" si="25"/>
        <v>0.3</v>
      </c>
      <c r="N218" s="129">
        <f t="shared" si="25"/>
        <v>0.3</v>
      </c>
      <c r="O218" s="129">
        <f t="shared" si="25"/>
        <v>0.3</v>
      </c>
      <c r="P218" s="129">
        <f t="shared" si="25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24"/>
        <v>0</v>
      </c>
      <c r="C219" s="117">
        <v>0.4</v>
      </c>
      <c r="D219" s="117">
        <f t="shared" si="25"/>
        <v>0.4</v>
      </c>
      <c r="E219" s="117">
        <f t="shared" si="25"/>
        <v>0.4</v>
      </c>
      <c r="F219" s="117">
        <f t="shared" si="25"/>
        <v>0.4</v>
      </c>
      <c r="G219" s="117">
        <f t="shared" si="25"/>
        <v>0.4</v>
      </c>
      <c r="H219" s="117">
        <f t="shared" si="25"/>
        <v>0.4</v>
      </c>
      <c r="I219" s="117">
        <f t="shared" si="25"/>
        <v>0.4</v>
      </c>
      <c r="J219" s="117">
        <f t="shared" si="25"/>
        <v>0.4</v>
      </c>
      <c r="K219" s="117">
        <f t="shared" si="25"/>
        <v>0.4</v>
      </c>
      <c r="L219" s="117">
        <f t="shared" si="25"/>
        <v>0.4</v>
      </c>
      <c r="M219" s="117">
        <f t="shared" si="25"/>
        <v>0.4</v>
      </c>
      <c r="N219" s="117">
        <f t="shared" si="25"/>
        <v>0.4</v>
      </c>
      <c r="O219" s="117">
        <f t="shared" si="25"/>
        <v>0.4</v>
      </c>
      <c r="P219" s="117">
        <f t="shared" si="25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24"/>
        <v>0</v>
      </c>
      <c r="C220" s="117">
        <v>1.5</v>
      </c>
      <c r="D220" s="117">
        <f t="shared" si="25"/>
        <v>1.5</v>
      </c>
      <c r="E220" s="117">
        <f t="shared" si="25"/>
        <v>1.5</v>
      </c>
      <c r="F220" s="117">
        <f t="shared" si="25"/>
        <v>1.5</v>
      </c>
      <c r="G220" s="117">
        <f t="shared" si="25"/>
        <v>1.5</v>
      </c>
      <c r="H220" s="117">
        <f t="shared" si="25"/>
        <v>1.5</v>
      </c>
      <c r="I220" s="117">
        <f t="shared" si="25"/>
        <v>1.5</v>
      </c>
      <c r="J220" s="117">
        <f t="shared" si="25"/>
        <v>1.5</v>
      </c>
      <c r="K220" s="117">
        <f t="shared" si="25"/>
        <v>1.5</v>
      </c>
      <c r="L220" s="117">
        <f t="shared" si="25"/>
        <v>1.5</v>
      </c>
      <c r="M220" s="117">
        <f t="shared" si="25"/>
        <v>1.5</v>
      </c>
      <c r="N220" s="117">
        <f t="shared" si="25"/>
        <v>1.5</v>
      </c>
      <c r="O220" s="117">
        <f t="shared" si="25"/>
        <v>1.5</v>
      </c>
      <c r="P220" s="117">
        <f t="shared" si="25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24"/>
        <v>0</v>
      </c>
      <c r="C221" s="117">
        <v>0.3</v>
      </c>
      <c r="D221" s="117">
        <f t="shared" si="25"/>
        <v>0.3</v>
      </c>
      <c r="E221" s="117">
        <f t="shared" si="25"/>
        <v>0.3</v>
      </c>
      <c r="F221" s="117">
        <f t="shared" si="25"/>
        <v>0.3</v>
      </c>
      <c r="G221" s="117">
        <f t="shared" si="25"/>
        <v>0.3</v>
      </c>
      <c r="H221" s="117">
        <f t="shared" si="25"/>
        <v>0.3</v>
      </c>
      <c r="I221" s="117">
        <f t="shared" si="25"/>
        <v>0.3</v>
      </c>
      <c r="J221" s="117">
        <f t="shared" si="25"/>
        <v>0.3</v>
      </c>
      <c r="K221" s="117">
        <f t="shared" si="25"/>
        <v>0.3</v>
      </c>
      <c r="L221" s="117">
        <f t="shared" si="25"/>
        <v>0.3</v>
      </c>
      <c r="M221" s="117">
        <f t="shared" si="25"/>
        <v>0.3</v>
      </c>
      <c r="N221" s="117">
        <f t="shared" si="25"/>
        <v>0.3</v>
      </c>
      <c r="O221" s="117">
        <f t="shared" si="25"/>
        <v>0.3</v>
      </c>
      <c r="P221" s="117">
        <f t="shared" si="25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24"/>
        <v>0</v>
      </c>
      <c r="C222" s="117">
        <v>0.4</v>
      </c>
      <c r="D222" s="117">
        <f t="shared" si="25"/>
        <v>0.4</v>
      </c>
      <c r="E222" s="117">
        <f t="shared" si="25"/>
        <v>0.4</v>
      </c>
      <c r="F222" s="117">
        <f t="shared" si="25"/>
        <v>0.4</v>
      </c>
      <c r="G222" s="117">
        <f t="shared" si="25"/>
        <v>0.4</v>
      </c>
      <c r="H222" s="117">
        <f t="shared" si="25"/>
        <v>0.4</v>
      </c>
      <c r="I222" s="117">
        <f t="shared" si="25"/>
        <v>0.4</v>
      </c>
      <c r="J222" s="117">
        <f t="shared" si="25"/>
        <v>0.4</v>
      </c>
      <c r="K222" s="117">
        <f t="shared" si="25"/>
        <v>0.4</v>
      </c>
      <c r="L222" s="117">
        <f t="shared" si="25"/>
        <v>0.4</v>
      </c>
      <c r="M222" s="117">
        <f t="shared" si="25"/>
        <v>0.4</v>
      </c>
      <c r="N222" s="117">
        <f t="shared" si="25"/>
        <v>0.4</v>
      </c>
      <c r="O222" s="117">
        <f t="shared" si="25"/>
        <v>0.4</v>
      </c>
      <c r="P222" s="117">
        <f t="shared" si="25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24"/>
        <v>0</v>
      </c>
      <c r="C223" s="121">
        <v>0.64</v>
      </c>
      <c r="D223" s="121">
        <f t="shared" si="25"/>
        <v>0.64</v>
      </c>
      <c r="E223" s="121">
        <f t="shared" si="25"/>
        <v>0.64</v>
      </c>
      <c r="F223" s="121">
        <f t="shared" si="25"/>
        <v>0.64</v>
      </c>
      <c r="G223" s="121">
        <f t="shared" si="25"/>
        <v>0.64</v>
      </c>
      <c r="H223" s="121">
        <f t="shared" si="25"/>
        <v>0.64</v>
      </c>
      <c r="I223" s="121">
        <f t="shared" si="25"/>
        <v>0.64</v>
      </c>
      <c r="J223" s="121">
        <f t="shared" si="25"/>
        <v>0.64</v>
      </c>
      <c r="K223" s="121">
        <f t="shared" si="25"/>
        <v>0.64</v>
      </c>
      <c r="L223" s="121">
        <f t="shared" si="25"/>
        <v>0.64</v>
      </c>
      <c r="M223" s="121">
        <f t="shared" si="25"/>
        <v>0.64</v>
      </c>
      <c r="N223" s="121">
        <f t="shared" si="25"/>
        <v>0.64</v>
      </c>
      <c r="O223" s="121">
        <f t="shared" si="25"/>
        <v>0.64</v>
      </c>
      <c r="P223" s="121">
        <f t="shared" si="25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6">SUM(B218:B223)</f>
        <v>0</v>
      </c>
      <c r="C224" s="125">
        <f t="shared" si="26"/>
        <v>3.54</v>
      </c>
      <c r="D224" s="125">
        <f t="shared" si="26"/>
        <v>3.54</v>
      </c>
      <c r="E224" s="125">
        <f t="shared" si="26"/>
        <v>3.54</v>
      </c>
      <c r="F224" s="125">
        <f t="shared" si="26"/>
        <v>3.54</v>
      </c>
      <c r="G224" s="125">
        <f t="shared" si="26"/>
        <v>3.54</v>
      </c>
      <c r="H224" s="125">
        <f t="shared" si="26"/>
        <v>3.54</v>
      </c>
      <c r="I224" s="125">
        <f t="shared" si="26"/>
        <v>3.54</v>
      </c>
      <c r="J224" s="125">
        <f t="shared" si="26"/>
        <v>3.54</v>
      </c>
      <c r="K224" s="125">
        <f t="shared" si="26"/>
        <v>3.54</v>
      </c>
      <c r="L224" s="125">
        <f t="shared" si="26"/>
        <v>3.54</v>
      </c>
      <c r="M224" s="125">
        <f t="shared" si="26"/>
        <v>3.54</v>
      </c>
      <c r="N224" s="125">
        <f t="shared" si="26"/>
        <v>3.54</v>
      </c>
      <c r="O224" s="125">
        <f t="shared" si="26"/>
        <v>3.54</v>
      </c>
      <c r="P224" s="125">
        <f t="shared" si="26"/>
        <v>3.54</v>
      </c>
      <c r="Q224" s="125">
        <f t="shared" si="26"/>
        <v>0</v>
      </c>
      <c r="R224" s="125">
        <f t="shared" si="26"/>
        <v>0</v>
      </c>
      <c r="S224" s="125">
        <f t="shared" si="26"/>
        <v>0</v>
      </c>
      <c r="T224" s="125">
        <f t="shared" si="26"/>
        <v>0</v>
      </c>
      <c r="U224" s="125">
        <f t="shared" si="26"/>
        <v>0</v>
      </c>
      <c r="V224" s="125">
        <f t="shared" si="26"/>
        <v>0</v>
      </c>
      <c r="W224" s="125">
        <f t="shared" si="26"/>
        <v>0</v>
      </c>
      <c r="X224" s="125">
        <f t="shared" si="26"/>
        <v>0</v>
      </c>
      <c r="Y224" s="125">
        <f t="shared" si="26"/>
        <v>0</v>
      </c>
      <c r="Z224" s="125">
        <f t="shared" si="26"/>
        <v>0</v>
      </c>
      <c r="AA224" s="125">
        <f t="shared" si="26"/>
        <v>0</v>
      </c>
      <c r="AB224" s="125">
        <f t="shared" si="26"/>
        <v>0</v>
      </c>
      <c r="AC224" s="125">
        <f t="shared" si="26"/>
        <v>0</v>
      </c>
      <c r="AD224" s="125">
        <f t="shared" si="26"/>
        <v>0</v>
      </c>
      <c r="AE224" s="125">
        <f t="shared" si="26"/>
        <v>0</v>
      </c>
      <c r="AF224" s="125">
        <f t="shared" si="26"/>
        <v>0</v>
      </c>
      <c r="AG224" s="134">
        <f t="shared" si="26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1578.44</v>
      </c>
      <c r="C233" s="150">
        <f>INDEX(G9:N9,1,MATCH(MAX(G81:N81),G81:N81,0))</f>
        <v>0.33333333333333331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5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2079/06/5)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2079/06/5)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27">B81</f>
        <v>1396.94</v>
      </c>
      <c r="U238" s="159">
        <f t="shared" si="27"/>
        <v>1399.3400000000001</v>
      </c>
      <c r="V238" s="159">
        <f t="shared" si="27"/>
        <v>1397.74</v>
      </c>
      <c r="W238" s="159">
        <f t="shared" si="27"/>
        <v>1370.94</v>
      </c>
      <c r="X238" s="159">
        <f t="shared" si="27"/>
        <v>1356.54</v>
      </c>
      <c r="Y238" s="159">
        <f t="shared" si="27"/>
        <v>1415.14</v>
      </c>
      <c r="Z238" s="159">
        <f t="shared" si="27"/>
        <v>1434.3400000000001</v>
      </c>
      <c r="AA238" s="159">
        <f t="shared" si="27"/>
        <v>1477.44</v>
      </c>
      <c r="AB238" s="159">
        <f t="shared" si="27"/>
        <v>1501.44</v>
      </c>
      <c r="AC238" s="159">
        <f t="shared" si="27"/>
        <v>1535.44</v>
      </c>
      <c r="AD238" s="159">
        <f t="shared" si="27"/>
        <v>1566.44</v>
      </c>
      <c r="AE238" s="159">
        <f t="shared" si="27"/>
        <v>1578.44</v>
      </c>
      <c r="AF238" s="159">
        <f t="shared" si="27"/>
        <v>1578.44</v>
      </c>
      <c r="AG238" s="159">
        <f t="shared" si="27"/>
        <v>1553.44</v>
      </c>
      <c r="AH238" s="159">
        <f t="shared" si="27"/>
        <v>1446.8400000000001</v>
      </c>
      <c r="AI238" s="159">
        <f t="shared" si="27"/>
        <v>1405.44</v>
      </c>
      <c r="AJ238" s="159">
        <f t="shared" si="27"/>
        <v>1456.94</v>
      </c>
      <c r="AK238" s="159">
        <f t="shared" si="27"/>
        <v>1443.94</v>
      </c>
      <c r="AL238" s="159">
        <f t="shared" si="27"/>
        <v>1488.2399999999998</v>
      </c>
      <c r="AM238" s="159">
        <f t="shared" si="27"/>
        <v>1531.74</v>
      </c>
      <c r="AN238" s="159">
        <f t="shared" si="27"/>
        <v>1510.24</v>
      </c>
      <c r="AO238" s="159">
        <f t="shared" si="27"/>
        <v>1535.6399999999999</v>
      </c>
      <c r="AP238" s="159">
        <f t="shared" si="27"/>
        <v>1731.04</v>
      </c>
      <c r="AQ238" s="159">
        <f t="shared" si="27"/>
        <v>1759.04</v>
      </c>
      <c r="AR238" s="159">
        <f t="shared" si="27"/>
        <v>1715.94</v>
      </c>
      <c r="AS238" s="159">
        <f t="shared" si="27"/>
        <v>1732.44</v>
      </c>
      <c r="AT238" s="159">
        <f t="shared" si="27"/>
        <v>1627.34</v>
      </c>
      <c r="AU238" s="159">
        <f t="shared" si="27"/>
        <v>1607.1399999999999</v>
      </c>
      <c r="AV238" s="159">
        <f t="shared" si="27"/>
        <v>1551.04</v>
      </c>
      <c r="AW238" s="159">
        <f t="shared" si="27"/>
        <v>1503.54</v>
      </c>
      <c r="AX238" s="159">
        <f t="shared" si="27"/>
        <v>1491.04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28">C223</f>
        <v>0.64</v>
      </c>
      <c r="C259" s="162">
        <f t="shared" si="28"/>
        <v>0.64</v>
      </c>
      <c r="D259" s="162">
        <f t="shared" si="28"/>
        <v>0.64</v>
      </c>
      <c r="E259" s="162">
        <f t="shared" si="28"/>
        <v>0.64</v>
      </c>
      <c r="F259" s="162">
        <f t="shared" si="28"/>
        <v>0.64</v>
      </c>
      <c r="G259" s="162">
        <f t="shared" si="28"/>
        <v>0.64</v>
      </c>
      <c r="H259" s="162">
        <f t="shared" si="28"/>
        <v>0.64</v>
      </c>
      <c r="I259" s="162">
        <f t="shared" si="28"/>
        <v>0.64</v>
      </c>
      <c r="J259" s="162">
        <f t="shared" si="28"/>
        <v>0.64</v>
      </c>
      <c r="K259" s="162">
        <f t="shared" si="28"/>
        <v>0.64</v>
      </c>
      <c r="L259" s="162">
        <f t="shared" si="28"/>
        <v>0.64</v>
      </c>
      <c r="M259" s="162">
        <f t="shared" si="28"/>
        <v>0.64</v>
      </c>
      <c r="N259" s="162">
        <f t="shared" si="28"/>
        <v>0.64</v>
      </c>
      <c r="O259" s="162">
        <f t="shared" si="28"/>
        <v>0.64</v>
      </c>
      <c r="P259" s="162">
        <f t="shared" si="28"/>
        <v>0</v>
      </c>
      <c r="Q259" s="162">
        <f t="shared" si="28"/>
        <v>0</v>
      </c>
      <c r="R259" s="162">
        <f t="shared" si="28"/>
        <v>0</v>
      </c>
      <c r="S259" s="162">
        <f t="shared" si="28"/>
        <v>0</v>
      </c>
      <c r="T259" s="162">
        <f t="shared" si="28"/>
        <v>0</v>
      </c>
      <c r="U259" s="162">
        <f t="shared" si="28"/>
        <v>0</v>
      </c>
      <c r="V259" s="162">
        <f t="shared" si="28"/>
        <v>0</v>
      </c>
      <c r="W259" s="162">
        <f t="shared" si="28"/>
        <v>0</v>
      </c>
      <c r="X259" s="162">
        <f t="shared" si="28"/>
        <v>0</v>
      </c>
      <c r="Y259" s="162">
        <f t="shared" si="28"/>
        <v>0</v>
      </c>
      <c r="Z259" s="162">
        <f t="shared" si="28"/>
        <v>0</v>
      </c>
      <c r="AA259" s="162">
        <f t="shared" si="28"/>
        <v>0</v>
      </c>
      <c r="AB259" s="162">
        <f t="shared" si="28"/>
        <v>0</v>
      </c>
      <c r="AC259" s="162">
        <f t="shared" si="28"/>
        <v>0</v>
      </c>
      <c r="AD259" s="162">
        <f t="shared" si="28"/>
        <v>0</v>
      </c>
      <c r="AE259" s="162">
        <f t="shared" si="28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29">IF(B227&lt;100,"",B227-520)</f>
        <v/>
      </c>
      <c r="C260" s="163" t="str">
        <f t="shared" si="29"/>
        <v/>
      </c>
      <c r="D260" s="163" t="str">
        <f t="shared" si="29"/>
        <v/>
      </c>
      <c r="E260" s="163" t="str">
        <f t="shared" si="29"/>
        <v/>
      </c>
      <c r="F260" s="163" t="str">
        <f t="shared" si="29"/>
        <v/>
      </c>
      <c r="G260" s="163" t="str">
        <f t="shared" si="29"/>
        <v/>
      </c>
      <c r="H260" s="163" t="str">
        <f t="shared" si="29"/>
        <v/>
      </c>
      <c r="I260" s="163" t="str">
        <f t="shared" si="29"/>
        <v/>
      </c>
      <c r="J260" s="163" t="str">
        <f t="shared" si="29"/>
        <v/>
      </c>
      <c r="K260" s="163" t="str">
        <f t="shared" si="29"/>
        <v/>
      </c>
      <c r="L260" s="163" t="str">
        <f t="shared" si="29"/>
        <v/>
      </c>
      <c r="M260" s="163" t="str">
        <f t="shared" si="29"/>
        <v/>
      </c>
      <c r="N260" s="163" t="str">
        <f t="shared" si="29"/>
        <v/>
      </c>
      <c r="O260" s="163" t="str">
        <f t="shared" si="29"/>
        <v/>
      </c>
      <c r="P260" s="163" t="str">
        <f t="shared" si="29"/>
        <v/>
      </c>
      <c r="Q260" s="163" t="str">
        <f t="shared" si="29"/>
        <v/>
      </c>
      <c r="R260" s="163" t="str">
        <f t="shared" si="29"/>
        <v/>
      </c>
      <c r="S260" s="163" t="str">
        <f t="shared" si="29"/>
        <v/>
      </c>
      <c r="T260" s="163" t="str">
        <f t="shared" si="29"/>
        <v/>
      </c>
      <c r="U260" s="163" t="str">
        <f t="shared" si="29"/>
        <v/>
      </c>
      <c r="V260" s="163" t="str">
        <f t="shared" si="29"/>
        <v/>
      </c>
      <c r="W260" s="163" t="str">
        <f t="shared" si="29"/>
        <v/>
      </c>
      <c r="X260" s="163" t="str">
        <f t="shared" si="29"/>
        <v/>
      </c>
      <c r="Y260" s="163" t="str">
        <f t="shared" si="29"/>
        <v/>
      </c>
      <c r="Z260" s="163" t="str">
        <f t="shared" si="29"/>
        <v/>
      </c>
      <c r="AA260" s="163" t="str">
        <f t="shared" si="29"/>
        <v/>
      </c>
      <c r="AB260" s="163" t="str">
        <f t="shared" si="29"/>
        <v/>
      </c>
      <c r="AC260" s="163" t="str">
        <f t="shared" si="29"/>
        <v/>
      </c>
      <c r="AD260" s="163" t="str">
        <f t="shared" si="29"/>
        <v/>
      </c>
      <c r="AE260" s="163" t="str">
        <f t="shared" si="29"/>
        <v/>
      </c>
      <c r="AF260" s="163" t="str">
        <f t="shared" si="29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30">IF(B228&lt;100,"",B228-620)</f>
        <v/>
      </c>
      <c r="C261" s="163" t="str">
        <f t="shared" si="30"/>
        <v/>
      </c>
      <c r="D261" s="163" t="str">
        <f t="shared" si="30"/>
        <v/>
      </c>
      <c r="E261" s="163" t="str">
        <f t="shared" si="30"/>
        <v/>
      </c>
      <c r="F261" s="163" t="str">
        <f t="shared" si="30"/>
        <v/>
      </c>
      <c r="G261" s="163" t="str">
        <f t="shared" si="30"/>
        <v/>
      </c>
      <c r="H261" s="163" t="str">
        <f t="shared" si="30"/>
        <v/>
      </c>
      <c r="I261" s="163" t="str">
        <f t="shared" si="30"/>
        <v/>
      </c>
      <c r="J261" s="163" t="str">
        <f t="shared" si="30"/>
        <v/>
      </c>
      <c r="K261" s="163" t="str">
        <f t="shared" si="30"/>
        <v/>
      </c>
      <c r="L261" s="163" t="str">
        <f t="shared" si="30"/>
        <v/>
      </c>
      <c r="M261" s="163" t="str">
        <f t="shared" si="30"/>
        <v/>
      </c>
      <c r="N261" s="163" t="str">
        <f t="shared" si="30"/>
        <v/>
      </c>
      <c r="O261" s="163" t="str">
        <f t="shared" si="30"/>
        <v/>
      </c>
      <c r="P261" s="163" t="str">
        <f t="shared" si="30"/>
        <v/>
      </c>
      <c r="Q261" s="163" t="str">
        <f t="shared" si="30"/>
        <v/>
      </c>
      <c r="R261" s="163" t="str">
        <f t="shared" si="30"/>
        <v/>
      </c>
      <c r="S261" s="163" t="str">
        <f t="shared" si="30"/>
        <v/>
      </c>
      <c r="T261" s="163" t="str">
        <f t="shared" si="30"/>
        <v/>
      </c>
      <c r="U261" s="163" t="str">
        <f t="shared" si="30"/>
        <v/>
      </c>
      <c r="V261" s="163" t="str">
        <f t="shared" si="30"/>
        <v/>
      </c>
      <c r="W261" s="163" t="str">
        <f t="shared" si="30"/>
        <v/>
      </c>
      <c r="X261" s="163" t="str">
        <f t="shared" si="30"/>
        <v/>
      </c>
      <c r="Y261" s="163" t="str">
        <f t="shared" si="30"/>
        <v/>
      </c>
      <c r="Z261" s="163" t="str">
        <f t="shared" si="30"/>
        <v/>
      </c>
      <c r="AA261" s="163" t="str">
        <f t="shared" si="30"/>
        <v/>
      </c>
      <c r="AB261" s="163" t="str">
        <f t="shared" si="30"/>
        <v/>
      </c>
      <c r="AC261" s="163" t="str">
        <f t="shared" si="30"/>
        <v/>
      </c>
      <c r="AD261" s="163" t="str">
        <f t="shared" si="30"/>
        <v/>
      </c>
      <c r="AE261" s="163" t="str">
        <f t="shared" si="30"/>
        <v/>
      </c>
      <c r="AF261" s="163" t="str">
        <f t="shared" si="30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1">IF(B229&lt;100,"",B229-330)</f>
        <v/>
      </c>
      <c r="C262" s="163" t="str">
        <f t="shared" si="31"/>
        <v/>
      </c>
      <c r="D262" s="163" t="str">
        <f t="shared" si="31"/>
        <v/>
      </c>
      <c r="E262" s="163" t="str">
        <f t="shared" si="31"/>
        <v/>
      </c>
      <c r="F262" s="163" t="str">
        <f t="shared" si="31"/>
        <v/>
      </c>
      <c r="G262" s="163" t="str">
        <f t="shared" si="31"/>
        <v/>
      </c>
      <c r="H262" s="163" t="str">
        <f t="shared" si="31"/>
        <v/>
      </c>
      <c r="I262" s="163" t="str">
        <f t="shared" si="31"/>
        <v/>
      </c>
      <c r="J262" s="163" t="str">
        <f t="shared" si="31"/>
        <v/>
      </c>
      <c r="K262" s="163" t="str">
        <f t="shared" si="31"/>
        <v/>
      </c>
      <c r="L262" s="163" t="str">
        <f t="shared" si="31"/>
        <v/>
      </c>
      <c r="M262" s="163" t="str">
        <f t="shared" si="31"/>
        <v/>
      </c>
      <c r="N262" s="163" t="str">
        <f t="shared" si="31"/>
        <v/>
      </c>
      <c r="O262" s="163" t="str">
        <f t="shared" si="31"/>
        <v/>
      </c>
      <c r="P262" s="163" t="str">
        <f t="shared" si="31"/>
        <v/>
      </c>
      <c r="Q262" s="163" t="str">
        <f t="shared" si="31"/>
        <v/>
      </c>
      <c r="R262" s="163" t="str">
        <f t="shared" si="31"/>
        <v/>
      </c>
      <c r="S262" s="163" t="str">
        <f t="shared" si="31"/>
        <v/>
      </c>
      <c r="T262" s="163" t="str">
        <f t="shared" si="31"/>
        <v/>
      </c>
      <c r="U262" s="163" t="str">
        <f t="shared" si="31"/>
        <v/>
      </c>
      <c r="V262" s="163" t="str">
        <f t="shared" si="31"/>
        <v/>
      </c>
      <c r="W262" s="163" t="str">
        <f t="shared" si="31"/>
        <v/>
      </c>
      <c r="X262" s="163" t="str">
        <f t="shared" si="31"/>
        <v/>
      </c>
      <c r="Y262" s="163" t="str">
        <f t="shared" si="31"/>
        <v/>
      </c>
      <c r="Z262" s="163" t="str">
        <f t="shared" si="31"/>
        <v/>
      </c>
      <c r="AA262" s="163" t="str">
        <f t="shared" si="31"/>
        <v/>
      </c>
      <c r="AB262" s="163" t="str">
        <f t="shared" si="31"/>
        <v/>
      </c>
      <c r="AC262" s="163" t="str">
        <f t="shared" si="31"/>
        <v/>
      </c>
      <c r="AD262" s="163" t="str">
        <f t="shared" si="31"/>
        <v/>
      </c>
      <c r="AE262" s="163" t="str">
        <f t="shared" si="31"/>
        <v/>
      </c>
      <c r="AF262" s="163" t="str">
        <f t="shared" si="31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2">IF(B230&lt;100,"",B230-1500)</f>
        <v/>
      </c>
      <c r="C263" s="163" t="str">
        <f t="shared" si="32"/>
        <v/>
      </c>
      <c r="D263" s="163" t="str">
        <f t="shared" si="32"/>
        <v/>
      </c>
      <c r="E263" s="163" t="str">
        <f t="shared" si="32"/>
        <v/>
      </c>
      <c r="F263" s="163" t="str">
        <f t="shared" si="32"/>
        <v/>
      </c>
      <c r="G263" s="163" t="str">
        <f t="shared" si="32"/>
        <v/>
      </c>
      <c r="H263" s="163" t="str">
        <f t="shared" si="32"/>
        <v/>
      </c>
      <c r="I263" s="163" t="str">
        <f t="shared" si="32"/>
        <v/>
      </c>
      <c r="J263" s="163" t="str">
        <f t="shared" si="32"/>
        <v/>
      </c>
      <c r="K263" s="163" t="str">
        <f t="shared" si="32"/>
        <v/>
      </c>
      <c r="L263" s="163" t="str">
        <f t="shared" si="32"/>
        <v/>
      </c>
      <c r="M263" s="163" t="str">
        <f t="shared" si="32"/>
        <v/>
      </c>
      <c r="N263" s="163" t="str">
        <f t="shared" si="32"/>
        <v/>
      </c>
      <c r="O263" s="163" t="str">
        <f t="shared" si="32"/>
        <v/>
      </c>
      <c r="P263" s="163" t="str">
        <f t="shared" si="32"/>
        <v/>
      </c>
      <c r="Q263" s="163" t="str">
        <f t="shared" si="32"/>
        <v/>
      </c>
      <c r="R263" s="163" t="str">
        <f t="shared" si="32"/>
        <v/>
      </c>
      <c r="S263" s="163" t="str">
        <f t="shared" si="32"/>
        <v/>
      </c>
      <c r="T263" s="163" t="str">
        <f t="shared" si="32"/>
        <v/>
      </c>
      <c r="U263" s="163" t="str">
        <f t="shared" si="32"/>
        <v/>
      </c>
      <c r="V263" s="163" t="str">
        <f t="shared" si="32"/>
        <v/>
      </c>
      <c r="W263" s="163" t="str">
        <f t="shared" si="32"/>
        <v/>
      </c>
      <c r="X263" s="163" t="str">
        <f t="shared" si="32"/>
        <v/>
      </c>
      <c r="Y263" s="163" t="str">
        <f t="shared" si="32"/>
        <v/>
      </c>
      <c r="Z263" s="163" t="str">
        <f t="shared" si="32"/>
        <v/>
      </c>
      <c r="AA263" s="163" t="str">
        <f t="shared" si="32"/>
        <v/>
      </c>
      <c r="AB263" s="163" t="str">
        <f t="shared" si="32"/>
        <v/>
      </c>
      <c r="AC263" s="163" t="str">
        <f t="shared" si="32"/>
        <v/>
      </c>
      <c r="AD263" s="163" t="str">
        <f t="shared" si="32"/>
        <v/>
      </c>
      <c r="AE263" s="163" t="str">
        <f t="shared" si="32"/>
        <v/>
      </c>
      <c r="AF263" s="163" t="str">
        <f t="shared" si="32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A11:A225">
    <cfRule type="expression" dxfId="1734" priority="17">
      <formula>$AH11=0</formula>
    </cfRule>
  </conditionalFormatting>
  <conditionalFormatting sqref="B8 M8 S8 AB8">
    <cfRule type="expression" dxfId="1733" priority="264">
      <formula>AND(C$9&gt;=8/24,C$9&lt;14/24)</formula>
    </cfRule>
    <cfRule type="expression" dxfId="1732" priority="265">
      <formula>C$9&lt;8/24</formula>
    </cfRule>
    <cfRule type="expression" dxfId="1731" priority="263">
      <formula>AND(C$9&gt;=14/24,C$9&lt;20/24)</formula>
    </cfRule>
  </conditionalFormatting>
  <conditionalFormatting sqref="B41:B44 C44:AG44">
    <cfRule type="expression" dxfId="1730" priority="86">
      <formula>B$9&gt;=20/24</formula>
    </cfRule>
    <cfRule type="expression" dxfId="1729" priority="87">
      <formula>AND(B$9&gt;=14/24,B$9&lt;20/24)</formula>
    </cfRule>
    <cfRule type="expression" dxfId="1728" priority="88">
      <formula>AND(B$9&gt;=8/24,B$9&lt;14/24)</formula>
    </cfRule>
    <cfRule type="expression" dxfId="1727" priority="89">
      <formula>B$9&lt;8/24</formula>
    </cfRule>
    <cfRule type="expression" dxfId="1726" priority="85">
      <formula>B41&gt;$AG41</formula>
    </cfRule>
  </conditionalFormatting>
  <conditionalFormatting sqref="B45:P47">
    <cfRule type="expression" dxfId="1725" priority="142">
      <formula>AND(B$9&gt;=14/24,B$9&lt;20/24)</formula>
    </cfRule>
    <cfRule type="expression" dxfId="1724" priority="141">
      <formula>B$9&gt;=20/24</formula>
    </cfRule>
    <cfRule type="expression" dxfId="1723" priority="143">
      <formula>AND(B$9&gt;=8/24,B$9&lt;14/24)</formula>
    </cfRule>
    <cfRule type="expression" dxfId="1722" priority="144">
      <formula>B$9&lt;8/24</formula>
    </cfRule>
  </conditionalFormatting>
  <conditionalFormatting sqref="B30:X36">
    <cfRule type="expression" dxfId="1721" priority="22">
      <formula>B$9&lt;8/24</formula>
    </cfRule>
    <cfRule type="expression" dxfId="1720" priority="19">
      <formula>B$9&gt;=20/24</formula>
    </cfRule>
    <cfRule type="expression" dxfId="1719" priority="20">
      <formula>AND(B$9&gt;=14/24,B$9&lt;20/24)</formula>
    </cfRule>
    <cfRule type="expression" dxfId="1718" priority="21">
      <formula>AND(B$9&gt;=8/24,B$9&lt;14/24)</formula>
    </cfRule>
  </conditionalFormatting>
  <conditionalFormatting sqref="B50:X56">
    <cfRule type="expression" dxfId="1717" priority="114">
      <formula>B$9&gt;=20/24</formula>
    </cfRule>
    <cfRule type="expression" dxfId="1716" priority="116">
      <formula>AND(B$9&gt;=8/24,B$9&lt;14/24)</formula>
    </cfRule>
    <cfRule type="expression" dxfId="1715" priority="115">
      <formula>AND(B$9&gt;=14/24,B$9&lt;20/24)</formula>
    </cfRule>
    <cfRule type="expression" dxfId="1714" priority="117">
      <formula>B$9&lt;8/24</formula>
    </cfRule>
  </conditionalFormatting>
  <conditionalFormatting sqref="B9:AF11">
    <cfRule type="expression" dxfId="1713" priority="161">
      <formula>B$9&lt;8/24</formula>
    </cfRule>
    <cfRule type="expression" dxfId="1712" priority="159">
      <formula>AND(B$9&gt;=14/24,B$9&lt;20/24)</formula>
    </cfRule>
    <cfRule type="expression" dxfId="1711" priority="158">
      <formula>B$9&gt;=20/24</formula>
    </cfRule>
    <cfRule type="expression" dxfId="1710" priority="160">
      <formula>AND(B$9&gt;=8/24,B$9&lt;14/24)</formula>
    </cfRule>
  </conditionalFormatting>
  <conditionalFormatting sqref="B11:AF16">
    <cfRule type="expression" dxfId="1709" priority="153">
      <formula>B11&gt;$AG11</formula>
    </cfRule>
  </conditionalFormatting>
  <conditionalFormatting sqref="B12:AF15">
    <cfRule type="expression" dxfId="1708" priority="124">
      <formula>AND(B$9&gt;=14/24,B$9&lt;20/24)</formula>
    </cfRule>
    <cfRule type="expression" dxfId="1707" priority="123">
      <formula>B$9&gt;=20/24</formula>
    </cfRule>
    <cfRule type="expression" dxfId="1706" priority="126">
      <formula>B$9&lt;8/24</formula>
    </cfRule>
    <cfRule type="expression" dxfId="1705" priority="125">
      <formula>AND(B$9&gt;=8/24,B$9&lt;14/24)</formula>
    </cfRule>
  </conditionalFormatting>
  <conditionalFormatting sqref="B16:AF16 B216:AF216 B218:B224 D218:AF224 U237:AF237">
    <cfRule type="expression" dxfId="1704" priority="256">
      <formula>B$9&gt;=20/24</formula>
    </cfRule>
    <cfRule type="expression" dxfId="1703" priority="257">
      <formula>AND(B$9&gt;=14/24,B$9&lt;20/24)</formula>
    </cfRule>
    <cfRule type="expression" dxfId="1702" priority="258">
      <formula>AND(B$9&gt;=8/24,B$9&lt;14/24)</formula>
    </cfRule>
    <cfRule type="expression" dxfId="1701" priority="259">
      <formula>B$9&lt;8/24</formula>
    </cfRule>
  </conditionalFormatting>
  <conditionalFormatting sqref="B17:AF17">
    <cfRule type="expression" dxfId="1700" priority="37">
      <formula>AND(B$9&gt;=8/24,B$9&lt;14/24)</formula>
    </cfRule>
    <cfRule type="expression" dxfId="1699" priority="38">
      <formula>B$9&lt;8/24</formula>
    </cfRule>
    <cfRule type="expression" dxfId="1698" priority="44">
      <formula>B17&gt;$AG17</formula>
    </cfRule>
    <cfRule type="expression" dxfId="1697" priority="35">
      <formula>B$9&gt;=20/24</formula>
    </cfRule>
    <cfRule type="expression" dxfId="1696" priority="36">
      <formula>AND(B$9&gt;=14/24,B$9&lt;20/24)</formula>
    </cfRule>
  </conditionalFormatting>
  <conditionalFormatting sqref="B18:AF24">
    <cfRule type="expression" dxfId="1695" priority="105">
      <formula>B$9&gt;=20/24</formula>
    </cfRule>
    <cfRule type="expression" dxfId="1694" priority="106">
      <formula>AND(B$9&gt;=14/24,B$9&lt;20/24)</formula>
    </cfRule>
    <cfRule type="expression" dxfId="1693" priority="108">
      <formula>B$9&lt;8/24</formula>
    </cfRule>
    <cfRule type="expression" dxfId="1692" priority="107">
      <formula>AND(B$9&gt;=8/24,B$9&lt;14/24)</formula>
    </cfRule>
  </conditionalFormatting>
  <conditionalFormatting sqref="B19:AF24">
    <cfRule type="expression" dxfId="1691" priority="104">
      <formula>B19&gt;$AG19</formula>
    </cfRule>
  </conditionalFormatting>
  <conditionalFormatting sqref="B25:AF27 B29:AF29 C59:AF61 B59:B62 C62:AG62 B75:B79 C79:AG79 B80:AF81">
    <cfRule type="expression" dxfId="1690" priority="139">
      <formula>B$9&lt;8/24</formula>
    </cfRule>
    <cfRule type="expression" dxfId="1689" priority="138">
      <formula>AND(B$9&gt;=8/24,B$9&lt;14/24)</formula>
    </cfRule>
    <cfRule type="expression" dxfId="1688" priority="137">
      <formula>AND(B$9&gt;=14/24,B$9&lt;20/24)</formula>
    </cfRule>
    <cfRule type="expression" dxfId="1687" priority="136">
      <formula>B$9&gt;=20/24</formula>
    </cfRule>
  </conditionalFormatting>
  <conditionalFormatting sqref="B25:AF29 B40:AG40 C57:AG58 B57:B62 C59:AF61 C62:AG62">
    <cfRule type="expression" dxfId="1686" priority="131">
      <formula>B25&gt;$AG25</formula>
    </cfRule>
  </conditionalFormatting>
  <conditionalFormatting sqref="B28:AF28">
    <cfRule type="expression" dxfId="1685" priority="109">
      <formula>B$9&gt;=20/24</formula>
    </cfRule>
    <cfRule type="expression" dxfId="1684" priority="110">
      <formula>AND(B$9&gt;=14/24,B$9&lt;20/24)</formula>
    </cfRule>
    <cfRule type="expression" dxfId="1683" priority="111">
      <formula>AND(B$9&gt;=8/24,B$9&lt;14/24)</formula>
    </cfRule>
    <cfRule type="expression" dxfId="1682" priority="112">
      <formula>B$9&lt;8/24</formula>
    </cfRule>
  </conditionalFormatting>
  <conditionalFormatting sqref="B30:AF36">
    <cfRule type="expression" dxfId="1681" priority="18">
      <formula>B30&gt;$AG30</formula>
    </cfRule>
  </conditionalFormatting>
  <conditionalFormatting sqref="B37:AF37 B18:AF18">
    <cfRule type="expression" dxfId="1680" priority="250">
      <formula>B18&gt;$AG18</formula>
    </cfRule>
  </conditionalFormatting>
  <conditionalFormatting sqref="B37:AF37">
    <cfRule type="expression" dxfId="1679" priority="130">
      <formula>B$9&lt;8/24</formula>
    </cfRule>
    <cfRule type="expression" dxfId="1678" priority="129">
      <formula>AND(B$9&gt;=8/24,B$9&lt;14/24)</formula>
    </cfRule>
    <cfRule type="expression" dxfId="1677" priority="128">
      <formula>AND(B$9&gt;=14/24,B$9&lt;20/24)</formula>
    </cfRule>
    <cfRule type="expression" dxfId="1676" priority="127">
      <formula>B$9&gt;=20/24</formula>
    </cfRule>
  </conditionalFormatting>
  <conditionalFormatting sqref="B38:AF39">
    <cfRule type="expression" dxfId="1675" priority="145">
      <formula>B$9&gt;=20/24</formula>
    </cfRule>
    <cfRule type="expression" dxfId="1674" priority="146">
      <formula>AND(B$9&gt;=14/24,B$9&lt;20/24)</formula>
    </cfRule>
    <cfRule type="expression" dxfId="1673" priority="147">
      <formula>AND(B$9&gt;=8/24,B$9&lt;14/24)</formula>
    </cfRule>
    <cfRule type="expression" dxfId="1672" priority="140">
      <formula>B38&gt;$AG38</formula>
    </cfRule>
    <cfRule type="expression" dxfId="1671" priority="148">
      <formula>B$9&lt;8/24</formula>
    </cfRule>
  </conditionalFormatting>
  <conditionalFormatting sqref="B45:AF56">
    <cfRule type="expression" dxfId="1670" priority="46">
      <formula>B45&gt;$AG45</formula>
    </cfRule>
  </conditionalFormatting>
  <conditionalFormatting sqref="B63:AF74">
    <cfRule type="expression" dxfId="1669" priority="99">
      <formula>B$9&gt;=20/24</formula>
    </cfRule>
    <cfRule type="expression" dxfId="1668" priority="100">
      <formula>AND(B$9&gt;=14/24,B$9&lt;20/24)</formula>
    </cfRule>
    <cfRule type="expression" dxfId="1667" priority="101">
      <formula>AND(B$9&gt;=8/24,B$9&lt;14/24)</formula>
    </cfRule>
    <cfRule type="expression" dxfId="1666" priority="102">
      <formula>B$9&lt;8/24</formula>
    </cfRule>
  </conditionalFormatting>
  <conditionalFormatting sqref="B83:AF99">
    <cfRule type="expression" dxfId="1661" priority="4">
      <formula>B$9&lt;8/24</formula>
    </cfRule>
    <cfRule type="expression" dxfId="1660" priority="1">
      <formula>B$9&gt;=20/24</formula>
    </cfRule>
    <cfRule type="expression" dxfId="1659" priority="2">
      <formula>AND(B$9&gt;=14/24,B$9&lt;20/24)</formula>
    </cfRule>
    <cfRule type="expression" dxfId="1658" priority="3">
      <formula>AND(B$9&gt;=8/24,B$9&lt;14/24)</formula>
    </cfRule>
  </conditionalFormatting>
  <conditionalFormatting sqref="B101:AF108">
    <cfRule type="expression" dxfId="1657" priority="12">
      <formula>B$9&lt;8/24</formula>
    </cfRule>
    <cfRule type="expression" dxfId="1656" priority="10">
      <formula>AND(B$9&gt;=14/24,B$9&lt;20/24)</formula>
    </cfRule>
    <cfRule type="expression" dxfId="1655" priority="11">
      <formula>AND(B$9&gt;=8/24,B$9&lt;14/24)</formula>
    </cfRule>
    <cfRule type="expression" dxfId="1654" priority="9">
      <formula>B$9&gt;=20/24</formula>
    </cfRule>
  </conditionalFormatting>
  <conditionalFormatting sqref="C41:AF43">
    <cfRule type="expression" dxfId="1649" priority="91">
      <formula>C$9&gt;=20/24</formula>
    </cfRule>
    <cfRule type="expression" dxfId="1648" priority="90">
      <formula>C41&gt;$AG41</formula>
    </cfRule>
    <cfRule type="expression" dxfId="1647" priority="93">
      <formula>AND(C$9&gt;=8/24,C$9&lt;14/24)</formula>
    </cfRule>
    <cfRule type="expression" dxfId="1646" priority="92">
      <formula>AND(C$9&gt;=14/24,C$9&lt;20/24)</formula>
    </cfRule>
    <cfRule type="expression" dxfId="1645" priority="94">
      <formula>C$9&lt;8/24</formula>
    </cfRule>
  </conditionalFormatting>
  <conditionalFormatting sqref="C75:AF78">
    <cfRule type="expression" dxfId="1644" priority="213">
      <formula>C$9&gt;=20/24</formula>
    </cfRule>
    <cfRule type="expression" dxfId="1643" priority="214">
      <formula>AND(C$9&gt;=14/24,C$9&lt;20/24)</formula>
    </cfRule>
    <cfRule type="expression" dxfId="1642" priority="215">
      <formula>AND(C$9&gt;=8/24,C$9&lt;14/24)</formula>
    </cfRule>
    <cfRule type="expression" dxfId="1641" priority="216">
      <formula>C$9&lt;8/24</formula>
    </cfRule>
  </conditionalFormatting>
  <conditionalFormatting sqref="O3:P3">
    <cfRule type="iconSet" priority="260">
      <iconSet iconSet="3TrafficLights2" reverse="1">
        <cfvo type="percent" val="0"/>
        <cfvo type="num" val="1"/>
        <cfvo type="num" val="1"/>
      </iconSet>
    </cfRule>
  </conditionalFormatting>
  <conditionalFormatting sqref="Q45:X49 M48:P49">
    <cfRule type="expression" dxfId="1640" priority="186">
      <formula>M$9&gt;=20/24</formula>
    </cfRule>
    <cfRule type="expression" dxfId="1639" priority="187">
      <formula>AND(M$9&gt;=14/24,M$9&lt;20/24)</formula>
    </cfRule>
    <cfRule type="expression" dxfId="1638" priority="189">
      <formula>M$9&lt;8/24</formula>
    </cfRule>
    <cfRule type="expression" dxfId="1637" priority="188">
      <formula>AND(M$9&gt;=8/24,M$9&lt;14/24)</formula>
    </cfRule>
  </conditionalFormatting>
  <conditionalFormatting sqref="S8 AB8 B8 M8">
    <cfRule type="expression" dxfId="1636" priority="262">
      <formula>C$9&gt;=20/24</formula>
    </cfRule>
  </conditionalFormatting>
  <conditionalFormatting sqref="S8">
    <cfRule type="expression" dxfId="1635" priority="233">
      <formula>AND(U$9&gt;=8/24,U$9&lt;14/24)</formula>
    </cfRule>
    <cfRule type="expression" dxfId="1634" priority="232">
      <formula>AND(U$9&gt;=14/24,U$9&lt;20/24)</formula>
    </cfRule>
    <cfRule type="expression" dxfId="1633" priority="231">
      <formula>U$9&gt;=20/24</formula>
    </cfRule>
    <cfRule type="expression" dxfId="1632" priority="234">
      <formula>U$9&lt;8/24</formula>
    </cfRule>
  </conditionalFormatting>
  <conditionalFormatting sqref="T237">
    <cfRule type="expression" dxfId="1631" priority="275">
      <formula>AX$9&gt;=20/24</formula>
    </cfRule>
    <cfRule type="expression" dxfId="1630" priority="276">
      <formula>AND(AX$9&gt;=14/24,AX$9&lt;20/24)</formula>
    </cfRule>
    <cfRule type="expression" dxfId="1629" priority="277">
      <formula>AND(AX$9&gt;=8/24,AX$9&lt;14/24)</formula>
    </cfRule>
    <cfRule type="expression" dxfId="1628" priority="278">
      <formula>AX$9&lt;8/24</formula>
    </cfRule>
  </conditionalFormatting>
  <conditionalFormatting sqref="V3 AB3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Y48:AD56">
    <cfRule type="expression" dxfId="1627" priority="50">
      <formula>Y$9&lt;8/24</formula>
    </cfRule>
    <cfRule type="expression" dxfId="1626" priority="49">
      <formula>AND(Y$9&gt;=8/24,Y$9&lt;14/24)</formula>
    </cfRule>
    <cfRule type="expression" dxfId="1625" priority="48">
      <formula>AND(Y$9&gt;=14/24,Y$9&lt;20/24)</formula>
    </cfRule>
    <cfRule type="expression" dxfId="1624" priority="47">
      <formula>Y$9&gt;=20/24</formula>
    </cfRule>
  </conditionalFormatting>
  <conditionalFormatting sqref="Y30:AF30">
    <cfRule type="expression" dxfId="1623" priority="29">
      <formula>Y$9&gt;=20/24</formula>
    </cfRule>
    <cfRule type="expression" dxfId="1622" priority="32">
      <formula>Y$9&lt;8/24</formula>
    </cfRule>
    <cfRule type="expression" dxfId="1621" priority="31">
      <formula>AND(Y$9&gt;=8/24,Y$9&lt;14/24)</formula>
    </cfRule>
    <cfRule type="expression" dxfId="1620" priority="30">
      <formula>AND(Y$9&gt;=14/24,Y$9&lt;20/24)</formula>
    </cfRule>
  </conditionalFormatting>
  <conditionalFormatting sqref="Y31:AF37">
    <cfRule type="expression" dxfId="1619" priority="196">
      <formula>Y$9&gt;=20/24</formula>
    </cfRule>
    <cfRule type="expression" dxfId="1618" priority="197">
      <formula>AND(Y$9&gt;=14/24,Y$9&lt;20/24)</formula>
    </cfRule>
    <cfRule type="expression" dxfId="1617" priority="198">
      <formula>AND(Y$9&gt;=8/24,Y$9&lt;14/24)</formula>
    </cfRule>
    <cfRule type="expression" dxfId="1616" priority="199">
      <formula>Y$9&lt;8/24</formula>
    </cfRule>
  </conditionalFormatting>
  <conditionalFormatting sqref="Y45:AF47">
    <cfRule type="expression" dxfId="1615" priority="220">
      <formula>AND(Y$9&gt;=8/24,Y$9&lt;14/24)</formula>
    </cfRule>
    <cfRule type="expression" dxfId="1614" priority="219">
      <formula>AND(Y$9&gt;=14/24,Y$9&lt;20/24)</formula>
    </cfRule>
    <cfRule type="expression" dxfId="1613" priority="218">
      <formula>Y$9&gt;=20/24</formula>
    </cfRule>
    <cfRule type="expression" dxfId="1612" priority="221">
      <formula>Y$9&lt;8/24</formula>
    </cfRule>
  </conditionalFormatting>
  <conditionalFormatting sqref="AB8">
    <cfRule type="expression" dxfId="1611" priority="227">
      <formula>AD$9&gt;=20/24</formula>
    </cfRule>
    <cfRule type="expression" dxfId="1610" priority="228">
      <formula>AND(AD$9&gt;=14/24,AD$9&lt;20/24)</formula>
    </cfRule>
    <cfRule type="expression" dxfId="1609" priority="229">
      <formula>AND(AD$9&gt;=8/24,AD$9&lt;14/24)</formula>
    </cfRule>
    <cfRule type="expression" dxfId="1608" priority="230">
      <formula>AD$9&lt;8/24</formula>
    </cfRule>
  </conditionalFormatting>
  <conditionalFormatting sqref="AE50:AF56">
    <cfRule type="expression" dxfId="1607" priority="193">
      <formula>AND(AE$9&gt;=8/24,AE$9&lt;14/24)</formula>
    </cfRule>
    <cfRule type="expression" dxfId="1606" priority="192">
      <formula>AND(AE$9&gt;=14/24,AE$9&lt;20/24)</formula>
    </cfRule>
    <cfRule type="expression" dxfId="1605" priority="191">
      <formula>AE$9&gt;=20/24</formula>
    </cfRule>
    <cfRule type="expression" dxfId="1604" priority="194">
      <formula>AE$9&lt;8/24</formula>
    </cfRule>
  </conditionalFormatting>
  <conditionalFormatting sqref="AG237">
    <cfRule type="expression" dxfId="1603" priority="267">
      <formula>B$9&gt;=20/24</formula>
    </cfRule>
    <cfRule type="expression" dxfId="1602" priority="268">
      <formula>AND(B$9&gt;=14/24,B$9&lt;20/24)</formula>
    </cfRule>
    <cfRule type="expression" dxfId="1601" priority="269">
      <formula>AND(B$9&gt;=8/24,B$9&lt;14/24)</formula>
    </cfRule>
    <cfRule type="expression" dxfId="1600" priority="270">
      <formula>B$9&lt;8/24</formula>
    </cfRule>
  </conditionalFormatting>
  <conditionalFormatting sqref="AH237:AX237">
    <cfRule type="expression" dxfId="1599" priority="271">
      <formula>AG$9&gt;=20/24</formula>
    </cfRule>
    <cfRule type="expression" dxfId="1598" priority="272">
      <formula>AND(AG$9&gt;=14/24,AG$9&lt;20/24)</formula>
    </cfRule>
    <cfRule type="expression" dxfId="1597" priority="273">
      <formula>AND(AG$9&gt;=8/24,AG$9&lt;14/24)</formula>
    </cfRule>
    <cfRule type="expression" dxfId="1596" priority="274">
      <formula>AG$9&lt;8/24</formula>
    </cfRule>
  </conditionalFormatting>
  <conditionalFormatting sqref="AL4:AL6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AL17">
    <cfRule type="iconSet" priority="45">
      <iconSet iconSet="3TrafficLights2" reverse="1">
        <cfvo type="percent" val="0"/>
        <cfvo type="num" val="1"/>
        <cfvo type="num" val="1"/>
      </iconSet>
    </cfRule>
  </conditionalFormatting>
  <conditionalFormatting sqref="AL30">
    <cfRule type="iconSet" priority="34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76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AL36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AL37 AL34 AL18:AL29 AL7:AL16 AL31:AL32">
    <cfRule type="iconSet" priority="279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5" id="{62129D81-E9A1-490E-9ADA-519702CEA47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72" id="{8130EE6B-22D5-43A3-91D7-9F6C2795558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3" id="{18470F5B-3BBB-4063-8A2A-2D37C632683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4" id="{4CD9395A-4A14-4706-83B8-5B2D4E5E7F5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15" id="{03D0DFD4-F139-4ACA-9D1C-0F9C7A5D8A4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" id="{D04DC395-B11C-45C2-9C0B-D9417FBAE5B1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" id="{A62AD30F-B349-46E1-8DBD-C7526E1C4936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" id="{5E10ADCC-068C-45B0-85D4-D3F209E9511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B109:AF109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J270"/>
  <sheetViews>
    <sheetView zoomScale="90" zoomScaleNormal="90" workbookViewId="0">
      <pane xSplit="1" ySplit="10" topLeftCell="B41" activePane="bottomRight" state="frozen"/>
      <selection activeCell="AF88" sqref="AF88"/>
      <selection pane="topRight" activeCell="AF88" sqref="AF88"/>
      <selection pane="bottomLeft" activeCell="AF88" sqref="AF88"/>
      <selection pane="bottomRight" activeCell="D126" sqref="D126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>
        <f>56.4/66</f>
        <v>0.8545454545454545</v>
      </c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2079/06/6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1657MW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Load=1333</v>
      </c>
      <c r="B7" s="35">
        <f t="shared" ref="B7:AF7" si="1">B81</f>
        <v>1448.94</v>
      </c>
      <c r="C7" s="35">
        <f t="shared" si="1"/>
        <v>1373.94</v>
      </c>
      <c r="D7" s="35">
        <f t="shared" si="1"/>
        <v>1361.04</v>
      </c>
      <c r="E7" s="35">
        <f t="shared" si="1"/>
        <v>1357.64</v>
      </c>
      <c r="F7" s="35">
        <f t="shared" si="1"/>
        <v>1332.64</v>
      </c>
      <c r="G7" s="35">
        <f t="shared" si="1"/>
        <v>1348.1399999999999</v>
      </c>
      <c r="H7" s="35">
        <f t="shared" si="1"/>
        <v>1389.84</v>
      </c>
      <c r="I7" s="35">
        <f t="shared" si="1"/>
        <v>1384.64</v>
      </c>
      <c r="J7" s="35">
        <f t="shared" si="1"/>
        <v>1506.5400000000002</v>
      </c>
      <c r="K7" s="35">
        <f t="shared" si="1"/>
        <v>1574.0400000000002</v>
      </c>
      <c r="L7" s="35">
        <f t="shared" si="1"/>
        <v>1566.44</v>
      </c>
      <c r="M7" s="35">
        <f t="shared" si="1"/>
        <v>1602.54</v>
      </c>
      <c r="N7" s="35">
        <f t="shared" si="1"/>
        <v>1656.54</v>
      </c>
      <c r="O7" s="35">
        <f t="shared" si="1"/>
        <v>1515.04</v>
      </c>
      <c r="P7" s="35">
        <f t="shared" si="1"/>
        <v>1506.54</v>
      </c>
      <c r="Q7" s="35">
        <f t="shared" si="1"/>
        <v>1481.54</v>
      </c>
      <c r="R7" s="35">
        <f t="shared" si="1"/>
        <v>1502.2400000000002</v>
      </c>
      <c r="S7" s="35">
        <f t="shared" si="1"/>
        <v>1467.14</v>
      </c>
      <c r="T7" s="35">
        <f t="shared" si="1"/>
        <v>1510.8400000000001</v>
      </c>
      <c r="U7" s="35">
        <f t="shared" si="1"/>
        <v>1467.74</v>
      </c>
      <c r="V7" s="35">
        <f t="shared" si="1"/>
        <v>1491.64</v>
      </c>
      <c r="W7" s="35">
        <f t="shared" si="1"/>
        <v>1612.24</v>
      </c>
      <c r="X7" s="35">
        <f t="shared" si="1"/>
        <v>1784.4399999999998</v>
      </c>
      <c r="Y7" s="35">
        <f t="shared" si="1"/>
        <v>1742.3400000000001</v>
      </c>
      <c r="Z7" s="35">
        <f t="shared" si="1"/>
        <v>1685.7399999999998</v>
      </c>
      <c r="AA7" s="35">
        <f t="shared" si="1"/>
        <v>1688.7399999999998</v>
      </c>
      <c r="AB7" s="35">
        <f t="shared" si="1"/>
        <v>1606.34</v>
      </c>
      <c r="AC7" s="35">
        <f t="shared" si="1"/>
        <v>1606.54</v>
      </c>
      <c r="AD7" s="35">
        <f t="shared" si="1"/>
        <v>1526.84</v>
      </c>
      <c r="AE7" s="35">
        <f t="shared" si="1"/>
        <v>1421.5400000000002</v>
      </c>
      <c r="AF7" s="35">
        <f t="shared" si="1"/>
        <v>1378.8400000000001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6">
        <v>53</v>
      </c>
      <c r="C11" s="46">
        <v>53</v>
      </c>
      <c r="D11" s="46">
        <v>53</v>
      </c>
      <c r="E11" s="46">
        <v>53</v>
      </c>
      <c r="F11" s="46">
        <v>53</v>
      </c>
      <c r="G11" s="46">
        <v>53</v>
      </c>
      <c r="H11" s="46">
        <v>53</v>
      </c>
      <c r="I11" s="46">
        <v>53</v>
      </c>
      <c r="J11" s="46">
        <v>53</v>
      </c>
      <c r="K11" s="46">
        <v>53</v>
      </c>
      <c r="L11" s="46">
        <v>53</v>
      </c>
      <c r="M11" s="45">
        <v>52.8</v>
      </c>
      <c r="N11" s="45">
        <v>52.8</v>
      </c>
      <c r="O11" s="45">
        <v>52.8</v>
      </c>
      <c r="P11" s="45">
        <v>52.8</v>
      </c>
      <c r="Q11" s="45">
        <v>52.8</v>
      </c>
      <c r="R11" s="45">
        <v>52.8</v>
      </c>
      <c r="S11" s="45">
        <v>53</v>
      </c>
      <c r="T11" s="45">
        <v>53</v>
      </c>
      <c r="U11" s="45">
        <v>53</v>
      </c>
      <c r="V11" s="45">
        <v>53</v>
      </c>
      <c r="W11" s="45">
        <v>53</v>
      </c>
      <c r="X11" s="45">
        <v>53</v>
      </c>
      <c r="Y11" s="46">
        <v>53</v>
      </c>
      <c r="Z11" s="46">
        <v>53</v>
      </c>
      <c r="AA11" s="46">
        <v>53</v>
      </c>
      <c r="AB11" s="46">
        <v>53</v>
      </c>
      <c r="AC11" s="46">
        <v>53</v>
      </c>
      <c r="AD11" s="46">
        <v>53</v>
      </c>
      <c r="AE11" s="46">
        <v>53</v>
      </c>
      <c r="AF11" s="46">
        <v>53</v>
      </c>
      <c r="AG11" s="47">
        <v>52.4</v>
      </c>
      <c r="AH11" s="48">
        <f>MAX(B11:AF11)</f>
        <v>53</v>
      </c>
      <c r="AI11" s="49">
        <f>MIN(B11:AF11)</f>
        <v>52.8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50.5</v>
      </c>
      <c r="C12" s="45">
        <v>50.6</v>
      </c>
      <c r="D12" s="45">
        <v>50.5</v>
      </c>
      <c r="E12" s="45">
        <v>50.5</v>
      </c>
      <c r="F12" s="45">
        <v>50.5</v>
      </c>
      <c r="G12" s="45">
        <v>50.5</v>
      </c>
      <c r="H12" s="45">
        <v>50.5</v>
      </c>
      <c r="I12" s="45">
        <v>50.5</v>
      </c>
      <c r="J12" s="45">
        <v>50.5</v>
      </c>
      <c r="K12" s="45">
        <v>50.5</v>
      </c>
      <c r="L12" s="45">
        <v>50.5</v>
      </c>
      <c r="M12" s="45">
        <v>50.5</v>
      </c>
      <c r="N12" s="45">
        <v>50.5</v>
      </c>
      <c r="O12" s="45">
        <v>50.5</v>
      </c>
      <c r="P12" s="45">
        <v>50.5</v>
      </c>
      <c r="Q12" s="45">
        <v>50.5</v>
      </c>
      <c r="R12" s="45">
        <v>50.5</v>
      </c>
      <c r="S12" s="45">
        <v>50.3</v>
      </c>
      <c r="T12" s="45">
        <v>50.3</v>
      </c>
      <c r="U12" s="45">
        <v>50.3</v>
      </c>
      <c r="V12" s="45">
        <v>50.3</v>
      </c>
      <c r="W12" s="45">
        <v>50.3</v>
      </c>
      <c r="X12" s="45">
        <v>50.3</v>
      </c>
      <c r="Y12" s="45">
        <v>50.3</v>
      </c>
      <c r="Z12" s="45">
        <v>50.3</v>
      </c>
      <c r="AA12" s="45">
        <v>50.3</v>
      </c>
      <c r="AB12" s="45">
        <v>50.3</v>
      </c>
      <c r="AC12" s="45">
        <v>50.3</v>
      </c>
      <c r="AD12" s="45">
        <v>50.3</v>
      </c>
      <c r="AE12" s="45">
        <v>50.3</v>
      </c>
      <c r="AF12" s="45">
        <v>50.3</v>
      </c>
      <c r="AG12" s="51">
        <v>50</v>
      </c>
      <c r="AH12" s="48">
        <f t="shared" ref="AH12:AH75" si="2">MAX(B12:AF12)</f>
        <v>50.6</v>
      </c>
      <c r="AI12" s="49">
        <f t="shared" ref="AI12:AI75" si="3">MIN(B12:AF12)</f>
        <v>50.3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36</v>
      </c>
      <c r="C13" s="45">
        <v>36</v>
      </c>
      <c r="D13" s="45">
        <v>36</v>
      </c>
      <c r="E13" s="45">
        <v>36</v>
      </c>
      <c r="F13" s="45">
        <v>36</v>
      </c>
      <c r="G13" s="45">
        <v>36</v>
      </c>
      <c r="H13" s="45">
        <v>36</v>
      </c>
      <c r="I13" s="45">
        <v>36</v>
      </c>
      <c r="J13" s="45">
        <v>46</v>
      </c>
      <c r="K13" s="45">
        <v>46</v>
      </c>
      <c r="L13" s="45">
        <v>46</v>
      </c>
      <c r="M13" s="45">
        <v>46.2</v>
      </c>
      <c r="N13" s="45">
        <v>46.2</v>
      </c>
      <c r="O13" s="45">
        <v>46.2</v>
      </c>
      <c r="P13" s="45">
        <v>46.2</v>
      </c>
      <c r="Q13" s="45">
        <v>46.2</v>
      </c>
      <c r="R13" s="45">
        <v>46.2</v>
      </c>
      <c r="S13" s="45">
        <v>46.1</v>
      </c>
      <c r="T13" s="45">
        <v>46.1</v>
      </c>
      <c r="U13" s="45">
        <v>46.1</v>
      </c>
      <c r="V13" s="45">
        <v>46.1</v>
      </c>
      <c r="W13" s="45">
        <v>46.1</v>
      </c>
      <c r="X13" s="45">
        <v>46.1</v>
      </c>
      <c r="Y13" s="45">
        <v>37.200000000000003</v>
      </c>
      <c r="Z13" s="45">
        <v>37.200000000000003</v>
      </c>
      <c r="AA13" s="45">
        <v>37.200000000000003</v>
      </c>
      <c r="AB13" s="45">
        <v>46</v>
      </c>
      <c r="AC13" s="45">
        <v>46</v>
      </c>
      <c r="AD13" s="45">
        <v>40</v>
      </c>
      <c r="AE13" s="45">
        <v>36</v>
      </c>
      <c r="AF13" s="45">
        <v>36</v>
      </c>
      <c r="AG13" s="51">
        <v>45</v>
      </c>
      <c r="AH13" s="48">
        <f t="shared" si="2"/>
        <v>46.2</v>
      </c>
      <c r="AI13" s="49">
        <f t="shared" si="3"/>
        <v>36</v>
      </c>
      <c r="AK13" s="165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20</v>
      </c>
      <c r="C14" s="45">
        <v>20</v>
      </c>
      <c r="D14" s="45">
        <v>20</v>
      </c>
      <c r="E14" s="45">
        <v>20</v>
      </c>
      <c r="F14" s="45">
        <v>20</v>
      </c>
      <c r="G14" s="45">
        <v>20</v>
      </c>
      <c r="H14" s="45">
        <v>20</v>
      </c>
      <c r="I14" s="45">
        <v>20</v>
      </c>
      <c r="J14" s="45">
        <v>28</v>
      </c>
      <c r="K14" s="45">
        <v>28</v>
      </c>
      <c r="L14" s="45">
        <v>28</v>
      </c>
      <c r="M14" s="45">
        <v>28</v>
      </c>
      <c r="N14" s="45">
        <v>28</v>
      </c>
      <c r="O14" s="45">
        <v>28</v>
      </c>
      <c r="P14" s="45">
        <v>21</v>
      </c>
      <c r="Q14" s="45">
        <v>21</v>
      </c>
      <c r="R14" s="45">
        <v>21</v>
      </c>
      <c r="S14" s="45">
        <v>21</v>
      </c>
      <c r="T14" s="45">
        <v>28</v>
      </c>
      <c r="U14" s="45">
        <v>28</v>
      </c>
      <c r="V14" s="45">
        <v>28</v>
      </c>
      <c r="W14" s="45">
        <v>28</v>
      </c>
      <c r="X14" s="45">
        <v>35</v>
      </c>
      <c r="Y14" s="45">
        <v>35</v>
      </c>
      <c r="Z14" s="45">
        <v>35</v>
      </c>
      <c r="AA14" s="45">
        <v>30</v>
      </c>
      <c r="AB14" s="45">
        <v>28</v>
      </c>
      <c r="AC14" s="45">
        <v>28</v>
      </c>
      <c r="AD14" s="45">
        <v>20</v>
      </c>
      <c r="AE14" s="45">
        <v>15.5</v>
      </c>
      <c r="AF14" s="45">
        <v>15.5</v>
      </c>
      <c r="AG14" s="51">
        <v>42</v>
      </c>
      <c r="AH14" s="48">
        <f t="shared" si="2"/>
        <v>35</v>
      </c>
      <c r="AI14" s="49">
        <f t="shared" si="3"/>
        <v>15.5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10</v>
      </c>
      <c r="N15" s="45">
        <v>10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20.9</v>
      </c>
      <c r="Y15" s="45">
        <v>20.9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52">
        <v>30</v>
      </c>
      <c r="AH15" s="48">
        <f t="shared" si="2"/>
        <v>20.9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23</v>
      </c>
      <c r="C16" s="45">
        <v>23</v>
      </c>
      <c r="D16" s="45">
        <v>23</v>
      </c>
      <c r="E16" s="45">
        <v>23</v>
      </c>
      <c r="F16" s="45">
        <v>23</v>
      </c>
      <c r="G16" s="45">
        <v>23</v>
      </c>
      <c r="H16" s="45">
        <v>23</v>
      </c>
      <c r="I16" s="45">
        <v>23</v>
      </c>
      <c r="J16" s="45">
        <v>23</v>
      </c>
      <c r="K16" s="45">
        <v>23</v>
      </c>
      <c r="L16" s="45">
        <v>23</v>
      </c>
      <c r="M16" s="45">
        <v>23</v>
      </c>
      <c r="N16" s="45">
        <v>23</v>
      </c>
      <c r="O16" s="45">
        <v>23</v>
      </c>
      <c r="P16" s="45">
        <v>20</v>
      </c>
      <c r="Q16" s="45">
        <v>20</v>
      </c>
      <c r="R16" s="45">
        <v>20</v>
      </c>
      <c r="S16" s="45">
        <v>20.7</v>
      </c>
      <c r="T16" s="45">
        <v>20.7</v>
      </c>
      <c r="U16" s="45">
        <v>20.7</v>
      </c>
      <c r="V16" s="45">
        <v>20.7</v>
      </c>
      <c r="W16" s="45">
        <v>20.7</v>
      </c>
      <c r="X16" s="45">
        <v>33</v>
      </c>
      <c r="Y16" s="45">
        <v>33</v>
      </c>
      <c r="Z16" s="45">
        <v>25</v>
      </c>
      <c r="AA16" s="45">
        <v>33</v>
      </c>
      <c r="AB16" s="45">
        <v>15.4</v>
      </c>
      <c r="AC16" s="45">
        <v>15.4</v>
      </c>
      <c r="AD16" s="45">
        <v>20.5</v>
      </c>
      <c r="AE16" s="45">
        <v>20.5</v>
      </c>
      <c r="AF16" s="45">
        <v>20.5</v>
      </c>
      <c r="AG16" s="51">
        <v>24.2</v>
      </c>
      <c r="AH16" s="48">
        <f t="shared" si="2"/>
        <v>33</v>
      </c>
      <c r="AI16" s="49">
        <f t="shared" si="3"/>
        <v>15.4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9</v>
      </c>
      <c r="N17" s="45">
        <v>9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20</v>
      </c>
      <c r="Y17" s="45">
        <v>20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52">
        <v>30</v>
      </c>
      <c r="AH17" s="48">
        <f t="shared" si="2"/>
        <v>20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0</v>
      </c>
      <c r="C18" s="45">
        <v>0</v>
      </c>
      <c r="D18" s="45">
        <v>0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45">
        <v>20.8</v>
      </c>
      <c r="K18" s="45">
        <v>25.3</v>
      </c>
      <c r="L18" s="45">
        <v>25.3</v>
      </c>
      <c r="M18" s="45">
        <v>25.3</v>
      </c>
      <c r="N18" s="45">
        <v>25.3</v>
      </c>
      <c r="O18" s="45">
        <v>25.3</v>
      </c>
      <c r="P18" s="45">
        <v>25.3</v>
      </c>
      <c r="Q18" s="45">
        <v>25.3</v>
      </c>
      <c r="R18" s="45">
        <v>20</v>
      </c>
      <c r="S18" s="45">
        <v>20.9</v>
      </c>
      <c r="T18" s="45">
        <v>20.9</v>
      </c>
      <c r="U18" s="45">
        <v>20.9</v>
      </c>
      <c r="V18" s="45">
        <v>20.9</v>
      </c>
      <c r="W18" s="45">
        <v>20.9</v>
      </c>
      <c r="X18" s="45">
        <v>20.9</v>
      </c>
      <c r="Y18" s="45">
        <v>20.9</v>
      </c>
      <c r="Z18" s="45">
        <v>20.9</v>
      </c>
      <c r="AA18" s="45">
        <v>20.9</v>
      </c>
      <c r="AB18" s="45">
        <v>20.9</v>
      </c>
      <c r="AC18" s="45">
        <v>20.9</v>
      </c>
      <c r="AD18" s="45">
        <v>20.9</v>
      </c>
      <c r="AE18" s="45">
        <v>10</v>
      </c>
      <c r="AF18" s="45">
        <v>10</v>
      </c>
      <c r="AG18" s="51">
        <v>25</v>
      </c>
      <c r="AH18" s="48">
        <f t="shared" si="2"/>
        <v>25.3</v>
      </c>
      <c r="AI18" s="49">
        <f t="shared" si="3"/>
        <v>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25</v>
      </c>
      <c r="C19" s="45">
        <v>25</v>
      </c>
      <c r="D19" s="45">
        <v>20</v>
      </c>
      <c r="E19" s="45">
        <v>20</v>
      </c>
      <c r="F19" s="45">
        <v>20</v>
      </c>
      <c r="G19" s="45">
        <v>20</v>
      </c>
      <c r="H19" s="45">
        <v>20</v>
      </c>
      <c r="I19" s="45">
        <v>20</v>
      </c>
      <c r="J19" s="45">
        <v>20</v>
      </c>
      <c r="K19" s="45">
        <v>20</v>
      </c>
      <c r="L19" s="45">
        <v>25</v>
      </c>
      <c r="M19" s="45">
        <v>25</v>
      </c>
      <c r="N19" s="45">
        <v>25</v>
      </c>
      <c r="O19" s="45">
        <v>12.5</v>
      </c>
      <c r="P19" s="45">
        <v>25</v>
      </c>
      <c r="Q19" s="45">
        <v>25</v>
      </c>
      <c r="R19" s="45">
        <v>25</v>
      </c>
      <c r="S19" s="45">
        <v>25</v>
      </c>
      <c r="T19" s="45">
        <v>25</v>
      </c>
      <c r="U19" s="45">
        <v>25</v>
      </c>
      <c r="V19" s="45">
        <v>25</v>
      </c>
      <c r="W19" s="45">
        <v>25</v>
      </c>
      <c r="X19" s="45">
        <v>25</v>
      </c>
      <c r="Y19" s="45">
        <v>25</v>
      </c>
      <c r="Z19" s="45">
        <v>25</v>
      </c>
      <c r="AA19" s="45">
        <v>25</v>
      </c>
      <c r="AB19" s="45">
        <v>25</v>
      </c>
      <c r="AC19" s="45">
        <v>25</v>
      </c>
      <c r="AD19" s="45">
        <v>25</v>
      </c>
      <c r="AE19" s="45">
        <v>25</v>
      </c>
      <c r="AF19" s="45">
        <v>22</v>
      </c>
      <c r="AG19" s="51">
        <v>25</v>
      </c>
      <c r="AH19" s="48">
        <f t="shared" si="2"/>
        <v>25</v>
      </c>
      <c r="AI19" s="49">
        <f t="shared" si="3"/>
        <v>12.5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25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20</v>
      </c>
      <c r="K20" s="45">
        <v>25</v>
      </c>
      <c r="L20" s="45">
        <v>25</v>
      </c>
      <c r="M20" s="45">
        <v>25</v>
      </c>
      <c r="N20" s="45">
        <v>25</v>
      </c>
      <c r="O20" s="45">
        <v>25</v>
      </c>
      <c r="P20" s="45">
        <v>25</v>
      </c>
      <c r="Q20" s="45">
        <v>25</v>
      </c>
      <c r="R20" s="45">
        <v>25</v>
      </c>
      <c r="S20" s="45">
        <v>25</v>
      </c>
      <c r="T20" s="45">
        <v>25</v>
      </c>
      <c r="U20" s="45">
        <v>25</v>
      </c>
      <c r="V20" s="45">
        <v>25</v>
      </c>
      <c r="W20" s="45">
        <v>25</v>
      </c>
      <c r="X20" s="45">
        <v>25</v>
      </c>
      <c r="Y20" s="45">
        <v>25</v>
      </c>
      <c r="Z20" s="45">
        <v>25</v>
      </c>
      <c r="AA20" s="45">
        <v>25</v>
      </c>
      <c r="AB20" s="45">
        <v>25</v>
      </c>
      <c r="AC20" s="45">
        <v>25</v>
      </c>
      <c r="AD20" s="45">
        <v>10</v>
      </c>
      <c r="AE20" s="45">
        <v>10</v>
      </c>
      <c r="AF20" s="45">
        <v>10</v>
      </c>
      <c r="AG20" s="51">
        <v>25</v>
      </c>
      <c r="AH20" s="48">
        <f t="shared" si="2"/>
        <v>25</v>
      </c>
      <c r="AI20" s="49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23</v>
      </c>
      <c r="C21" s="45">
        <v>23</v>
      </c>
      <c r="D21" s="45">
        <v>23</v>
      </c>
      <c r="E21" s="45">
        <v>23</v>
      </c>
      <c r="F21" s="45">
        <v>23</v>
      </c>
      <c r="G21" s="45">
        <v>23</v>
      </c>
      <c r="H21" s="45">
        <v>23</v>
      </c>
      <c r="I21" s="45">
        <v>23</v>
      </c>
      <c r="J21" s="45">
        <v>23</v>
      </c>
      <c r="K21" s="45">
        <v>23</v>
      </c>
      <c r="L21" s="45">
        <v>23</v>
      </c>
      <c r="M21" s="45">
        <v>23.1</v>
      </c>
      <c r="N21" s="45">
        <v>23.1</v>
      </c>
      <c r="O21" s="45">
        <v>23.1</v>
      </c>
      <c r="P21" s="45">
        <v>23.1</v>
      </c>
      <c r="Q21" s="45">
        <v>23.1</v>
      </c>
      <c r="R21" s="45">
        <v>23.1</v>
      </c>
      <c r="S21" s="45">
        <v>23.1</v>
      </c>
      <c r="T21" s="45">
        <v>23.1</v>
      </c>
      <c r="U21" s="45">
        <v>23.1</v>
      </c>
      <c r="V21" s="45">
        <v>23.1</v>
      </c>
      <c r="W21" s="45">
        <v>23.1</v>
      </c>
      <c r="X21" s="45">
        <v>23.1</v>
      </c>
      <c r="Y21" s="45">
        <v>23.1</v>
      </c>
      <c r="Z21" s="45">
        <v>23.1</v>
      </c>
      <c r="AA21" s="45">
        <v>23.1</v>
      </c>
      <c r="AB21" s="45">
        <v>23.1</v>
      </c>
      <c r="AC21" s="45">
        <v>23.1</v>
      </c>
      <c r="AD21" s="45">
        <v>23.1</v>
      </c>
      <c r="AE21" s="45">
        <v>23.1</v>
      </c>
      <c r="AF21" s="45">
        <v>23.1</v>
      </c>
      <c r="AG21" s="51">
        <v>23.5</v>
      </c>
      <c r="AH21" s="48">
        <f t="shared" si="2"/>
        <v>23.1</v>
      </c>
      <c r="AI21" s="49">
        <f t="shared" si="3"/>
        <v>23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22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10</v>
      </c>
      <c r="K22" s="45">
        <v>18</v>
      </c>
      <c r="L22" s="45">
        <v>18</v>
      </c>
      <c r="M22" s="45">
        <v>18</v>
      </c>
      <c r="N22" s="45">
        <v>18</v>
      </c>
      <c r="O22" s="45">
        <v>18</v>
      </c>
      <c r="P22" s="45">
        <v>18</v>
      </c>
      <c r="Q22" s="45">
        <v>18</v>
      </c>
      <c r="R22" s="45">
        <v>18</v>
      </c>
      <c r="S22" s="45">
        <v>18</v>
      </c>
      <c r="T22" s="45">
        <v>18</v>
      </c>
      <c r="U22" s="45">
        <v>18</v>
      </c>
      <c r="V22" s="45">
        <v>18</v>
      </c>
      <c r="W22" s="45">
        <v>18</v>
      </c>
      <c r="X22" s="45">
        <v>18</v>
      </c>
      <c r="Y22" s="45">
        <v>18</v>
      </c>
      <c r="Z22" s="45">
        <v>18</v>
      </c>
      <c r="AA22" s="45">
        <v>18</v>
      </c>
      <c r="AB22" s="45">
        <v>18</v>
      </c>
      <c r="AC22" s="45">
        <v>18</v>
      </c>
      <c r="AD22" s="45">
        <v>12</v>
      </c>
      <c r="AE22" s="45">
        <v>12</v>
      </c>
      <c r="AF22" s="45">
        <v>8</v>
      </c>
      <c r="AG22" s="51">
        <v>22.2</v>
      </c>
      <c r="AH22" s="48">
        <f t="shared" si="2"/>
        <v>22</v>
      </c>
      <c r="AI22" s="49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22</v>
      </c>
      <c r="C23" s="45">
        <v>22</v>
      </c>
      <c r="D23" s="45">
        <v>22</v>
      </c>
      <c r="E23" s="45">
        <v>22</v>
      </c>
      <c r="F23" s="45">
        <v>15</v>
      </c>
      <c r="G23" s="45">
        <v>15</v>
      </c>
      <c r="H23" s="45">
        <v>15</v>
      </c>
      <c r="I23" s="45">
        <v>15</v>
      </c>
      <c r="J23" s="45">
        <v>15</v>
      </c>
      <c r="K23" s="45">
        <v>18</v>
      </c>
      <c r="L23" s="45">
        <v>18</v>
      </c>
      <c r="M23" s="45">
        <v>18</v>
      </c>
      <c r="N23" s="45">
        <v>18</v>
      </c>
      <c r="O23" s="45">
        <v>18</v>
      </c>
      <c r="P23" s="45">
        <v>18</v>
      </c>
      <c r="Q23" s="45">
        <v>18</v>
      </c>
      <c r="R23" s="45">
        <v>18</v>
      </c>
      <c r="S23" s="45">
        <v>18</v>
      </c>
      <c r="T23" s="45">
        <v>18</v>
      </c>
      <c r="U23" s="45">
        <v>18</v>
      </c>
      <c r="V23" s="45">
        <v>18</v>
      </c>
      <c r="W23" s="45">
        <v>18</v>
      </c>
      <c r="X23" s="45">
        <v>18</v>
      </c>
      <c r="Y23" s="45">
        <v>18</v>
      </c>
      <c r="Z23" s="45">
        <v>18</v>
      </c>
      <c r="AA23" s="45">
        <v>18</v>
      </c>
      <c r="AB23" s="45">
        <v>18</v>
      </c>
      <c r="AC23" s="45">
        <v>18</v>
      </c>
      <c r="AD23" s="45">
        <v>18</v>
      </c>
      <c r="AE23" s="45">
        <v>18</v>
      </c>
      <c r="AF23" s="45">
        <v>18</v>
      </c>
      <c r="AG23" s="51">
        <v>22.1</v>
      </c>
      <c r="AH23" s="48">
        <f t="shared" si="2"/>
        <v>22</v>
      </c>
      <c r="AI23" s="49">
        <f t="shared" si="3"/>
        <v>15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20</v>
      </c>
      <c r="C24" s="45">
        <v>20</v>
      </c>
      <c r="D24" s="45">
        <v>20</v>
      </c>
      <c r="E24" s="45">
        <v>21</v>
      </c>
      <c r="F24" s="45">
        <v>19</v>
      </c>
      <c r="G24" s="45">
        <v>19</v>
      </c>
      <c r="H24" s="45">
        <v>19</v>
      </c>
      <c r="I24" s="45">
        <v>19</v>
      </c>
      <c r="J24" s="45">
        <v>22</v>
      </c>
      <c r="K24" s="45">
        <v>22</v>
      </c>
      <c r="L24" s="45">
        <v>22</v>
      </c>
      <c r="M24" s="45">
        <v>22</v>
      </c>
      <c r="N24" s="45">
        <v>22</v>
      </c>
      <c r="O24" s="45">
        <v>22</v>
      </c>
      <c r="P24" s="45">
        <v>22</v>
      </c>
      <c r="Q24" s="45">
        <v>22</v>
      </c>
      <c r="R24" s="45">
        <v>22</v>
      </c>
      <c r="S24" s="45">
        <v>22</v>
      </c>
      <c r="T24" s="45">
        <v>22</v>
      </c>
      <c r="U24" s="45">
        <v>22</v>
      </c>
      <c r="V24" s="45">
        <v>22</v>
      </c>
      <c r="W24" s="45">
        <v>22</v>
      </c>
      <c r="X24" s="45">
        <v>22</v>
      </c>
      <c r="Y24" s="45">
        <v>22</v>
      </c>
      <c r="Z24" s="45">
        <v>22</v>
      </c>
      <c r="AA24" s="45">
        <v>22</v>
      </c>
      <c r="AB24" s="45">
        <v>22</v>
      </c>
      <c r="AC24" s="45">
        <v>22</v>
      </c>
      <c r="AD24" s="45">
        <v>22</v>
      </c>
      <c r="AE24" s="45">
        <v>22</v>
      </c>
      <c r="AF24" s="45">
        <v>22</v>
      </c>
      <c r="AG24" s="51">
        <v>22</v>
      </c>
      <c r="AH24" s="48">
        <f t="shared" si="2"/>
        <v>22</v>
      </c>
      <c r="AI24" s="49">
        <f t="shared" si="3"/>
        <v>19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15</v>
      </c>
      <c r="K25" s="45">
        <v>22</v>
      </c>
      <c r="L25" s="45">
        <v>22</v>
      </c>
      <c r="M25" s="45">
        <v>22</v>
      </c>
      <c r="N25" s="45">
        <v>22</v>
      </c>
      <c r="O25" s="45">
        <v>22</v>
      </c>
      <c r="P25" s="45">
        <v>22</v>
      </c>
      <c r="Q25" s="45">
        <v>22</v>
      </c>
      <c r="R25" s="45">
        <v>22</v>
      </c>
      <c r="S25" s="45">
        <v>22</v>
      </c>
      <c r="T25" s="45">
        <v>22</v>
      </c>
      <c r="U25" s="45">
        <v>22</v>
      </c>
      <c r="V25" s="45">
        <v>22</v>
      </c>
      <c r="W25" s="45">
        <v>22</v>
      </c>
      <c r="X25" s="45">
        <v>22</v>
      </c>
      <c r="Y25" s="45">
        <v>22</v>
      </c>
      <c r="Z25" s="45">
        <v>22</v>
      </c>
      <c r="AA25" s="45">
        <v>22</v>
      </c>
      <c r="AB25" s="45">
        <v>22</v>
      </c>
      <c r="AC25" s="45">
        <v>22</v>
      </c>
      <c r="AD25" s="45">
        <v>22</v>
      </c>
      <c r="AE25" s="45">
        <v>22</v>
      </c>
      <c r="AF25" s="45">
        <v>22</v>
      </c>
      <c r="AG25" s="51">
        <v>22</v>
      </c>
      <c r="AH25" s="48">
        <f t="shared" si="2"/>
        <v>22</v>
      </c>
      <c r="AI25" s="49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5</v>
      </c>
      <c r="N26" s="45">
        <v>5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10</v>
      </c>
      <c r="Y26" s="45">
        <v>10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14</v>
      </c>
      <c r="C27" s="45">
        <v>14</v>
      </c>
      <c r="D27" s="45">
        <v>14</v>
      </c>
      <c r="E27" s="45">
        <v>14</v>
      </c>
      <c r="F27" s="45">
        <v>12</v>
      </c>
      <c r="G27" s="45">
        <v>12</v>
      </c>
      <c r="H27" s="45">
        <v>12</v>
      </c>
      <c r="I27" s="45">
        <v>12</v>
      </c>
      <c r="J27" s="45">
        <v>12</v>
      </c>
      <c r="K27" s="45">
        <v>12</v>
      </c>
      <c r="L27" s="45">
        <v>12</v>
      </c>
      <c r="M27" s="45">
        <v>12</v>
      </c>
      <c r="N27" s="45">
        <v>12</v>
      </c>
      <c r="O27" s="45">
        <v>12</v>
      </c>
      <c r="P27" s="45">
        <v>12</v>
      </c>
      <c r="Q27" s="45">
        <v>12</v>
      </c>
      <c r="R27" s="45">
        <v>12</v>
      </c>
      <c r="S27" s="45">
        <v>12</v>
      </c>
      <c r="T27" s="45">
        <v>12</v>
      </c>
      <c r="U27" s="45">
        <v>12</v>
      </c>
      <c r="V27" s="45">
        <v>12</v>
      </c>
      <c r="W27" s="45">
        <v>12</v>
      </c>
      <c r="X27" s="45">
        <v>12</v>
      </c>
      <c r="Y27" s="45">
        <v>12</v>
      </c>
      <c r="Z27" s="45">
        <v>12</v>
      </c>
      <c r="AA27" s="45">
        <v>12</v>
      </c>
      <c r="AB27" s="45">
        <v>12</v>
      </c>
      <c r="AC27" s="45">
        <v>12</v>
      </c>
      <c r="AD27" s="45">
        <v>12</v>
      </c>
      <c r="AE27" s="45">
        <v>12</v>
      </c>
      <c r="AF27" s="45">
        <v>12</v>
      </c>
      <c r="AG27" s="51">
        <v>14.9</v>
      </c>
      <c r="AH27" s="48">
        <f t="shared" si="2"/>
        <v>14</v>
      </c>
      <c r="AI27" s="49">
        <f t="shared" si="3"/>
        <v>12</v>
      </c>
      <c r="AK27" s="167"/>
      <c r="AL27" s="166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6.8</v>
      </c>
      <c r="C28" s="45">
        <v>6.8</v>
      </c>
      <c r="D28" s="45">
        <v>6.8</v>
      </c>
      <c r="E28" s="45">
        <v>6.8</v>
      </c>
      <c r="F28" s="45">
        <v>6.8</v>
      </c>
      <c r="G28" s="45">
        <v>6.8</v>
      </c>
      <c r="H28" s="45">
        <v>6.8</v>
      </c>
      <c r="I28" s="45">
        <v>6.8</v>
      </c>
      <c r="J28" s="45">
        <v>6.8</v>
      </c>
      <c r="K28" s="45">
        <v>6.8</v>
      </c>
      <c r="L28" s="45">
        <v>6.8</v>
      </c>
      <c r="M28" s="45">
        <v>6.8</v>
      </c>
      <c r="N28" s="45">
        <v>6.8</v>
      </c>
      <c r="O28" s="45">
        <v>6.8</v>
      </c>
      <c r="P28" s="45">
        <v>6.8</v>
      </c>
      <c r="Q28" s="45">
        <v>6.8</v>
      </c>
      <c r="R28" s="45">
        <v>6.8</v>
      </c>
      <c r="S28" s="45">
        <v>6.8</v>
      </c>
      <c r="T28" s="45">
        <v>6.8</v>
      </c>
      <c r="U28" s="45">
        <v>6.8</v>
      </c>
      <c r="V28" s="45">
        <v>6.8</v>
      </c>
      <c r="W28" s="45">
        <v>6.8</v>
      </c>
      <c r="X28" s="45">
        <v>6.8</v>
      </c>
      <c r="Y28" s="45">
        <v>6.8</v>
      </c>
      <c r="Z28" s="45">
        <v>6.8</v>
      </c>
      <c r="AA28" s="45">
        <v>6.8</v>
      </c>
      <c r="AB28" s="45">
        <v>6.8</v>
      </c>
      <c r="AC28" s="45">
        <v>6.8</v>
      </c>
      <c r="AD28" s="45">
        <v>6.8</v>
      </c>
      <c r="AE28" s="45">
        <v>6.8</v>
      </c>
      <c r="AF28" s="45">
        <v>6.8</v>
      </c>
      <c r="AG28" s="51">
        <v>13.6</v>
      </c>
      <c r="AH28" s="48">
        <f t="shared" si="2"/>
        <v>6.8</v>
      </c>
      <c r="AI28" s="49">
        <f t="shared" si="3"/>
        <v>6.8</v>
      </c>
      <c r="AK28" s="165">
        <v>300</v>
      </c>
      <c r="AL28" s="166" t="s">
        <v>7</v>
      </c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0</v>
      </c>
      <c r="C29" s="45">
        <v>0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10</v>
      </c>
      <c r="K29" s="45">
        <v>13</v>
      </c>
      <c r="L29" s="45">
        <v>13</v>
      </c>
      <c r="M29" s="45">
        <v>13</v>
      </c>
      <c r="N29" s="45">
        <v>13</v>
      </c>
      <c r="O29" s="45">
        <v>13</v>
      </c>
      <c r="P29" s="45">
        <v>13</v>
      </c>
      <c r="Q29" s="45">
        <v>13</v>
      </c>
      <c r="R29" s="45">
        <v>13</v>
      </c>
      <c r="S29" s="45">
        <v>13</v>
      </c>
      <c r="T29" s="45">
        <v>13</v>
      </c>
      <c r="U29" s="45">
        <v>13</v>
      </c>
      <c r="V29" s="45">
        <v>13</v>
      </c>
      <c r="W29" s="45">
        <v>13</v>
      </c>
      <c r="X29" s="45">
        <v>13</v>
      </c>
      <c r="Y29" s="45">
        <v>13</v>
      </c>
      <c r="Z29" s="45">
        <v>13</v>
      </c>
      <c r="AA29" s="45">
        <v>13</v>
      </c>
      <c r="AB29" s="45">
        <v>13</v>
      </c>
      <c r="AC29" s="45">
        <v>13</v>
      </c>
      <c r="AD29" s="45">
        <v>13</v>
      </c>
      <c r="AE29" s="45">
        <v>13</v>
      </c>
      <c r="AF29" s="45">
        <v>13</v>
      </c>
      <c r="AG29" s="51">
        <v>13</v>
      </c>
      <c r="AH29" s="48">
        <f t="shared" si="2"/>
        <v>13</v>
      </c>
      <c r="AI29" s="49">
        <f t="shared" si="3"/>
        <v>0</v>
      </c>
      <c r="AK29" s="168">
        <v>1700</v>
      </c>
      <c r="AL29" s="166" t="s">
        <v>245</v>
      </c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5</v>
      </c>
      <c r="N30" s="45">
        <v>5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6</v>
      </c>
      <c r="Y30" s="45">
        <v>6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51">
        <v>12</v>
      </c>
      <c r="AH30" s="48">
        <f t="shared" si="2"/>
        <v>6</v>
      </c>
      <c r="AI30" s="49">
        <f t="shared" si="3"/>
        <v>0</v>
      </c>
      <c r="AK30" s="165">
        <v>1300</v>
      </c>
      <c r="AL30" s="166" t="s">
        <v>246</v>
      </c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12</v>
      </c>
      <c r="C31" s="45">
        <v>4</v>
      </c>
      <c r="D31" s="45">
        <v>4</v>
      </c>
      <c r="E31" s="45">
        <v>4</v>
      </c>
      <c r="F31" s="45">
        <v>4</v>
      </c>
      <c r="G31" s="45">
        <v>4</v>
      </c>
      <c r="H31" s="45">
        <v>4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4</v>
      </c>
      <c r="AF31" s="45">
        <v>4</v>
      </c>
      <c r="AG31" s="51">
        <v>12</v>
      </c>
      <c r="AH31" s="48">
        <f t="shared" si="2"/>
        <v>12</v>
      </c>
      <c r="AI31" s="49">
        <f t="shared" si="3"/>
        <v>4</v>
      </c>
      <c r="AK31" s="165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3</v>
      </c>
      <c r="C32" s="45">
        <v>3</v>
      </c>
      <c r="D32" s="45">
        <v>3</v>
      </c>
      <c r="E32" s="45">
        <v>3</v>
      </c>
      <c r="F32" s="45">
        <v>3</v>
      </c>
      <c r="G32" s="45">
        <v>3</v>
      </c>
      <c r="H32" s="45">
        <v>3</v>
      </c>
      <c r="I32" s="45">
        <v>3</v>
      </c>
      <c r="J32" s="45">
        <v>3</v>
      </c>
      <c r="K32" s="45">
        <v>3</v>
      </c>
      <c r="L32" s="45">
        <v>3</v>
      </c>
      <c r="M32" s="45">
        <v>12</v>
      </c>
      <c r="N32" s="45">
        <v>6</v>
      </c>
      <c r="O32" s="45">
        <v>6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1">
        <v>12</v>
      </c>
      <c r="AH32" s="48">
        <f t="shared" si="2"/>
        <v>12</v>
      </c>
      <c r="AI32" s="49">
        <f t="shared" si="3"/>
        <v>0</v>
      </c>
      <c r="AK32" s="165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8.1999999999999993</v>
      </c>
      <c r="N33" s="45">
        <v>8.1999999999999993</v>
      </c>
      <c r="O33" s="45">
        <v>8.1999999999999993</v>
      </c>
      <c r="P33" s="45">
        <v>8.1999999999999993</v>
      </c>
      <c r="Q33" s="45">
        <v>8.1999999999999993</v>
      </c>
      <c r="R33" s="45">
        <v>8.1999999999999993</v>
      </c>
      <c r="S33" s="45">
        <v>8.1999999999999993</v>
      </c>
      <c r="T33" s="45">
        <v>8.1999999999999993</v>
      </c>
      <c r="U33" s="45">
        <v>8.1999999999999993</v>
      </c>
      <c r="V33" s="45">
        <v>8.1999999999999993</v>
      </c>
      <c r="W33" s="45">
        <v>8.1999999999999993</v>
      </c>
      <c r="X33" s="45">
        <v>8.1999999999999993</v>
      </c>
      <c r="Y33" s="45">
        <v>8.1999999999999993</v>
      </c>
      <c r="Z33" s="45">
        <v>8.1999999999999993</v>
      </c>
      <c r="AA33" s="45">
        <v>8.1999999999999993</v>
      </c>
      <c r="AB33" s="45">
        <v>8.1999999999999993</v>
      </c>
      <c r="AC33" s="45">
        <v>8.1999999999999993</v>
      </c>
      <c r="AD33" s="45">
        <v>8.1999999999999993</v>
      </c>
      <c r="AE33" s="45">
        <v>8.1999999999999993</v>
      </c>
      <c r="AF33" s="45">
        <v>8.1999999999999993</v>
      </c>
      <c r="AG33" s="53">
        <v>22</v>
      </c>
      <c r="AH33" s="48">
        <f t="shared" si="2"/>
        <v>8.1999999999999993</v>
      </c>
      <c r="AI33" s="49">
        <f t="shared" si="3"/>
        <v>0</v>
      </c>
      <c r="AK33" s="165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10</v>
      </c>
      <c r="K34" s="45">
        <v>11</v>
      </c>
      <c r="L34" s="45">
        <v>11</v>
      </c>
      <c r="M34" s="45">
        <v>11</v>
      </c>
      <c r="N34" s="45">
        <v>11</v>
      </c>
      <c r="O34" s="45">
        <v>11</v>
      </c>
      <c r="P34" s="45">
        <v>11</v>
      </c>
      <c r="Q34" s="45">
        <v>11</v>
      </c>
      <c r="R34" s="45">
        <v>11</v>
      </c>
      <c r="S34" s="45">
        <v>11</v>
      </c>
      <c r="T34" s="45">
        <v>11</v>
      </c>
      <c r="U34" s="45">
        <v>11</v>
      </c>
      <c r="V34" s="45">
        <v>11</v>
      </c>
      <c r="W34" s="45">
        <v>11</v>
      </c>
      <c r="X34" s="45">
        <v>11</v>
      </c>
      <c r="Y34" s="45">
        <v>11</v>
      </c>
      <c r="Z34" s="45">
        <v>11</v>
      </c>
      <c r="AA34" s="45">
        <v>11</v>
      </c>
      <c r="AB34" s="45">
        <v>11</v>
      </c>
      <c r="AC34" s="45">
        <v>11</v>
      </c>
      <c r="AD34" s="45">
        <v>11</v>
      </c>
      <c r="AE34" s="45">
        <v>11</v>
      </c>
      <c r="AF34" s="45">
        <v>11</v>
      </c>
      <c r="AG34" s="52">
        <v>11.88</v>
      </c>
      <c r="AH34" s="48">
        <f t="shared" si="2"/>
        <v>11</v>
      </c>
      <c r="AI34" s="49">
        <f t="shared" si="3"/>
        <v>0</v>
      </c>
      <c r="AK34" s="165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11</v>
      </c>
      <c r="C35" s="45">
        <v>5</v>
      </c>
      <c r="D35" s="45">
        <v>5</v>
      </c>
      <c r="E35" s="45">
        <v>5</v>
      </c>
      <c r="F35" s="45">
        <v>5</v>
      </c>
      <c r="G35" s="45">
        <v>5</v>
      </c>
      <c r="H35" s="45">
        <v>5</v>
      </c>
      <c r="I35" s="45">
        <v>5</v>
      </c>
      <c r="J35" s="45">
        <v>5</v>
      </c>
      <c r="K35" s="45">
        <v>11</v>
      </c>
      <c r="L35" s="45">
        <v>11</v>
      </c>
      <c r="M35" s="45">
        <v>11</v>
      </c>
      <c r="N35" s="45">
        <v>11</v>
      </c>
      <c r="O35" s="45">
        <v>11</v>
      </c>
      <c r="P35" s="45">
        <v>11</v>
      </c>
      <c r="Q35" s="45">
        <v>11</v>
      </c>
      <c r="R35" s="45">
        <v>11</v>
      </c>
      <c r="S35" s="45">
        <v>11</v>
      </c>
      <c r="T35" s="45">
        <v>11</v>
      </c>
      <c r="U35" s="45">
        <v>11</v>
      </c>
      <c r="V35" s="45">
        <v>11</v>
      </c>
      <c r="W35" s="45">
        <v>11</v>
      </c>
      <c r="X35" s="45">
        <v>11</v>
      </c>
      <c r="Y35" s="45">
        <v>11</v>
      </c>
      <c r="Z35" s="45">
        <v>11</v>
      </c>
      <c r="AA35" s="45">
        <v>11</v>
      </c>
      <c r="AB35" s="45">
        <v>11</v>
      </c>
      <c r="AC35" s="45">
        <v>11</v>
      </c>
      <c r="AD35" s="45">
        <v>11</v>
      </c>
      <c r="AE35" s="45">
        <v>11</v>
      </c>
      <c r="AF35" s="45">
        <v>11</v>
      </c>
      <c r="AG35" s="55">
        <v>11</v>
      </c>
      <c r="AH35" s="48">
        <f t="shared" si="2"/>
        <v>11</v>
      </c>
      <c r="AI35" s="49">
        <f t="shared" si="3"/>
        <v>5</v>
      </c>
      <c r="AK35" s="165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9.3000000000000007</v>
      </c>
      <c r="C36" s="45">
        <v>9.3000000000000007</v>
      </c>
      <c r="D36" s="45">
        <v>9.3000000000000007</v>
      </c>
      <c r="E36" s="45">
        <v>9.3000000000000007</v>
      </c>
      <c r="F36" s="45">
        <v>9.3000000000000007</v>
      </c>
      <c r="G36" s="45">
        <v>9.3000000000000007</v>
      </c>
      <c r="H36" s="45">
        <v>9.3000000000000007</v>
      </c>
      <c r="I36" s="45">
        <v>9.3000000000000007</v>
      </c>
      <c r="J36" s="45">
        <v>9.3000000000000007</v>
      </c>
      <c r="K36" s="45">
        <v>9.3000000000000007</v>
      </c>
      <c r="L36" s="45">
        <v>9.3000000000000007</v>
      </c>
      <c r="M36" s="45">
        <v>9.3000000000000007</v>
      </c>
      <c r="N36" s="45">
        <v>9.3000000000000007</v>
      </c>
      <c r="O36" s="45">
        <v>9.3000000000000007</v>
      </c>
      <c r="P36" s="45">
        <v>9.3000000000000007</v>
      </c>
      <c r="Q36" s="45">
        <v>9.3000000000000007</v>
      </c>
      <c r="R36" s="45">
        <v>9.3000000000000007</v>
      </c>
      <c r="S36" s="45">
        <v>9.3000000000000007</v>
      </c>
      <c r="T36" s="45">
        <v>9.3000000000000007</v>
      </c>
      <c r="U36" s="45">
        <v>9.3000000000000007</v>
      </c>
      <c r="V36" s="45">
        <v>9.3000000000000007</v>
      </c>
      <c r="W36" s="45">
        <v>9.3000000000000007</v>
      </c>
      <c r="X36" s="45">
        <v>9.3000000000000007</v>
      </c>
      <c r="Y36" s="45">
        <v>9.3000000000000007</v>
      </c>
      <c r="Z36" s="45">
        <v>9.3000000000000007</v>
      </c>
      <c r="AA36" s="45">
        <v>9.3000000000000007</v>
      </c>
      <c r="AB36" s="45">
        <v>9.3000000000000007</v>
      </c>
      <c r="AC36" s="45">
        <v>9.3000000000000007</v>
      </c>
      <c r="AD36" s="45">
        <v>9.3000000000000007</v>
      </c>
      <c r="AE36" s="45">
        <v>9.3000000000000007</v>
      </c>
      <c r="AF36" s="45">
        <v>9.3000000000000007</v>
      </c>
      <c r="AG36" s="55">
        <v>10</v>
      </c>
      <c r="AH36" s="48">
        <f t="shared" si="2"/>
        <v>9.3000000000000007</v>
      </c>
      <c r="AI36" s="49">
        <f t="shared" si="3"/>
        <v>9.3000000000000007</v>
      </c>
      <c r="AK36" s="165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0</v>
      </c>
      <c r="AI37" s="49">
        <f t="shared" si="3"/>
        <v>0</v>
      </c>
      <c r="AK37" s="165">
        <f>52/66</f>
        <v>0.78787878787878785</v>
      </c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300</v>
      </c>
      <c r="C38" s="57">
        <v>300</v>
      </c>
      <c r="D38" s="57">
        <v>300</v>
      </c>
      <c r="E38" s="57">
        <v>300</v>
      </c>
      <c r="F38" s="57">
        <v>300</v>
      </c>
      <c r="G38" s="57">
        <v>300</v>
      </c>
      <c r="H38" s="57">
        <v>300</v>
      </c>
      <c r="I38" s="57">
        <v>300</v>
      </c>
      <c r="J38" s="57">
        <v>300</v>
      </c>
      <c r="K38" s="57">
        <v>300</v>
      </c>
      <c r="L38" s="57">
        <v>300</v>
      </c>
      <c r="M38" s="57">
        <v>300</v>
      </c>
      <c r="N38" s="57">
        <v>300</v>
      </c>
      <c r="O38" s="57">
        <v>300</v>
      </c>
      <c r="P38" s="57">
        <v>300</v>
      </c>
      <c r="Q38" s="57">
        <v>300</v>
      </c>
      <c r="R38" s="57">
        <v>300</v>
      </c>
      <c r="S38" s="57">
        <v>300</v>
      </c>
      <c r="T38" s="57">
        <v>300</v>
      </c>
      <c r="U38" s="57">
        <v>300</v>
      </c>
      <c r="V38" s="57">
        <v>300</v>
      </c>
      <c r="W38" s="57">
        <v>300</v>
      </c>
      <c r="X38" s="57">
        <v>300</v>
      </c>
      <c r="Y38" s="57">
        <v>300</v>
      </c>
      <c r="Z38" s="57">
        <v>300</v>
      </c>
      <c r="AA38" s="57">
        <v>300</v>
      </c>
      <c r="AB38" s="57">
        <v>300</v>
      </c>
      <c r="AC38" s="57">
        <v>300</v>
      </c>
      <c r="AD38" s="57">
        <v>300</v>
      </c>
      <c r="AE38" s="57">
        <v>300</v>
      </c>
      <c r="AF38" s="57">
        <v>300</v>
      </c>
      <c r="AG38" s="55">
        <v>85</v>
      </c>
      <c r="AH38" s="48">
        <f t="shared" si="2"/>
        <v>300</v>
      </c>
      <c r="AI38" s="49">
        <f t="shared" si="3"/>
        <v>300</v>
      </c>
      <c r="AK38" s="165">
        <f>456*AK37</f>
        <v>359.27272727272725</v>
      </c>
    </row>
    <row r="39" spans="1:88" ht="15.75" thickBot="1" x14ac:dyDescent="0.3">
      <c r="A39" s="58" t="s">
        <v>47</v>
      </c>
      <c r="B39" s="59">
        <f>65.1+97.1</f>
        <v>162.19999999999999</v>
      </c>
      <c r="C39" s="59">
        <f>72.8+95.8</f>
        <v>168.6</v>
      </c>
      <c r="D39" s="59">
        <f>71.5+96.8</f>
        <v>168.3</v>
      </c>
      <c r="E39" s="59">
        <f>41.9+95.7</f>
        <v>137.6</v>
      </c>
      <c r="F39" s="59">
        <f>63.4+95.2</f>
        <v>158.6</v>
      </c>
      <c r="G39" s="59">
        <f>76.3+95.2</f>
        <v>171.5</v>
      </c>
      <c r="H39" s="59">
        <f>63.7+54.2</f>
        <v>117.9</v>
      </c>
      <c r="I39" s="59">
        <f>69.8+86</f>
        <v>155.80000000000001</v>
      </c>
      <c r="J39" s="59">
        <f>69.4+92.4</f>
        <v>161.80000000000001</v>
      </c>
      <c r="K39" s="59">
        <f>70.6+85</f>
        <v>155.6</v>
      </c>
      <c r="L39" s="57">
        <f>77+94.1</f>
        <v>171.1</v>
      </c>
      <c r="M39" s="57">
        <f>96.8+77.1</f>
        <v>173.89999999999998</v>
      </c>
      <c r="N39" s="57"/>
      <c r="O39" s="57">
        <f>72.3+61.6</f>
        <v>133.9</v>
      </c>
      <c r="P39" s="57">
        <f>97.3+78.3</f>
        <v>175.6</v>
      </c>
      <c r="Q39" s="57">
        <f>93.2+74.6</f>
        <v>167.8</v>
      </c>
      <c r="R39" s="57">
        <f>98.5+74.2</f>
        <v>172.7</v>
      </c>
      <c r="S39" s="57">
        <f>69.4+99.3</f>
        <v>168.7</v>
      </c>
      <c r="T39" s="57">
        <v>167</v>
      </c>
      <c r="U39" s="57">
        <f>69+98</f>
        <v>167</v>
      </c>
      <c r="V39" s="57">
        <f>68.7+96.1</f>
        <v>164.8</v>
      </c>
      <c r="W39" s="57">
        <f>68+95.2</f>
        <v>163.19999999999999</v>
      </c>
      <c r="X39" s="57">
        <f>68+95.2</f>
        <v>163.19999999999999</v>
      </c>
      <c r="Y39" s="59">
        <v>166.6</v>
      </c>
      <c r="Z39" s="59">
        <f>73.8+94.1</f>
        <v>167.89999999999998</v>
      </c>
      <c r="AA39" s="59">
        <f>73.8+94.1</f>
        <v>167.89999999999998</v>
      </c>
      <c r="AB39" s="59">
        <f>74.4+91.6</f>
        <v>166</v>
      </c>
      <c r="AC39" s="59">
        <f>93.9+65.1</f>
        <v>159</v>
      </c>
      <c r="AD39" s="59">
        <f>95.4+75</f>
        <v>170.4</v>
      </c>
      <c r="AE39" s="59">
        <v>172</v>
      </c>
      <c r="AF39" s="59">
        <f>94.2+70.1</f>
        <v>164.3</v>
      </c>
      <c r="AG39" s="55">
        <v>240</v>
      </c>
      <c r="AH39" s="48">
        <f t="shared" si="2"/>
        <v>175.6</v>
      </c>
      <c r="AI39" s="49">
        <f t="shared" si="3"/>
        <v>117.9</v>
      </c>
      <c r="AK39" s="50"/>
    </row>
    <row r="40" spans="1:88" ht="15.75" thickBot="1" x14ac:dyDescent="0.3">
      <c r="A40" s="60" t="s">
        <v>48</v>
      </c>
      <c r="B40" s="61">
        <f t="shared" ref="B40" si="4">SUM(B11:B38)</f>
        <v>675.6</v>
      </c>
      <c r="C40" s="61">
        <f t="shared" ref="C40:AG40" si="5">SUM(C11:C38)</f>
        <v>624.70000000000005</v>
      </c>
      <c r="D40" s="61">
        <f t="shared" si="5"/>
        <v>619.6</v>
      </c>
      <c r="E40" s="61">
        <f t="shared" si="5"/>
        <v>620.6</v>
      </c>
      <c r="F40" s="61">
        <f t="shared" si="5"/>
        <v>609.6</v>
      </c>
      <c r="G40" s="61">
        <f t="shared" si="5"/>
        <v>609.6</v>
      </c>
      <c r="H40" s="61">
        <f t="shared" si="5"/>
        <v>609.6</v>
      </c>
      <c r="I40" s="61">
        <f t="shared" si="5"/>
        <v>617.6</v>
      </c>
      <c r="J40" s="61">
        <f t="shared" si="5"/>
        <v>714.40000000000009</v>
      </c>
      <c r="K40" s="61">
        <f t="shared" si="5"/>
        <v>751.90000000000009</v>
      </c>
      <c r="L40" s="61">
        <f t="shared" si="5"/>
        <v>756.90000000000009</v>
      </c>
      <c r="M40" s="61">
        <f t="shared" si="5"/>
        <v>803.2</v>
      </c>
      <c r="N40" s="61">
        <f t="shared" si="5"/>
        <v>797.2</v>
      </c>
      <c r="O40" s="61">
        <f t="shared" si="5"/>
        <v>755.7</v>
      </c>
      <c r="P40" s="61">
        <f t="shared" si="5"/>
        <v>752.2</v>
      </c>
      <c r="Q40" s="61">
        <f t="shared" si="5"/>
        <v>752.2</v>
      </c>
      <c r="R40" s="61">
        <f t="shared" si="5"/>
        <v>746.90000000000009</v>
      </c>
      <c r="S40" s="61">
        <f t="shared" si="5"/>
        <v>748.40000000000009</v>
      </c>
      <c r="T40" s="61">
        <f t="shared" si="5"/>
        <v>755.40000000000009</v>
      </c>
      <c r="U40" s="61">
        <f t="shared" si="5"/>
        <v>755.40000000000009</v>
      </c>
      <c r="V40" s="61">
        <f t="shared" si="5"/>
        <v>755.40000000000009</v>
      </c>
      <c r="W40" s="61">
        <f t="shared" si="5"/>
        <v>755.40000000000009</v>
      </c>
      <c r="X40" s="61">
        <f t="shared" si="5"/>
        <v>831.59999999999991</v>
      </c>
      <c r="Y40" s="61">
        <v>810.40000000000009</v>
      </c>
      <c r="Z40" s="61">
        <f t="shared" si="5"/>
        <v>757.8</v>
      </c>
      <c r="AA40" s="61">
        <f t="shared" si="5"/>
        <v>760.8</v>
      </c>
      <c r="AB40" s="61">
        <f t="shared" si="5"/>
        <v>750</v>
      </c>
      <c r="AC40" s="61">
        <f t="shared" si="5"/>
        <v>750</v>
      </c>
      <c r="AD40" s="61">
        <f>SUM(AD11:AD38)</f>
        <v>720.1</v>
      </c>
      <c r="AE40" s="61">
        <f>SUM(AE11:AE38)</f>
        <v>692.7</v>
      </c>
      <c r="AF40" s="61">
        <f t="shared" si="5"/>
        <v>685.7</v>
      </c>
      <c r="AG40" s="62">
        <f t="shared" si="5"/>
        <v>707.78000000000009</v>
      </c>
      <c r="AH40" s="48">
        <f t="shared" si="2"/>
        <v>831.59999999999991</v>
      </c>
      <c r="AI40" s="49">
        <f t="shared" si="3"/>
        <v>609.6</v>
      </c>
      <c r="AK40" s="50"/>
    </row>
    <row r="41" spans="1:88" x14ac:dyDescent="0.25">
      <c r="A41" s="63" t="s">
        <v>49</v>
      </c>
      <c r="B41" s="45">
        <v>300</v>
      </c>
      <c r="C41" s="45">
        <v>300</v>
      </c>
      <c r="D41" s="45">
        <v>290</v>
      </c>
      <c r="E41" s="45">
        <v>290</v>
      </c>
      <c r="F41" s="45">
        <v>290</v>
      </c>
      <c r="G41" s="45">
        <v>310</v>
      </c>
      <c r="H41" s="45">
        <v>340</v>
      </c>
      <c r="I41" s="45">
        <v>320</v>
      </c>
      <c r="J41" s="45">
        <v>350</v>
      </c>
      <c r="K41" s="45">
        <v>380</v>
      </c>
      <c r="L41" s="45">
        <v>380</v>
      </c>
      <c r="M41" s="45">
        <v>380</v>
      </c>
      <c r="N41" s="45">
        <v>440</v>
      </c>
      <c r="O41" s="45">
        <v>330</v>
      </c>
      <c r="P41" s="45">
        <v>325</v>
      </c>
      <c r="Q41" s="45">
        <v>300</v>
      </c>
      <c r="R41" s="45">
        <v>335</v>
      </c>
      <c r="S41" s="45">
        <v>335</v>
      </c>
      <c r="T41" s="45">
        <v>335</v>
      </c>
      <c r="U41" s="45">
        <v>315</v>
      </c>
      <c r="V41" s="45">
        <v>290</v>
      </c>
      <c r="W41" s="45">
        <v>360</v>
      </c>
      <c r="X41" s="45">
        <v>456</v>
      </c>
      <c r="Y41" s="45">
        <v>430</v>
      </c>
      <c r="Z41" s="45">
        <v>426</v>
      </c>
      <c r="AA41" s="45">
        <v>426</v>
      </c>
      <c r="AB41" s="45">
        <v>340</v>
      </c>
      <c r="AC41" s="45">
        <v>340</v>
      </c>
      <c r="AD41" s="45">
        <v>290</v>
      </c>
      <c r="AE41" s="45">
        <v>240</v>
      </c>
      <c r="AF41" s="45">
        <v>260</v>
      </c>
      <c r="AG41" s="52">
        <v>456</v>
      </c>
      <c r="AH41" s="48">
        <f t="shared" si="2"/>
        <v>456</v>
      </c>
      <c r="AI41" s="49">
        <f t="shared" si="3"/>
        <v>240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13.1</v>
      </c>
      <c r="C43" s="67">
        <v>13.1</v>
      </c>
      <c r="D43" s="67">
        <v>15.1</v>
      </c>
      <c r="E43" s="67">
        <v>15.1</v>
      </c>
      <c r="F43" s="67">
        <v>15.1</v>
      </c>
      <c r="G43" s="67">
        <v>20.399999999999999</v>
      </c>
      <c r="H43" s="67">
        <v>20.5</v>
      </c>
      <c r="I43" s="67">
        <v>22.4</v>
      </c>
      <c r="J43" s="67">
        <v>22.4</v>
      </c>
      <c r="K43" s="67">
        <v>22.4</v>
      </c>
      <c r="L43" s="67">
        <v>22.4</v>
      </c>
      <c r="M43" s="67">
        <v>22.4</v>
      </c>
      <c r="N43" s="67">
        <v>22.4</v>
      </c>
      <c r="O43" s="67">
        <v>22.4</v>
      </c>
      <c r="P43" s="67">
        <v>22.4</v>
      </c>
      <c r="Q43" s="67">
        <v>22.4</v>
      </c>
      <c r="R43" s="67">
        <v>22.4</v>
      </c>
      <c r="S43" s="67">
        <v>22.4</v>
      </c>
      <c r="T43" s="67">
        <v>22</v>
      </c>
      <c r="U43" s="67">
        <v>22</v>
      </c>
      <c r="V43" s="67">
        <v>22</v>
      </c>
      <c r="W43" s="67">
        <v>22</v>
      </c>
      <c r="X43" s="67">
        <v>22</v>
      </c>
      <c r="Y43" s="67">
        <v>22</v>
      </c>
      <c r="Z43" s="67">
        <v>22</v>
      </c>
      <c r="AA43" s="67">
        <v>22</v>
      </c>
      <c r="AB43" s="67">
        <v>22</v>
      </c>
      <c r="AC43" s="67">
        <v>22</v>
      </c>
      <c r="AD43" s="67">
        <v>22</v>
      </c>
      <c r="AE43" s="67">
        <v>22</v>
      </c>
      <c r="AF43" s="67">
        <v>15</v>
      </c>
      <c r="AG43" s="68">
        <v>22.1</v>
      </c>
      <c r="AH43" s="48">
        <f t="shared" si="2"/>
        <v>22.4</v>
      </c>
      <c r="AI43" s="49">
        <f t="shared" si="3"/>
        <v>13.1</v>
      </c>
      <c r="AK43" s="50"/>
    </row>
    <row r="44" spans="1:88" ht="15.75" thickBot="1" x14ac:dyDescent="0.3">
      <c r="A44" s="69" t="s">
        <v>52</v>
      </c>
      <c r="B44" s="61">
        <f t="shared" ref="B44" si="6">SUM(B41:B43)</f>
        <v>373.1</v>
      </c>
      <c r="C44" s="61">
        <f t="shared" ref="C44:AG44" si="7">SUM(C41:C43)</f>
        <v>373.1</v>
      </c>
      <c r="D44" s="61">
        <f t="shared" si="7"/>
        <v>365.1</v>
      </c>
      <c r="E44" s="61">
        <f t="shared" si="7"/>
        <v>365.1</v>
      </c>
      <c r="F44" s="61">
        <f t="shared" si="7"/>
        <v>365.1</v>
      </c>
      <c r="G44" s="61">
        <f t="shared" si="7"/>
        <v>390.4</v>
      </c>
      <c r="H44" s="61">
        <f t="shared" si="7"/>
        <v>420.5</v>
      </c>
      <c r="I44" s="61">
        <f t="shared" si="7"/>
        <v>402.4</v>
      </c>
      <c r="J44" s="61">
        <f t="shared" si="7"/>
        <v>432.4</v>
      </c>
      <c r="K44" s="61">
        <f t="shared" si="7"/>
        <v>462.4</v>
      </c>
      <c r="L44" s="61">
        <f t="shared" si="7"/>
        <v>462.4</v>
      </c>
      <c r="M44" s="61">
        <f t="shared" si="7"/>
        <v>462.4</v>
      </c>
      <c r="N44" s="61">
        <f t="shared" si="7"/>
        <v>522.4</v>
      </c>
      <c r="O44" s="61">
        <f t="shared" si="7"/>
        <v>412.4</v>
      </c>
      <c r="P44" s="61">
        <f t="shared" si="7"/>
        <v>407.4</v>
      </c>
      <c r="Q44" s="61">
        <f t="shared" si="7"/>
        <v>382.4</v>
      </c>
      <c r="R44" s="61">
        <f t="shared" si="7"/>
        <v>417.4</v>
      </c>
      <c r="S44" s="61">
        <f t="shared" si="7"/>
        <v>417.4</v>
      </c>
      <c r="T44" s="61">
        <f t="shared" si="7"/>
        <v>417</v>
      </c>
      <c r="U44" s="61">
        <f t="shared" si="7"/>
        <v>397</v>
      </c>
      <c r="V44" s="61">
        <f t="shared" si="7"/>
        <v>372</v>
      </c>
      <c r="W44" s="61">
        <f t="shared" si="7"/>
        <v>442</v>
      </c>
      <c r="X44" s="61">
        <f t="shared" si="7"/>
        <v>538</v>
      </c>
      <c r="Y44" s="61">
        <v>512</v>
      </c>
      <c r="Z44" s="61">
        <f t="shared" si="7"/>
        <v>508</v>
      </c>
      <c r="AA44" s="61">
        <f t="shared" si="7"/>
        <v>508</v>
      </c>
      <c r="AB44" s="61">
        <f t="shared" si="7"/>
        <v>422</v>
      </c>
      <c r="AC44" s="61">
        <f t="shared" si="7"/>
        <v>422</v>
      </c>
      <c r="AD44" s="61">
        <f t="shared" si="7"/>
        <v>372</v>
      </c>
      <c r="AE44" s="61">
        <f t="shared" si="7"/>
        <v>322</v>
      </c>
      <c r="AF44" s="61">
        <f t="shared" si="7"/>
        <v>335</v>
      </c>
      <c r="AG44" s="62">
        <f t="shared" si="7"/>
        <v>538.1</v>
      </c>
      <c r="AH44" s="48">
        <f t="shared" si="2"/>
        <v>538</v>
      </c>
      <c r="AI44" s="49">
        <f t="shared" si="3"/>
        <v>322</v>
      </c>
      <c r="AK44" s="50"/>
    </row>
    <row r="45" spans="1:88" x14ac:dyDescent="0.25">
      <c r="A45" s="44" t="s">
        <v>53</v>
      </c>
      <c r="B45" s="45">
        <v>131.19999999999999</v>
      </c>
      <c r="C45" s="45">
        <v>121.4</v>
      </c>
      <c r="D45" s="45">
        <v>121.4</v>
      </c>
      <c r="E45" s="45">
        <v>121.4</v>
      </c>
      <c r="F45" s="45">
        <v>140</v>
      </c>
      <c r="G45" s="45">
        <v>130</v>
      </c>
      <c r="H45" s="45">
        <v>141</v>
      </c>
      <c r="I45" s="45">
        <v>141</v>
      </c>
      <c r="J45" s="45">
        <v>141</v>
      </c>
      <c r="K45" s="45">
        <v>141</v>
      </c>
      <c r="L45" s="45">
        <v>141</v>
      </c>
      <c r="M45" s="45">
        <v>141</v>
      </c>
      <c r="N45" s="45">
        <v>141</v>
      </c>
      <c r="O45" s="45">
        <v>141</v>
      </c>
      <c r="P45" s="45">
        <v>141</v>
      </c>
      <c r="Q45" s="45">
        <v>141</v>
      </c>
      <c r="R45" s="45">
        <v>141</v>
      </c>
      <c r="S45" s="45">
        <v>132.5</v>
      </c>
      <c r="T45" s="45">
        <v>142.4</v>
      </c>
      <c r="U45" s="45">
        <v>121</v>
      </c>
      <c r="V45" s="45">
        <v>131.30000000000001</v>
      </c>
      <c r="W45" s="45">
        <v>140.69999999999999</v>
      </c>
      <c r="X45" s="45">
        <v>140.69999999999999</v>
      </c>
      <c r="Y45" s="45">
        <v>140.69999999999999</v>
      </c>
      <c r="Z45" s="45">
        <v>140.69999999999999</v>
      </c>
      <c r="AA45" s="45">
        <v>140.69999999999999</v>
      </c>
      <c r="AB45" s="45">
        <v>142.19999999999999</v>
      </c>
      <c r="AC45" s="45">
        <v>142.19999999999999</v>
      </c>
      <c r="AD45" s="45">
        <v>142.30000000000001</v>
      </c>
      <c r="AE45" s="45">
        <v>125</v>
      </c>
      <c r="AF45" s="45">
        <v>73</v>
      </c>
      <c r="AG45" s="52">
        <v>144</v>
      </c>
      <c r="AH45" s="48">
        <f t="shared" si="2"/>
        <v>142.4</v>
      </c>
      <c r="AI45" s="49">
        <f t="shared" si="3"/>
        <v>73</v>
      </c>
      <c r="AK45" s="50"/>
    </row>
    <row r="46" spans="1:88" x14ac:dyDescent="0.25">
      <c r="A46" s="54" t="s">
        <v>54</v>
      </c>
      <c r="B46" s="65">
        <v>66.5</v>
      </c>
      <c r="C46" s="65">
        <v>66.099999999999994</v>
      </c>
      <c r="D46" s="65">
        <v>66.2</v>
      </c>
      <c r="E46" s="65">
        <v>66.2</v>
      </c>
      <c r="F46" s="65">
        <v>70</v>
      </c>
      <c r="G46" s="65">
        <v>70.2</v>
      </c>
      <c r="H46" s="65">
        <v>70.599999999999994</v>
      </c>
      <c r="I46" s="65">
        <v>70.599999999999994</v>
      </c>
      <c r="J46" s="65">
        <v>70.599999999999994</v>
      </c>
      <c r="K46" s="65">
        <v>70.599999999999994</v>
      </c>
      <c r="L46" s="65">
        <v>70.599999999999994</v>
      </c>
      <c r="M46" s="65">
        <v>70.599999999999994</v>
      </c>
      <c r="N46" s="65">
        <v>70.599999999999994</v>
      </c>
      <c r="O46" s="65">
        <v>70.599999999999994</v>
      </c>
      <c r="P46" s="65">
        <v>70.599999999999994</v>
      </c>
      <c r="Q46" s="65">
        <v>70.599999999999994</v>
      </c>
      <c r="R46" s="65">
        <v>70.599999999999994</v>
      </c>
      <c r="S46" s="65">
        <v>31.2</v>
      </c>
      <c r="T46" s="65">
        <v>35.799999999999997</v>
      </c>
      <c r="U46" s="65">
        <v>36</v>
      </c>
      <c r="V46" s="65">
        <v>50.4</v>
      </c>
      <c r="W46" s="65">
        <v>71</v>
      </c>
      <c r="X46" s="65">
        <v>71</v>
      </c>
      <c r="Y46" s="65">
        <v>71.099999999999994</v>
      </c>
      <c r="Z46" s="65">
        <v>71.099999999999994</v>
      </c>
      <c r="AA46" s="65">
        <v>71.099999999999994</v>
      </c>
      <c r="AB46" s="65">
        <v>71.5</v>
      </c>
      <c r="AC46" s="65">
        <v>71.599999999999994</v>
      </c>
      <c r="AD46" s="65">
        <v>71.900000000000006</v>
      </c>
      <c r="AE46" s="65">
        <v>61</v>
      </c>
      <c r="AF46" s="65">
        <v>70.2</v>
      </c>
      <c r="AG46" s="55">
        <v>70</v>
      </c>
      <c r="AH46" s="48">
        <f t="shared" si="2"/>
        <v>71.900000000000006</v>
      </c>
      <c r="AI46" s="49">
        <f t="shared" si="3"/>
        <v>31.2</v>
      </c>
      <c r="AK46" s="50"/>
    </row>
    <row r="47" spans="1:88" x14ac:dyDescent="0.25">
      <c r="A47" s="54" t="s">
        <v>55</v>
      </c>
      <c r="B47" s="65">
        <v>64</v>
      </c>
      <c r="C47" s="65">
        <v>59.1</v>
      </c>
      <c r="D47" s="65">
        <v>59.6</v>
      </c>
      <c r="E47" s="65">
        <v>59.6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24</v>
      </c>
      <c r="U47" s="65">
        <v>22.7</v>
      </c>
      <c r="V47" s="65">
        <v>62.9</v>
      </c>
      <c r="W47" s="65">
        <v>67.5</v>
      </c>
      <c r="X47" s="65">
        <v>67.5</v>
      </c>
      <c r="Y47" s="65">
        <v>68.099999999999994</v>
      </c>
      <c r="Z47" s="65">
        <v>68.099999999999994</v>
      </c>
      <c r="AA47" s="65">
        <v>68.099999999999994</v>
      </c>
      <c r="AB47" s="65">
        <v>68.5</v>
      </c>
      <c r="AC47" s="65">
        <v>68.8</v>
      </c>
      <c r="AD47" s="65">
        <v>68.599999999999994</v>
      </c>
      <c r="AE47" s="65">
        <v>68.900000000000006</v>
      </c>
      <c r="AF47" s="65">
        <v>69.400000000000006</v>
      </c>
      <c r="AG47" s="55">
        <v>69</v>
      </c>
      <c r="AH47" s="48">
        <f t="shared" si="2"/>
        <v>69.400000000000006</v>
      </c>
      <c r="AI47" s="49">
        <f t="shared" si="3"/>
        <v>0</v>
      </c>
      <c r="AK47" s="50"/>
    </row>
    <row r="48" spans="1:88" x14ac:dyDescent="0.25">
      <c r="A48" s="54" t="s">
        <v>56</v>
      </c>
      <c r="B48" s="57">
        <v>50.1</v>
      </c>
      <c r="C48" s="57">
        <v>41.1</v>
      </c>
      <c r="D48" s="57">
        <v>41.1</v>
      </c>
      <c r="E48" s="57">
        <v>41.1</v>
      </c>
      <c r="F48" s="57">
        <v>60</v>
      </c>
      <c r="G48" s="57">
        <v>60</v>
      </c>
      <c r="H48" s="57">
        <v>60.2</v>
      </c>
      <c r="I48" s="57">
        <v>60.2</v>
      </c>
      <c r="J48" s="57">
        <v>60.2</v>
      </c>
      <c r="K48" s="57">
        <v>60.2</v>
      </c>
      <c r="L48" s="57">
        <v>60.2</v>
      </c>
      <c r="M48" s="57">
        <v>50</v>
      </c>
      <c r="N48" s="57">
        <v>50</v>
      </c>
      <c r="O48" s="57">
        <v>60</v>
      </c>
      <c r="P48" s="57">
        <v>60</v>
      </c>
      <c r="Q48" s="57">
        <v>60</v>
      </c>
      <c r="R48" s="57">
        <v>60</v>
      </c>
      <c r="S48" s="57">
        <v>61.4</v>
      </c>
      <c r="T48" s="45">
        <v>61.4</v>
      </c>
      <c r="U48" s="45">
        <v>61</v>
      </c>
      <c r="V48" s="45">
        <v>45</v>
      </c>
      <c r="W48" s="45">
        <v>61</v>
      </c>
      <c r="X48" s="45">
        <v>61</v>
      </c>
      <c r="Y48" s="65">
        <v>61.4</v>
      </c>
      <c r="Z48" s="65">
        <v>61.4</v>
      </c>
      <c r="AA48" s="65">
        <v>61.4</v>
      </c>
      <c r="AB48" s="57">
        <v>61.4</v>
      </c>
      <c r="AC48" s="57">
        <v>61.4</v>
      </c>
      <c r="AD48" s="57">
        <v>61.4</v>
      </c>
      <c r="AE48" s="57">
        <v>61.4</v>
      </c>
      <c r="AF48" s="57">
        <v>55</v>
      </c>
      <c r="AG48" s="55">
        <v>60</v>
      </c>
      <c r="AH48" s="48">
        <f t="shared" si="2"/>
        <v>61.4</v>
      </c>
      <c r="AI48" s="49">
        <f t="shared" si="3"/>
        <v>41.1</v>
      </c>
      <c r="AK48" s="50"/>
    </row>
    <row r="49" spans="1:41" x14ac:dyDescent="0.25">
      <c r="A49" s="54" t="s">
        <v>57</v>
      </c>
      <c r="B49" s="57">
        <v>29.8</v>
      </c>
      <c r="C49" s="57">
        <v>29.9</v>
      </c>
      <c r="D49" s="57">
        <v>29.9</v>
      </c>
      <c r="E49" s="57">
        <v>29.9</v>
      </c>
      <c r="F49" s="57">
        <v>29.9</v>
      </c>
      <c r="G49" s="57">
        <v>29.9</v>
      </c>
      <c r="H49" s="57">
        <v>29.9</v>
      </c>
      <c r="I49" s="57">
        <v>29.9</v>
      </c>
      <c r="J49" s="57">
        <v>29.9</v>
      </c>
      <c r="K49" s="57">
        <v>29.9</v>
      </c>
      <c r="L49" s="57">
        <v>29.9</v>
      </c>
      <c r="M49" s="57">
        <v>29.9</v>
      </c>
      <c r="N49" s="57">
        <v>29.9</v>
      </c>
      <c r="O49" s="57">
        <v>29.9</v>
      </c>
      <c r="P49" s="57">
        <v>29.9</v>
      </c>
      <c r="Q49" s="57">
        <v>29.9</v>
      </c>
      <c r="R49" s="57">
        <v>29.9</v>
      </c>
      <c r="S49" s="45">
        <v>29.8</v>
      </c>
      <c r="T49" s="45">
        <v>29.8</v>
      </c>
      <c r="U49" s="45">
        <v>29.7</v>
      </c>
      <c r="V49" s="45">
        <v>29.7</v>
      </c>
      <c r="W49" s="45">
        <v>29.7</v>
      </c>
      <c r="X49" s="45">
        <v>29.7</v>
      </c>
      <c r="Y49" s="65">
        <v>29.7</v>
      </c>
      <c r="Z49" s="65">
        <v>29.7</v>
      </c>
      <c r="AA49" s="65">
        <v>29.7</v>
      </c>
      <c r="AB49" s="57">
        <v>29.7</v>
      </c>
      <c r="AC49" s="57">
        <v>29.6</v>
      </c>
      <c r="AD49" s="57">
        <v>29.6</v>
      </c>
      <c r="AE49" s="57">
        <v>29.6</v>
      </c>
      <c r="AF49" s="57">
        <v>29.6</v>
      </c>
      <c r="AG49" s="55">
        <v>30</v>
      </c>
      <c r="AH49" s="48">
        <f t="shared" si="2"/>
        <v>29.9</v>
      </c>
      <c r="AI49" s="49">
        <f t="shared" si="3"/>
        <v>29.6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10</v>
      </c>
      <c r="T50" s="45">
        <v>10</v>
      </c>
      <c r="U50" s="45">
        <v>10</v>
      </c>
      <c r="V50" s="45">
        <v>10</v>
      </c>
      <c r="W50" s="45">
        <v>10</v>
      </c>
      <c r="X50" s="45">
        <v>10</v>
      </c>
      <c r="Y50" s="45">
        <v>10</v>
      </c>
      <c r="Z50" s="45">
        <v>10</v>
      </c>
      <c r="AA50" s="45">
        <v>10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  <c r="AG50" s="55">
        <v>25</v>
      </c>
      <c r="AH50" s="48">
        <f t="shared" si="2"/>
        <v>10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12.8</v>
      </c>
      <c r="C51" s="65">
        <v>12.7</v>
      </c>
      <c r="D51" s="65">
        <v>12.6</v>
      </c>
      <c r="E51" s="65">
        <v>12.6</v>
      </c>
      <c r="F51" s="65">
        <v>12.6</v>
      </c>
      <c r="G51" s="65">
        <v>12.6</v>
      </c>
      <c r="H51" s="65">
        <v>12.6</v>
      </c>
      <c r="I51" s="65">
        <v>12.6</v>
      </c>
      <c r="J51" s="65">
        <v>12.6</v>
      </c>
      <c r="K51" s="65">
        <v>12.6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45">
        <v>0</v>
      </c>
      <c r="U51" s="45">
        <v>0</v>
      </c>
      <c r="V51" s="45">
        <v>0</v>
      </c>
      <c r="W51" s="45">
        <v>0</v>
      </c>
      <c r="X51" s="45">
        <v>0</v>
      </c>
      <c r="Y51" s="45">
        <v>0</v>
      </c>
      <c r="Z51" s="45">
        <v>0</v>
      </c>
      <c r="AA51" s="45">
        <v>0</v>
      </c>
      <c r="AB51" s="65">
        <v>14.7</v>
      </c>
      <c r="AC51" s="65">
        <v>14.6</v>
      </c>
      <c r="AD51" s="65">
        <v>14.6</v>
      </c>
      <c r="AE51" s="65">
        <v>14.6</v>
      </c>
      <c r="AF51" s="65">
        <v>14.6</v>
      </c>
      <c r="AG51" s="55">
        <v>24</v>
      </c>
      <c r="AH51" s="48">
        <f t="shared" si="2"/>
        <v>14.7</v>
      </c>
      <c r="AI51" s="49">
        <f t="shared" si="3"/>
        <v>0</v>
      </c>
      <c r="AK51" s="50"/>
    </row>
    <row r="52" spans="1:41" x14ac:dyDescent="0.25">
      <c r="A52" s="54" t="s">
        <v>60</v>
      </c>
      <c r="B52" s="65">
        <v>2</v>
      </c>
      <c r="C52" s="65">
        <v>2</v>
      </c>
      <c r="D52" s="65">
        <v>2</v>
      </c>
      <c r="E52" s="65">
        <v>2</v>
      </c>
      <c r="F52" s="65">
        <v>2</v>
      </c>
      <c r="G52" s="65">
        <v>2</v>
      </c>
      <c r="H52" s="65">
        <v>2</v>
      </c>
      <c r="I52" s="65">
        <v>2</v>
      </c>
      <c r="J52" s="65">
        <v>2</v>
      </c>
      <c r="K52" s="65">
        <v>2</v>
      </c>
      <c r="L52" s="65">
        <v>2</v>
      </c>
      <c r="M52" s="65">
        <v>2</v>
      </c>
      <c r="N52" s="65">
        <v>2</v>
      </c>
      <c r="O52" s="65">
        <v>2</v>
      </c>
      <c r="P52" s="65">
        <v>2</v>
      </c>
      <c r="Q52" s="65">
        <v>2</v>
      </c>
      <c r="R52" s="65">
        <v>2</v>
      </c>
      <c r="S52" s="65">
        <v>2</v>
      </c>
      <c r="T52" s="45">
        <v>2</v>
      </c>
      <c r="U52" s="65">
        <v>2</v>
      </c>
      <c r="V52" s="65">
        <v>2</v>
      </c>
      <c r="W52" s="65">
        <v>2</v>
      </c>
      <c r="X52" s="65">
        <v>2</v>
      </c>
      <c r="Y52" s="65">
        <v>2</v>
      </c>
      <c r="Z52" s="65">
        <v>2</v>
      </c>
      <c r="AA52" s="65">
        <v>2</v>
      </c>
      <c r="AB52" s="65">
        <v>2</v>
      </c>
      <c r="AC52" s="65">
        <v>2</v>
      </c>
      <c r="AD52" s="65">
        <v>2</v>
      </c>
      <c r="AE52" s="65">
        <v>2</v>
      </c>
      <c r="AF52" s="65">
        <v>2</v>
      </c>
      <c r="AG52" s="55">
        <v>15</v>
      </c>
      <c r="AH52" s="48">
        <f t="shared" si="2"/>
        <v>2</v>
      </c>
      <c r="AI52" s="49">
        <f t="shared" si="3"/>
        <v>2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10.7</v>
      </c>
      <c r="C53" s="65">
        <v>10.7</v>
      </c>
      <c r="D53" s="65">
        <v>10.4</v>
      </c>
      <c r="E53" s="65">
        <v>10.4</v>
      </c>
      <c r="F53" s="65">
        <v>10.4</v>
      </c>
      <c r="G53" s="65">
        <v>10.4</v>
      </c>
      <c r="H53" s="65">
        <v>10.4</v>
      </c>
      <c r="I53" s="65">
        <v>10.4</v>
      </c>
      <c r="J53" s="65">
        <v>10.4</v>
      </c>
      <c r="K53" s="65">
        <v>10.4</v>
      </c>
      <c r="L53" s="65">
        <v>10.4</v>
      </c>
      <c r="M53" s="65">
        <v>10.4</v>
      </c>
      <c r="N53" s="65">
        <v>10.4</v>
      </c>
      <c r="O53" s="65">
        <v>10.4</v>
      </c>
      <c r="P53" s="65">
        <v>10.4</v>
      </c>
      <c r="Q53" s="65">
        <v>10.4</v>
      </c>
      <c r="R53" s="65">
        <v>10.4</v>
      </c>
      <c r="S53" s="65">
        <v>10.4</v>
      </c>
      <c r="T53" s="4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4</v>
      </c>
      <c r="Z53" s="65">
        <v>4</v>
      </c>
      <c r="AA53" s="65">
        <v>4</v>
      </c>
      <c r="AB53" s="65">
        <v>11.3</v>
      </c>
      <c r="AC53" s="65">
        <v>11.3</v>
      </c>
      <c r="AD53" s="65">
        <v>11.3</v>
      </c>
      <c r="AE53" s="65">
        <v>11.3</v>
      </c>
      <c r="AF53" s="65">
        <v>11.3</v>
      </c>
      <c r="AG53" s="55">
        <v>14.1</v>
      </c>
      <c r="AH53" s="48">
        <f t="shared" si="2"/>
        <v>11.3</v>
      </c>
      <c r="AI53" s="49">
        <f t="shared" si="3"/>
        <v>0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14.4</v>
      </c>
      <c r="C54" s="65">
        <v>14.4</v>
      </c>
      <c r="D54" s="65">
        <v>14.4</v>
      </c>
      <c r="E54" s="65">
        <v>10</v>
      </c>
      <c r="F54" s="65">
        <v>14.3</v>
      </c>
      <c r="G54" s="65">
        <v>14.3</v>
      </c>
      <c r="H54" s="65">
        <v>14.3</v>
      </c>
      <c r="I54" s="65">
        <v>14.3</v>
      </c>
      <c r="J54" s="65">
        <v>14.3</v>
      </c>
      <c r="K54" s="65">
        <v>14.3</v>
      </c>
      <c r="L54" s="65">
        <v>14.3</v>
      </c>
      <c r="M54" s="65">
        <v>14.3</v>
      </c>
      <c r="N54" s="65">
        <v>14.3</v>
      </c>
      <c r="O54" s="65">
        <v>14.3</v>
      </c>
      <c r="P54" s="65">
        <v>14.3</v>
      </c>
      <c r="Q54" s="65">
        <v>14.3</v>
      </c>
      <c r="R54" s="65">
        <v>14.3</v>
      </c>
      <c r="S54" s="65">
        <v>14.3</v>
      </c>
      <c r="T54" s="45">
        <v>14.3</v>
      </c>
      <c r="U54" s="65">
        <v>14.2</v>
      </c>
      <c r="V54" s="65">
        <v>14.2</v>
      </c>
      <c r="W54" s="65">
        <v>14.2</v>
      </c>
      <c r="X54" s="65">
        <v>14.2</v>
      </c>
      <c r="Y54" s="65">
        <v>14.2</v>
      </c>
      <c r="Z54" s="65">
        <v>14.2</v>
      </c>
      <c r="AA54" s="65">
        <v>14.2</v>
      </c>
      <c r="AB54" s="65">
        <v>14.3</v>
      </c>
      <c r="AC54" s="65">
        <v>14.3</v>
      </c>
      <c r="AD54" s="65">
        <v>14.3</v>
      </c>
      <c r="AE54" s="65">
        <v>14.3</v>
      </c>
      <c r="AF54" s="65">
        <v>14.3</v>
      </c>
      <c r="AG54" s="55">
        <v>14</v>
      </c>
      <c r="AH54" s="48">
        <f t="shared" si="2"/>
        <v>14.4</v>
      </c>
      <c r="AI54" s="49">
        <f t="shared" si="3"/>
        <v>10</v>
      </c>
      <c r="AK54" s="50"/>
    </row>
    <row r="55" spans="1:41" x14ac:dyDescent="0.25">
      <c r="A55" s="54" t="s">
        <v>63</v>
      </c>
      <c r="B55" s="65">
        <v>9</v>
      </c>
      <c r="C55" s="65">
        <v>9</v>
      </c>
      <c r="D55" s="65">
        <v>9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0</v>
      </c>
      <c r="S55" s="65">
        <v>0</v>
      </c>
      <c r="T55" s="45">
        <v>9</v>
      </c>
      <c r="U55" s="65">
        <v>9</v>
      </c>
      <c r="V55" s="65">
        <v>9</v>
      </c>
      <c r="W55" s="65">
        <v>9</v>
      </c>
      <c r="X55" s="65">
        <v>9</v>
      </c>
      <c r="Y55" s="65">
        <v>9</v>
      </c>
      <c r="Z55" s="65">
        <v>9</v>
      </c>
      <c r="AA55" s="65">
        <v>9</v>
      </c>
      <c r="AB55" s="65">
        <v>9</v>
      </c>
      <c r="AC55" s="65">
        <v>9</v>
      </c>
      <c r="AD55" s="65">
        <v>9</v>
      </c>
      <c r="AE55" s="65">
        <v>9</v>
      </c>
      <c r="AF55" s="65">
        <v>9</v>
      </c>
      <c r="AG55" s="55">
        <v>10.050000000000001</v>
      </c>
      <c r="AH55" s="48">
        <f t="shared" si="2"/>
        <v>9</v>
      </c>
      <c r="AI55" s="49">
        <f t="shared" si="3"/>
        <v>0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4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" si="8">SUM(B45:B57)</f>
        <v>400.24</v>
      </c>
      <c r="C58" s="61">
        <f t="shared" ref="C58:AG58" si="9">SUM(C45:C57)</f>
        <v>376.13999999999993</v>
      </c>
      <c r="D58" s="61">
        <f t="shared" si="9"/>
        <v>376.34</v>
      </c>
      <c r="E58" s="61">
        <f t="shared" si="9"/>
        <v>371.94</v>
      </c>
      <c r="F58" s="61">
        <f t="shared" si="9"/>
        <v>357.94</v>
      </c>
      <c r="G58" s="61">
        <f t="shared" si="9"/>
        <v>348.14</v>
      </c>
      <c r="H58" s="61">
        <f t="shared" si="9"/>
        <v>359.74</v>
      </c>
      <c r="I58" s="61">
        <f t="shared" si="9"/>
        <v>359.74</v>
      </c>
      <c r="J58" s="61">
        <f t="shared" si="9"/>
        <v>359.74</v>
      </c>
      <c r="K58" s="61">
        <f t="shared" si="9"/>
        <v>359.74</v>
      </c>
      <c r="L58" s="61">
        <f t="shared" si="9"/>
        <v>347.14</v>
      </c>
      <c r="M58" s="61">
        <f t="shared" si="9"/>
        <v>336.94</v>
      </c>
      <c r="N58" s="61">
        <f t="shared" si="9"/>
        <v>336.94</v>
      </c>
      <c r="O58" s="61">
        <f t="shared" si="9"/>
        <v>346.94</v>
      </c>
      <c r="P58" s="61">
        <f t="shared" si="9"/>
        <v>346.94</v>
      </c>
      <c r="Q58" s="61">
        <f t="shared" si="9"/>
        <v>346.94</v>
      </c>
      <c r="R58" s="61">
        <f t="shared" si="9"/>
        <v>337.94</v>
      </c>
      <c r="S58" s="61">
        <f t="shared" si="9"/>
        <v>301.33999999999997</v>
      </c>
      <c r="T58" s="61">
        <f t="shared" si="9"/>
        <v>338.44</v>
      </c>
      <c r="U58" s="61">
        <f t="shared" si="9"/>
        <v>315.33999999999997</v>
      </c>
      <c r="V58" s="61">
        <f t="shared" si="9"/>
        <v>364.24</v>
      </c>
      <c r="W58" s="61">
        <f t="shared" si="9"/>
        <v>414.84</v>
      </c>
      <c r="X58" s="61">
        <f t="shared" si="9"/>
        <v>414.84</v>
      </c>
      <c r="Y58" s="61">
        <v>419.93999999999994</v>
      </c>
      <c r="Z58" s="61">
        <f t="shared" si="9"/>
        <v>419.93999999999994</v>
      </c>
      <c r="AA58" s="61">
        <f t="shared" si="9"/>
        <v>419.93999999999994</v>
      </c>
      <c r="AB58" s="61">
        <f t="shared" si="9"/>
        <v>434.34</v>
      </c>
      <c r="AC58" s="61">
        <f t="shared" si="9"/>
        <v>434.54</v>
      </c>
      <c r="AD58" s="61">
        <f t="shared" si="9"/>
        <v>434.74000000000007</v>
      </c>
      <c r="AE58" s="61">
        <f t="shared" si="9"/>
        <v>406.84000000000009</v>
      </c>
      <c r="AF58" s="61">
        <f t="shared" si="9"/>
        <v>358.1400000000001</v>
      </c>
      <c r="AG58" s="62">
        <f t="shared" si="9"/>
        <v>489.91</v>
      </c>
      <c r="AH58" s="48">
        <f t="shared" si="2"/>
        <v>434.74000000000007</v>
      </c>
      <c r="AI58" s="49">
        <f t="shared" si="3"/>
        <v>301.33999999999997</v>
      </c>
      <c r="AK58" s="50"/>
    </row>
    <row r="59" spans="1:41" x14ac:dyDescent="0.25">
      <c r="A59" s="44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/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4.9000000000000004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/>
      <c r="AG60" s="55">
        <v>32</v>
      </c>
      <c r="AH60" s="48">
        <f t="shared" si="2"/>
        <v>4.9000000000000004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67">
        <v>0</v>
      </c>
      <c r="AB61" s="67">
        <v>0</v>
      </c>
      <c r="AC61" s="67">
        <v>0</v>
      </c>
      <c r="AD61" s="67">
        <v>0</v>
      </c>
      <c r="AE61" s="67">
        <v>0</v>
      </c>
      <c r="AF61" s="67"/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" si="10">SUM(B59:B61)</f>
        <v>0</v>
      </c>
      <c r="C62" s="61">
        <f t="shared" ref="C62:AG62" si="11">SUM(C59:C61)</f>
        <v>0</v>
      </c>
      <c r="D62" s="61">
        <f t="shared" si="11"/>
        <v>0</v>
      </c>
      <c r="E62" s="61">
        <f t="shared" si="11"/>
        <v>0</v>
      </c>
      <c r="F62" s="61">
        <f t="shared" si="11"/>
        <v>0</v>
      </c>
      <c r="G62" s="61">
        <f t="shared" si="11"/>
        <v>0</v>
      </c>
      <c r="H62" s="61">
        <f t="shared" si="11"/>
        <v>0</v>
      </c>
      <c r="I62" s="61">
        <f t="shared" si="11"/>
        <v>4.9000000000000004</v>
      </c>
      <c r="J62" s="61">
        <f t="shared" si="11"/>
        <v>0</v>
      </c>
      <c r="K62" s="61">
        <f t="shared" si="11"/>
        <v>0</v>
      </c>
      <c r="L62" s="61">
        <f t="shared" si="11"/>
        <v>0</v>
      </c>
      <c r="M62" s="61">
        <f t="shared" si="11"/>
        <v>0</v>
      </c>
      <c r="N62" s="61">
        <f t="shared" si="11"/>
        <v>0</v>
      </c>
      <c r="O62" s="61">
        <f t="shared" si="11"/>
        <v>0</v>
      </c>
      <c r="P62" s="61">
        <f t="shared" si="11"/>
        <v>0</v>
      </c>
      <c r="Q62" s="61">
        <f t="shared" si="11"/>
        <v>0</v>
      </c>
      <c r="R62" s="61">
        <f t="shared" si="11"/>
        <v>0</v>
      </c>
      <c r="S62" s="61">
        <f t="shared" si="11"/>
        <v>0</v>
      </c>
      <c r="T62" s="61">
        <f t="shared" si="11"/>
        <v>0</v>
      </c>
      <c r="U62" s="61">
        <f t="shared" si="11"/>
        <v>0</v>
      </c>
      <c r="V62" s="61">
        <f t="shared" si="11"/>
        <v>0</v>
      </c>
      <c r="W62" s="61">
        <f t="shared" si="11"/>
        <v>0</v>
      </c>
      <c r="X62" s="61">
        <f t="shared" si="11"/>
        <v>0</v>
      </c>
      <c r="Y62" s="61">
        <v>0</v>
      </c>
      <c r="Z62" s="61">
        <f t="shared" si="11"/>
        <v>0</v>
      </c>
      <c r="AA62" s="61">
        <f t="shared" si="11"/>
        <v>0</v>
      </c>
      <c r="AB62" s="61">
        <f t="shared" si="11"/>
        <v>0</v>
      </c>
      <c r="AC62" s="61">
        <f t="shared" si="11"/>
        <v>0</v>
      </c>
      <c r="AD62" s="61">
        <f t="shared" si="11"/>
        <v>0</v>
      </c>
      <c r="AE62" s="61">
        <f t="shared" ref="AE62" si="12">SUM(AE59:AE61)</f>
        <v>0</v>
      </c>
      <c r="AF62" s="61">
        <f t="shared" si="11"/>
        <v>0</v>
      </c>
      <c r="AG62" s="62">
        <f t="shared" si="11"/>
        <v>106</v>
      </c>
      <c r="AH62" s="48">
        <f t="shared" si="2"/>
        <v>4.9000000000000004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-401.7</v>
      </c>
      <c r="C65" s="65">
        <v>-409.5</v>
      </c>
      <c r="D65" s="65">
        <v>-413.2</v>
      </c>
      <c r="E65" s="65">
        <v>-376</v>
      </c>
      <c r="F65" s="65">
        <v>-413</v>
      </c>
      <c r="G65" s="65">
        <v>-401.6</v>
      </c>
      <c r="H65" s="65">
        <v>-393</v>
      </c>
      <c r="I65" s="65">
        <v>-374.2</v>
      </c>
      <c r="J65" s="65">
        <v>-393.7</v>
      </c>
      <c r="K65" s="65">
        <v>-378</v>
      </c>
      <c r="L65" s="65">
        <v>-360.8</v>
      </c>
      <c r="M65" s="65">
        <v>-415</v>
      </c>
      <c r="N65" s="65">
        <v>-374</v>
      </c>
      <c r="O65" s="65">
        <v>-364</v>
      </c>
      <c r="P65" s="65">
        <v>-384.1</v>
      </c>
      <c r="Q65" s="65">
        <v>-380</v>
      </c>
      <c r="R65" s="65">
        <v>-382.2</v>
      </c>
      <c r="S65" s="65">
        <v>-372</v>
      </c>
      <c r="T65" s="65">
        <v>-377</v>
      </c>
      <c r="U65" s="65">
        <v>-383</v>
      </c>
      <c r="V65" s="65">
        <v>-365</v>
      </c>
      <c r="W65" s="65">
        <v>-364</v>
      </c>
      <c r="X65" s="65">
        <v>-378</v>
      </c>
      <c r="Y65" s="65">
        <v>-372</v>
      </c>
      <c r="Z65" s="65">
        <v>-372</v>
      </c>
      <c r="AA65" s="65">
        <v>-360</v>
      </c>
      <c r="AB65" s="65">
        <v>-367</v>
      </c>
      <c r="AC65" s="65">
        <v>-394.5</v>
      </c>
      <c r="AD65" s="65">
        <v>-393</v>
      </c>
      <c r="AE65" s="65">
        <v>-385</v>
      </c>
      <c r="AF65" s="65">
        <v>-369</v>
      </c>
      <c r="AG65" s="75"/>
      <c r="AH65" s="48">
        <f t="shared" si="2"/>
        <v>-360</v>
      </c>
      <c r="AI65" s="49">
        <f t="shared" si="3"/>
        <v>-415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76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>
        <v>0</v>
      </c>
      <c r="C68" s="76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>
        <v>0</v>
      </c>
      <c r="C69" s="76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9">
        <v>0</v>
      </c>
      <c r="C72" s="76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9">
        <v>0</v>
      </c>
      <c r="C73" s="76">
        <v>0</v>
      </c>
      <c r="D73" s="79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" si="13">SUMIF(B63:B73,"&gt;0")</f>
        <v>0</v>
      </c>
      <c r="C74" s="61">
        <f t="shared" ref="C74:AF74" si="14">SUMIF(C63:C73,"&gt;0")</f>
        <v>0</v>
      </c>
      <c r="D74" s="61">
        <f t="shared" si="14"/>
        <v>0</v>
      </c>
      <c r="E74" s="61">
        <f t="shared" si="14"/>
        <v>0</v>
      </c>
      <c r="F74" s="61">
        <f t="shared" si="14"/>
        <v>0</v>
      </c>
      <c r="G74" s="61">
        <f t="shared" si="14"/>
        <v>0</v>
      </c>
      <c r="H74" s="61">
        <f t="shared" si="14"/>
        <v>0</v>
      </c>
      <c r="I74" s="61">
        <f t="shared" si="14"/>
        <v>0</v>
      </c>
      <c r="J74" s="61">
        <f t="shared" si="14"/>
        <v>0</v>
      </c>
      <c r="K74" s="61">
        <f t="shared" si="14"/>
        <v>0</v>
      </c>
      <c r="L74" s="61">
        <f t="shared" si="14"/>
        <v>0</v>
      </c>
      <c r="M74" s="61">
        <f t="shared" si="14"/>
        <v>0</v>
      </c>
      <c r="N74" s="61">
        <f t="shared" si="14"/>
        <v>0</v>
      </c>
      <c r="O74" s="61">
        <f t="shared" si="14"/>
        <v>0</v>
      </c>
      <c r="P74" s="61">
        <f t="shared" si="14"/>
        <v>0</v>
      </c>
      <c r="Q74" s="61">
        <f t="shared" si="14"/>
        <v>0</v>
      </c>
      <c r="R74" s="61">
        <f t="shared" si="14"/>
        <v>0</v>
      </c>
      <c r="S74" s="61">
        <f t="shared" si="14"/>
        <v>0</v>
      </c>
      <c r="T74" s="61">
        <f t="shared" si="14"/>
        <v>0</v>
      </c>
      <c r="U74" s="61">
        <f t="shared" si="14"/>
        <v>0</v>
      </c>
      <c r="V74" s="61">
        <f t="shared" si="14"/>
        <v>0</v>
      </c>
      <c r="W74" s="61">
        <f t="shared" si="14"/>
        <v>0</v>
      </c>
      <c r="X74" s="61">
        <f t="shared" si="14"/>
        <v>0</v>
      </c>
      <c r="Y74" s="61">
        <v>0</v>
      </c>
      <c r="Z74" s="61">
        <f t="shared" si="14"/>
        <v>0</v>
      </c>
      <c r="AA74" s="61">
        <f t="shared" si="14"/>
        <v>0</v>
      </c>
      <c r="AB74" s="61">
        <f t="shared" si="14"/>
        <v>0</v>
      </c>
      <c r="AC74" s="61">
        <f t="shared" si="14"/>
        <v>0</v>
      </c>
      <c r="AD74" s="61">
        <f t="shared" si="14"/>
        <v>0</v>
      </c>
      <c r="AE74" s="61">
        <f t="shared" si="14"/>
        <v>0</v>
      </c>
      <c r="AF74" s="61">
        <f t="shared" si="14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44" t="s">
        <v>83</v>
      </c>
      <c r="B75" s="76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5">
        <v>14.4</v>
      </c>
      <c r="AH76" s="48">
        <f t="shared" ref="AH76:AH109" si="15">MAX(B76:AF76)</f>
        <v>0</v>
      </c>
      <c r="AI76" s="49">
        <f t="shared" ref="AI76:AI109" si="16">MIN(B76:AF76)</f>
        <v>0</v>
      </c>
      <c r="AK76" s="50"/>
    </row>
    <row r="77" spans="1:37" ht="15.75" thickBot="1" x14ac:dyDescent="0.3">
      <c r="A77" s="78" t="s">
        <v>85</v>
      </c>
      <c r="B77" s="79">
        <v>0</v>
      </c>
      <c r="C77" s="79">
        <v>0</v>
      </c>
      <c r="D77" s="79">
        <v>0</v>
      </c>
      <c r="E77" s="79">
        <v>0</v>
      </c>
      <c r="F77" s="79">
        <v>0</v>
      </c>
      <c r="G77" s="79">
        <v>0</v>
      </c>
      <c r="H77" s="79">
        <v>0</v>
      </c>
      <c r="I77" s="79">
        <v>0</v>
      </c>
      <c r="J77" s="79">
        <v>0</v>
      </c>
      <c r="K77" s="79">
        <v>0</v>
      </c>
      <c r="L77" s="79">
        <v>0</v>
      </c>
      <c r="M77" s="79">
        <v>0</v>
      </c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80">
        <v>2</v>
      </c>
      <c r="AH77" s="48">
        <f t="shared" si="15"/>
        <v>0</v>
      </c>
      <c r="AI77" s="49">
        <f t="shared" si="16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15"/>
        <v>0</v>
      </c>
      <c r="AI78" s="49">
        <f t="shared" si="16"/>
        <v>0</v>
      </c>
    </row>
    <row r="79" spans="1:37" ht="15.75" thickBot="1" x14ac:dyDescent="0.3">
      <c r="A79" s="74" t="s">
        <v>87</v>
      </c>
      <c r="B79" s="83">
        <f t="shared" ref="B79" si="17">B40+B44+B62+B58+B74+B78</f>
        <v>1448.94</v>
      </c>
      <c r="C79" s="83">
        <f t="shared" ref="C79:AG79" si="18">C40+C44+C62+C58+C74+C78</f>
        <v>1373.94</v>
      </c>
      <c r="D79" s="83">
        <f t="shared" si="18"/>
        <v>1361.04</v>
      </c>
      <c r="E79" s="83">
        <f t="shared" si="18"/>
        <v>1357.64</v>
      </c>
      <c r="F79" s="83">
        <f t="shared" si="18"/>
        <v>1332.64</v>
      </c>
      <c r="G79" s="83">
        <f t="shared" si="18"/>
        <v>1348.1399999999999</v>
      </c>
      <c r="H79" s="83">
        <f t="shared" si="18"/>
        <v>1389.84</v>
      </c>
      <c r="I79" s="83">
        <f t="shared" si="18"/>
        <v>1384.64</v>
      </c>
      <c r="J79" s="83">
        <f t="shared" si="18"/>
        <v>1506.5400000000002</v>
      </c>
      <c r="K79" s="83">
        <f t="shared" si="18"/>
        <v>1574.0400000000002</v>
      </c>
      <c r="L79" s="83">
        <f t="shared" si="18"/>
        <v>1566.44</v>
      </c>
      <c r="M79" s="83">
        <f t="shared" si="18"/>
        <v>1602.54</v>
      </c>
      <c r="N79" s="83">
        <f t="shared" si="18"/>
        <v>1656.54</v>
      </c>
      <c r="O79" s="83">
        <f t="shared" si="18"/>
        <v>1515.04</v>
      </c>
      <c r="P79" s="83">
        <f t="shared" si="18"/>
        <v>1506.54</v>
      </c>
      <c r="Q79" s="83">
        <f t="shared" si="18"/>
        <v>1481.54</v>
      </c>
      <c r="R79" s="83">
        <f t="shared" si="18"/>
        <v>1502.2400000000002</v>
      </c>
      <c r="S79" s="83">
        <f t="shared" si="18"/>
        <v>1467.14</v>
      </c>
      <c r="T79" s="83">
        <f t="shared" si="18"/>
        <v>1510.8400000000001</v>
      </c>
      <c r="U79" s="83">
        <f t="shared" si="18"/>
        <v>1467.74</v>
      </c>
      <c r="V79" s="83">
        <f t="shared" si="18"/>
        <v>1491.64</v>
      </c>
      <c r="W79" s="83">
        <f t="shared" si="18"/>
        <v>1612.24</v>
      </c>
      <c r="X79" s="83">
        <f t="shared" si="18"/>
        <v>1784.4399999999998</v>
      </c>
      <c r="Y79" s="83">
        <v>1742.3400000000001</v>
      </c>
      <c r="Z79" s="83">
        <f t="shared" si="18"/>
        <v>1685.7399999999998</v>
      </c>
      <c r="AA79" s="83">
        <f t="shared" si="18"/>
        <v>1688.7399999999998</v>
      </c>
      <c r="AB79" s="83">
        <f t="shared" si="18"/>
        <v>1606.34</v>
      </c>
      <c r="AC79" s="83">
        <f t="shared" si="18"/>
        <v>1606.54</v>
      </c>
      <c r="AD79" s="83">
        <f t="shared" si="18"/>
        <v>1526.84</v>
      </c>
      <c r="AE79" s="83">
        <f t="shared" si="18"/>
        <v>1421.5400000000002</v>
      </c>
      <c r="AF79" s="83">
        <f t="shared" si="18"/>
        <v>1378.8400000000001</v>
      </c>
      <c r="AG79" s="62">
        <f t="shared" si="18"/>
        <v>1897.1900000000003</v>
      </c>
      <c r="AH79" s="48">
        <f t="shared" si="15"/>
        <v>1784.4399999999998</v>
      </c>
      <c r="AI79" s="49">
        <f t="shared" si="16"/>
        <v>1332.64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15"/>
        <v>0</v>
      </c>
      <c r="AI80" s="49">
        <f t="shared" si="16"/>
        <v>0</v>
      </c>
    </row>
    <row r="81" spans="1:37" ht="15.75" thickBot="1" x14ac:dyDescent="0.3">
      <c r="A81" s="74" t="s">
        <v>89</v>
      </c>
      <c r="B81" s="83">
        <f t="shared" ref="B81" si="19">B79+B80</f>
        <v>1448.94</v>
      </c>
      <c r="C81" s="83">
        <f t="shared" ref="C81:AF81" si="20">C79+C80</f>
        <v>1373.94</v>
      </c>
      <c r="D81" s="83">
        <f t="shared" si="20"/>
        <v>1361.04</v>
      </c>
      <c r="E81" s="83">
        <f t="shared" si="20"/>
        <v>1357.64</v>
      </c>
      <c r="F81" s="83">
        <f t="shared" si="20"/>
        <v>1332.64</v>
      </c>
      <c r="G81" s="83">
        <f t="shared" si="20"/>
        <v>1348.1399999999999</v>
      </c>
      <c r="H81" s="83">
        <f t="shared" si="20"/>
        <v>1389.84</v>
      </c>
      <c r="I81" s="83">
        <f t="shared" si="20"/>
        <v>1384.64</v>
      </c>
      <c r="J81" s="83">
        <f t="shared" si="20"/>
        <v>1506.5400000000002</v>
      </c>
      <c r="K81" s="83">
        <f t="shared" si="20"/>
        <v>1574.0400000000002</v>
      </c>
      <c r="L81" s="83">
        <f t="shared" si="20"/>
        <v>1566.44</v>
      </c>
      <c r="M81" s="83">
        <f t="shared" si="20"/>
        <v>1602.54</v>
      </c>
      <c r="N81" s="83">
        <f t="shared" si="20"/>
        <v>1656.54</v>
      </c>
      <c r="O81" s="83">
        <f t="shared" si="20"/>
        <v>1515.04</v>
      </c>
      <c r="P81" s="83">
        <f t="shared" si="20"/>
        <v>1506.54</v>
      </c>
      <c r="Q81" s="83">
        <f t="shared" si="20"/>
        <v>1481.54</v>
      </c>
      <c r="R81" s="83">
        <f t="shared" si="20"/>
        <v>1502.2400000000002</v>
      </c>
      <c r="S81" s="83">
        <f t="shared" si="20"/>
        <v>1467.14</v>
      </c>
      <c r="T81" s="83">
        <f t="shared" si="20"/>
        <v>1510.8400000000001</v>
      </c>
      <c r="U81" s="83">
        <f t="shared" si="20"/>
        <v>1467.74</v>
      </c>
      <c r="V81" s="83">
        <f t="shared" si="20"/>
        <v>1491.64</v>
      </c>
      <c r="W81" s="83">
        <f t="shared" si="20"/>
        <v>1612.24</v>
      </c>
      <c r="X81" s="83">
        <f t="shared" si="20"/>
        <v>1784.4399999999998</v>
      </c>
      <c r="Y81" s="83">
        <v>1742.3400000000001</v>
      </c>
      <c r="Z81" s="83">
        <f t="shared" si="20"/>
        <v>1685.7399999999998</v>
      </c>
      <c r="AA81" s="83">
        <f t="shared" si="20"/>
        <v>1688.7399999999998</v>
      </c>
      <c r="AB81" s="83">
        <f t="shared" si="20"/>
        <v>1606.34</v>
      </c>
      <c r="AC81" s="83">
        <f t="shared" si="20"/>
        <v>1606.54</v>
      </c>
      <c r="AD81" s="83">
        <f t="shared" si="20"/>
        <v>1526.84</v>
      </c>
      <c r="AE81" s="83">
        <f t="shared" si="20"/>
        <v>1421.5400000000002</v>
      </c>
      <c r="AF81" s="83">
        <f t="shared" si="20"/>
        <v>1378.8400000000001</v>
      </c>
      <c r="AG81" s="81">
        <f>AG78+AG74+AG62+AG58+AG40+AG80</f>
        <v>1359.0900000000001</v>
      </c>
      <c r="AH81" s="48">
        <f t="shared" si="15"/>
        <v>1784.4399999999998</v>
      </c>
      <c r="AI81" s="49">
        <f t="shared" si="16"/>
        <v>1332.64</v>
      </c>
    </row>
    <row r="82" spans="1:37" ht="15.75" thickBot="1" x14ac:dyDescent="0.3">
      <c r="A82" s="74" t="s">
        <v>90</v>
      </c>
      <c r="B82" s="83">
        <f t="shared" ref="B82" si="21">B81-B89</f>
        <v>1047.24</v>
      </c>
      <c r="C82" s="83">
        <f t="shared" ref="C82:AF82" si="22">C81-C89</f>
        <v>964.44</v>
      </c>
      <c r="D82" s="83">
        <f t="shared" si="22"/>
        <v>947.83999999999992</v>
      </c>
      <c r="E82" s="83">
        <f t="shared" si="22"/>
        <v>981.6400000000001</v>
      </c>
      <c r="F82" s="83">
        <f t="shared" si="22"/>
        <v>919.6400000000001</v>
      </c>
      <c r="G82" s="83">
        <f t="shared" si="22"/>
        <v>946.53999999999985</v>
      </c>
      <c r="H82" s="83">
        <f t="shared" si="22"/>
        <v>996.83999999999992</v>
      </c>
      <c r="I82" s="83">
        <f t="shared" si="22"/>
        <v>1010.44</v>
      </c>
      <c r="J82" s="83">
        <f t="shared" si="22"/>
        <v>1112.8400000000001</v>
      </c>
      <c r="K82" s="83">
        <f t="shared" si="22"/>
        <v>1196.0400000000002</v>
      </c>
      <c r="L82" s="83">
        <f t="shared" si="22"/>
        <v>1205.6400000000001</v>
      </c>
      <c r="M82" s="83">
        <f t="shared" si="22"/>
        <v>1187.54</v>
      </c>
      <c r="N82" s="83">
        <f t="shared" si="22"/>
        <v>1282.54</v>
      </c>
      <c r="O82" s="83">
        <f t="shared" si="22"/>
        <v>1151.04</v>
      </c>
      <c r="P82" s="83">
        <f t="shared" si="22"/>
        <v>1122.44</v>
      </c>
      <c r="Q82" s="83">
        <f t="shared" si="22"/>
        <v>1101.54</v>
      </c>
      <c r="R82" s="83">
        <f t="shared" si="22"/>
        <v>1120.0400000000002</v>
      </c>
      <c r="S82" s="83">
        <f t="shared" si="22"/>
        <v>1095.1400000000001</v>
      </c>
      <c r="T82" s="83">
        <f t="shared" si="22"/>
        <v>1133.8400000000001</v>
      </c>
      <c r="U82" s="83">
        <f t="shared" si="22"/>
        <v>1084.74</v>
      </c>
      <c r="V82" s="83">
        <f t="shared" si="22"/>
        <v>1126.6400000000001</v>
      </c>
      <c r="W82" s="83">
        <f t="shared" si="22"/>
        <v>1248.24</v>
      </c>
      <c r="X82" s="83">
        <f t="shared" si="22"/>
        <v>1406.4399999999998</v>
      </c>
      <c r="Y82" s="83">
        <v>1370.3400000000001</v>
      </c>
      <c r="Z82" s="83">
        <f t="shared" si="22"/>
        <v>1313.7399999999998</v>
      </c>
      <c r="AA82" s="83">
        <f t="shared" si="22"/>
        <v>1328.7399999999998</v>
      </c>
      <c r="AB82" s="83">
        <f t="shared" si="22"/>
        <v>1239.3399999999999</v>
      </c>
      <c r="AC82" s="83">
        <f t="shared" si="22"/>
        <v>1212.04</v>
      </c>
      <c r="AD82" s="83">
        <f t="shared" si="22"/>
        <v>1133.8399999999999</v>
      </c>
      <c r="AE82" s="83">
        <f t="shared" si="22"/>
        <v>1036.5400000000002</v>
      </c>
      <c r="AF82" s="83">
        <f t="shared" si="22"/>
        <v>1009.8400000000001</v>
      </c>
      <c r="AG82" s="81"/>
      <c r="AH82" s="48">
        <f t="shared" si="15"/>
        <v>1406.4399999999998</v>
      </c>
      <c r="AI82" s="49">
        <f t="shared" si="16"/>
        <v>919.6400000000001</v>
      </c>
    </row>
    <row r="83" spans="1:37" x14ac:dyDescent="0.25">
      <c r="A83" s="44" t="s">
        <v>74</v>
      </c>
      <c r="B83" s="76">
        <f t="shared" ref="B83" si="23">IF(B66&lt;0,B66*-1,0)</f>
        <v>0</v>
      </c>
      <c r="C83" s="76">
        <f t="shared" ref="C83:AF83" si="24">IF(C66&lt;0,C66*-1,0)</f>
        <v>0</v>
      </c>
      <c r="D83" s="76">
        <f t="shared" si="24"/>
        <v>0</v>
      </c>
      <c r="E83" s="76">
        <f t="shared" si="24"/>
        <v>0</v>
      </c>
      <c r="F83" s="76">
        <f t="shared" si="24"/>
        <v>0</v>
      </c>
      <c r="G83" s="76">
        <f t="shared" si="24"/>
        <v>0</v>
      </c>
      <c r="H83" s="76">
        <f t="shared" si="24"/>
        <v>0</v>
      </c>
      <c r="I83" s="76">
        <f t="shared" si="24"/>
        <v>0</v>
      </c>
      <c r="J83" s="76">
        <f t="shared" si="24"/>
        <v>0</v>
      </c>
      <c r="K83" s="76">
        <f t="shared" si="24"/>
        <v>0</v>
      </c>
      <c r="L83" s="76">
        <f t="shared" si="24"/>
        <v>0</v>
      </c>
      <c r="M83" s="76">
        <f t="shared" si="24"/>
        <v>0</v>
      </c>
      <c r="N83" s="76">
        <f t="shared" si="24"/>
        <v>0</v>
      </c>
      <c r="O83" s="76">
        <f t="shared" si="24"/>
        <v>0</v>
      </c>
      <c r="P83" s="76">
        <f t="shared" si="24"/>
        <v>0</v>
      </c>
      <c r="Q83" s="76">
        <f t="shared" si="24"/>
        <v>0</v>
      </c>
      <c r="R83" s="76">
        <f t="shared" si="24"/>
        <v>0</v>
      </c>
      <c r="S83" s="76">
        <f t="shared" si="24"/>
        <v>0</v>
      </c>
      <c r="T83" s="76">
        <f t="shared" si="24"/>
        <v>0</v>
      </c>
      <c r="U83" s="76">
        <f t="shared" si="24"/>
        <v>0</v>
      </c>
      <c r="V83" s="76">
        <f t="shared" si="24"/>
        <v>0</v>
      </c>
      <c r="W83" s="76">
        <f t="shared" si="24"/>
        <v>0</v>
      </c>
      <c r="X83" s="76">
        <f t="shared" si="24"/>
        <v>0</v>
      </c>
      <c r="Y83" s="76">
        <v>0</v>
      </c>
      <c r="Z83" s="76">
        <f t="shared" si="24"/>
        <v>0</v>
      </c>
      <c r="AA83" s="76">
        <f t="shared" si="24"/>
        <v>0</v>
      </c>
      <c r="AB83" s="76">
        <f t="shared" si="24"/>
        <v>0</v>
      </c>
      <c r="AC83" s="76">
        <f t="shared" si="24"/>
        <v>0</v>
      </c>
      <c r="AD83" s="76">
        <f t="shared" si="24"/>
        <v>0</v>
      </c>
      <c r="AE83" s="76">
        <f t="shared" si="24"/>
        <v>0</v>
      </c>
      <c r="AF83" s="76">
        <f t="shared" si="24"/>
        <v>0</v>
      </c>
      <c r="AG83" s="52"/>
      <c r="AH83" s="48">
        <f t="shared" si="15"/>
        <v>0</v>
      </c>
      <c r="AI83" s="49">
        <f t="shared" si="16"/>
        <v>0</v>
      </c>
    </row>
    <row r="84" spans="1:37" x14ac:dyDescent="0.25">
      <c r="A84" s="54" t="s">
        <v>72</v>
      </c>
      <c r="B84" s="76">
        <f t="shared" ref="B84" si="25">IF(B64&lt;0,B64*-1,0)</f>
        <v>0</v>
      </c>
      <c r="C84" s="76">
        <f t="shared" ref="C84:AF84" si="26">IF(C64&lt;0,C64*-1,0)</f>
        <v>0</v>
      </c>
      <c r="D84" s="76">
        <f t="shared" si="26"/>
        <v>0</v>
      </c>
      <c r="E84" s="76">
        <f t="shared" si="26"/>
        <v>0</v>
      </c>
      <c r="F84" s="76">
        <f t="shared" si="26"/>
        <v>0</v>
      </c>
      <c r="G84" s="76">
        <f t="shared" si="26"/>
        <v>0</v>
      </c>
      <c r="H84" s="76">
        <f t="shared" si="26"/>
        <v>0</v>
      </c>
      <c r="I84" s="76">
        <f t="shared" si="26"/>
        <v>0</v>
      </c>
      <c r="J84" s="76">
        <f t="shared" si="26"/>
        <v>0</v>
      </c>
      <c r="K84" s="76">
        <f t="shared" si="26"/>
        <v>0</v>
      </c>
      <c r="L84" s="76">
        <f t="shared" si="26"/>
        <v>0</v>
      </c>
      <c r="M84" s="76">
        <f t="shared" si="26"/>
        <v>0</v>
      </c>
      <c r="N84" s="76">
        <f t="shared" si="26"/>
        <v>0</v>
      </c>
      <c r="O84" s="76">
        <f t="shared" si="26"/>
        <v>0</v>
      </c>
      <c r="P84" s="76">
        <f t="shared" si="26"/>
        <v>0</v>
      </c>
      <c r="Q84" s="76">
        <f t="shared" si="26"/>
        <v>0</v>
      </c>
      <c r="R84" s="76">
        <f t="shared" si="26"/>
        <v>0</v>
      </c>
      <c r="S84" s="76">
        <f t="shared" si="26"/>
        <v>0</v>
      </c>
      <c r="T84" s="76">
        <f t="shared" si="26"/>
        <v>0</v>
      </c>
      <c r="U84" s="76">
        <f t="shared" si="26"/>
        <v>0</v>
      </c>
      <c r="V84" s="76">
        <f t="shared" si="26"/>
        <v>0</v>
      </c>
      <c r="W84" s="76">
        <f t="shared" si="26"/>
        <v>0</v>
      </c>
      <c r="X84" s="76">
        <f t="shared" si="26"/>
        <v>0</v>
      </c>
      <c r="Y84" s="76">
        <v>0</v>
      </c>
      <c r="Z84" s="76">
        <f t="shared" si="26"/>
        <v>0</v>
      </c>
      <c r="AA84" s="76">
        <f t="shared" si="26"/>
        <v>0</v>
      </c>
      <c r="AB84" s="76">
        <f t="shared" si="26"/>
        <v>0</v>
      </c>
      <c r="AC84" s="76">
        <f t="shared" si="26"/>
        <v>0</v>
      </c>
      <c r="AD84" s="76">
        <f t="shared" si="26"/>
        <v>0</v>
      </c>
      <c r="AE84" s="76">
        <f t="shared" si="26"/>
        <v>0</v>
      </c>
      <c r="AF84" s="76">
        <f t="shared" si="26"/>
        <v>0</v>
      </c>
      <c r="AG84" s="55"/>
      <c r="AH84" s="48">
        <f t="shared" si="15"/>
        <v>0</v>
      </c>
      <c r="AI84" s="49">
        <f t="shared" si="16"/>
        <v>0</v>
      </c>
    </row>
    <row r="85" spans="1:37" x14ac:dyDescent="0.25">
      <c r="A85" s="78" t="s">
        <v>91</v>
      </c>
      <c r="B85" s="76">
        <f t="shared" ref="B85" si="27">IF(B67&lt;0,B67*-1,0)</f>
        <v>0</v>
      </c>
      <c r="C85" s="76">
        <f t="shared" ref="C85:AF85" si="28">IF(C67&lt;0,C67*-1,0)</f>
        <v>0</v>
      </c>
      <c r="D85" s="76">
        <f t="shared" si="28"/>
        <v>0</v>
      </c>
      <c r="E85" s="76">
        <f t="shared" si="28"/>
        <v>0</v>
      </c>
      <c r="F85" s="76">
        <f t="shared" si="28"/>
        <v>0</v>
      </c>
      <c r="G85" s="76">
        <f t="shared" si="28"/>
        <v>0</v>
      </c>
      <c r="H85" s="76">
        <f t="shared" si="28"/>
        <v>0</v>
      </c>
      <c r="I85" s="76">
        <f t="shared" si="28"/>
        <v>0</v>
      </c>
      <c r="J85" s="76">
        <f t="shared" si="28"/>
        <v>0</v>
      </c>
      <c r="K85" s="76">
        <f t="shared" si="28"/>
        <v>0</v>
      </c>
      <c r="L85" s="76">
        <f t="shared" si="28"/>
        <v>0</v>
      </c>
      <c r="M85" s="76">
        <f t="shared" si="28"/>
        <v>0</v>
      </c>
      <c r="N85" s="76">
        <f t="shared" si="28"/>
        <v>0</v>
      </c>
      <c r="O85" s="76">
        <f t="shared" si="28"/>
        <v>0</v>
      </c>
      <c r="P85" s="76">
        <f t="shared" si="28"/>
        <v>0</v>
      </c>
      <c r="Q85" s="76">
        <f t="shared" si="28"/>
        <v>0</v>
      </c>
      <c r="R85" s="76">
        <f t="shared" si="28"/>
        <v>0</v>
      </c>
      <c r="S85" s="76">
        <f t="shared" si="28"/>
        <v>0</v>
      </c>
      <c r="T85" s="76">
        <f t="shared" si="28"/>
        <v>0</v>
      </c>
      <c r="U85" s="76">
        <f t="shared" si="28"/>
        <v>0</v>
      </c>
      <c r="V85" s="76">
        <f t="shared" si="28"/>
        <v>0</v>
      </c>
      <c r="W85" s="76">
        <f t="shared" si="28"/>
        <v>0</v>
      </c>
      <c r="X85" s="76">
        <f t="shared" si="28"/>
        <v>0</v>
      </c>
      <c r="Y85" s="76">
        <v>0</v>
      </c>
      <c r="Z85" s="76">
        <f t="shared" si="28"/>
        <v>0</v>
      </c>
      <c r="AA85" s="76">
        <f t="shared" si="28"/>
        <v>0</v>
      </c>
      <c r="AB85" s="76">
        <f t="shared" si="28"/>
        <v>0</v>
      </c>
      <c r="AC85" s="76">
        <f t="shared" si="28"/>
        <v>0</v>
      </c>
      <c r="AD85" s="76">
        <f t="shared" si="28"/>
        <v>0</v>
      </c>
      <c r="AE85" s="76">
        <f t="shared" si="28"/>
        <v>0</v>
      </c>
      <c r="AF85" s="76">
        <f t="shared" si="28"/>
        <v>0</v>
      </c>
      <c r="AG85" s="86"/>
      <c r="AH85" s="48">
        <f t="shared" si="15"/>
        <v>0</v>
      </c>
      <c r="AI85" s="49">
        <f t="shared" si="16"/>
        <v>0</v>
      </c>
    </row>
    <row r="86" spans="1:37" x14ac:dyDescent="0.25">
      <c r="A86" s="78" t="s">
        <v>92</v>
      </c>
      <c r="B86" s="76">
        <f t="shared" ref="B86" si="29">IF(B65&lt;0,B65*-1,0)</f>
        <v>401.7</v>
      </c>
      <c r="C86" s="76">
        <f t="shared" ref="C86:AF86" si="30">IF(C65&lt;0,C65*-1,0)</f>
        <v>409.5</v>
      </c>
      <c r="D86" s="76">
        <f t="shared" si="30"/>
        <v>413.2</v>
      </c>
      <c r="E86" s="76">
        <f t="shared" si="30"/>
        <v>376</v>
      </c>
      <c r="F86" s="76">
        <f t="shared" si="30"/>
        <v>413</v>
      </c>
      <c r="G86" s="76">
        <f t="shared" si="30"/>
        <v>401.6</v>
      </c>
      <c r="H86" s="76">
        <f t="shared" si="30"/>
        <v>393</v>
      </c>
      <c r="I86" s="76">
        <f t="shared" si="30"/>
        <v>374.2</v>
      </c>
      <c r="J86" s="76">
        <f t="shared" si="30"/>
        <v>393.7</v>
      </c>
      <c r="K86" s="76">
        <f t="shared" si="30"/>
        <v>378</v>
      </c>
      <c r="L86" s="76">
        <f t="shared" si="30"/>
        <v>360.8</v>
      </c>
      <c r="M86" s="76">
        <f t="shared" si="30"/>
        <v>415</v>
      </c>
      <c r="N86" s="76">
        <f t="shared" si="30"/>
        <v>374</v>
      </c>
      <c r="O86" s="76">
        <f t="shared" si="30"/>
        <v>364</v>
      </c>
      <c r="P86" s="76">
        <f t="shared" si="30"/>
        <v>384.1</v>
      </c>
      <c r="Q86" s="76">
        <f t="shared" si="30"/>
        <v>380</v>
      </c>
      <c r="R86" s="76">
        <f t="shared" si="30"/>
        <v>382.2</v>
      </c>
      <c r="S86" s="76">
        <f t="shared" si="30"/>
        <v>372</v>
      </c>
      <c r="T86" s="76">
        <f t="shared" si="30"/>
        <v>377</v>
      </c>
      <c r="U86" s="76">
        <f t="shared" si="30"/>
        <v>383</v>
      </c>
      <c r="V86" s="76">
        <f t="shared" si="30"/>
        <v>365</v>
      </c>
      <c r="W86" s="76">
        <f t="shared" si="30"/>
        <v>364</v>
      </c>
      <c r="X86" s="76">
        <f t="shared" si="30"/>
        <v>378</v>
      </c>
      <c r="Y86" s="76">
        <v>372</v>
      </c>
      <c r="Z86" s="76">
        <f t="shared" si="30"/>
        <v>372</v>
      </c>
      <c r="AA86" s="76">
        <f t="shared" si="30"/>
        <v>360</v>
      </c>
      <c r="AB86" s="76">
        <f t="shared" si="30"/>
        <v>367</v>
      </c>
      <c r="AC86" s="76">
        <f t="shared" si="30"/>
        <v>394.5</v>
      </c>
      <c r="AD86" s="76">
        <f t="shared" si="30"/>
        <v>393</v>
      </c>
      <c r="AE86" s="76">
        <f t="shared" si="30"/>
        <v>385</v>
      </c>
      <c r="AF86" s="76">
        <f t="shared" si="30"/>
        <v>369</v>
      </c>
      <c r="AG86" s="86"/>
      <c r="AH86" s="48">
        <f t="shared" si="15"/>
        <v>415</v>
      </c>
      <c r="AI86" s="49">
        <f t="shared" si="16"/>
        <v>360</v>
      </c>
    </row>
    <row r="87" spans="1:37" x14ac:dyDescent="0.25">
      <c r="A87" s="78" t="s">
        <v>71</v>
      </c>
      <c r="B87" s="76">
        <f t="shared" ref="B87" si="31">IF(B63&lt;0,B63*-1,0)</f>
        <v>0</v>
      </c>
      <c r="C87" s="76">
        <f t="shared" ref="C87:AF87" si="32">IF(C63&lt;0,C63*-1,0)</f>
        <v>0</v>
      </c>
      <c r="D87" s="76">
        <f t="shared" si="32"/>
        <v>0</v>
      </c>
      <c r="E87" s="76">
        <f t="shared" si="32"/>
        <v>0</v>
      </c>
      <c r="F87" s="76">
        <f t="shared" si="32"/>
        <v>0</v>
      </c>
      <c r="G87" s="76">
        <f t="shared" si="32"/>
        <v>0</v>
      </c>
      <c r="H87" s="76">
        <f t="shared" si="32"/>
        <v>0</v>
      </c>
      <c r="I87" s="76">
        <f t="shared" si="32"/>
        <v>0</v>
      </c>
      <c r="J87" s="76">
        <f t="shared" si="32"/>
        <v>0</v>
      </c>
      <c r="K87" s="76">
        <f t="shared" si="32"/>
        <v>0</v>
      </c>
      <c r="L87" s="76">
        <f t="shared" si="32"/>
        <v>0</v>
      </c>
      <c r="M87" s="76">
        <f t="shared" si="32"/>
        <v>0</v>
      </c>
      <c r="N87" s="76">
        <f t="shared" si="32"/>
        <v>0</v>
      </c>
      <c r="O87" s="76">
        <f t="shared" si="32"/>
        <v>0</v>
      </c>
      <c r="P87" s="76">
        <f t="shared" si="32"/>
        <v>0</v>
      </c>
      <c r="Q87" s="76">
        <f t="shared" si="32"/>
        <v>0</v>
      </c>
      <c r="R87" s="76">
        <f t="shared" si="32"/>
        <v>0</v>
      </c>
      <c r="S87" s="76">
        <f t="shared" si="32"/>
        <v>0</v>
      </c>
      <c r="T87" s="76">
        <f t="shared" si="32"/>
        <v>0</v>
      </c>
      <c r="U87" s="76">
        <f t="shared" si="32"/>
        <v>0</v>
      </c>
      <c r="V87" s="76">
        <f t="shared" si="32"/>
        <v>0</v>
      </c>
      <c r="W87" s="76">
        <f t="shared" si="32"/>
        <v>0</v>
      </c>
      <c r="X87" s="76">
        <f t="shared" si="32"/>
        <v>0</v>
      </c>
      <c r="Y87" s="76">
        <v>0</v>
      </c>
      <c r="Z87" s="76">
        <f t="shared" si="32"/>
        <v>0</v>
      </c>
      <c r="AA87" s="76">
        <f t="shared" si="32"/>
        <v>0</v>
      </c>
      <c r="AB87" s="76">
        <f t="shared" si="32"/>
        <v>0</v>
      </c>
      <c r="AC87" s="76">
        <f t="shared" si="32"/>
        <v>0</v>
      </c>
      <c r="AD87" s="76">
        <f t="shared" si="32"/>
        <v>0</v>
      </c>
      <c r="AE87" s="76">
        <f t="shared" si="32"/>
        <v>0</v>
      </c>
      <c r="AF87" s="76">
        <f t="shared" si="32"/>
        <v>0</v>
      </c>
      <c r="AG87" s="86"/>
      <c r="AH87" s="48">
        <f t="shared" si="15"/>
        <v>0</v>
      </c>
      <c r="AI87" s="49">
        <f t="shared" si="16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>
        <v>0</v>
      </c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15"/>
        <v>0</v>
      </c>
      <c r="AI88" s="49">
        <f t="shared" si="16"/>
        <v>0</v>
      </c>
    </row>
    <row r="89" spans="1:37" ht="15.75" thickBot="1" x14ac:dyDescent="0.3">
      <c r="A89" s="87" t="s">
        <v>94</v>
      </c>
      <c r="B89" s="61">
        <f t="shared" ref="B89" si="33">SUM(B83:B88)</f>
        <v>401.7</v>
      </c>
      <c r="C89" s="61">
        <f t="shared" ref="C89:AF89" si="34">SUM(C83:C88)</f>
        <v>409.5</v>
      </c>
      <c r="D89" s="61">
        <f t="shared" si="34"/>
        <v>413.2</v>
      </c>
      <c r="E89" s="61">
        <f t="shared" si="34"/>
        <v>376</v>
      </c>
      <c r="F89" s="61">
        <f t="shared" si="34"/>
        <v>413</v>
      </c>
      <c r="G89" s="61">
        <f t="shared" si="34"/>
        <v>401.6</v>
      </c>
      <c r="H89" s="61">
        <f t="shared" si="34"/>
        <v>393</v>
      </c>
      <c r="I89" s="61">
        <f t="shared" si="34"/>
        <v>374.2</v>
      </c>
      <c r="J89" s="61">
        <f t="shared" si="34"/>
        <v>393.7</v>
      </c>
      <c r="K89" s="61">
        <f t="shared" si="34"/>
        <v>378</v>
      </c>
      <c r="L89" s="61">
        <f t="shared" si="34"/>
        <v>360.8</v>
      </c>
      <c r="M89" s="61">
        <f t="shared" si="34"/>
        <v>415</v>
      </c>
      <c r="N89" s="61">
        <f t="shared" si="34"/>
        <v>374</v>
      </c>
      <c r="O89" s="61">
        <f t="shared" si="34"/>
        <v>364</v>
      </c>
      <c r="P89" s="61">
        <f t="shared" si="34"/>
        <v>384.1</v>
      </c>
      <c r="Q89" s="61">
        <f t="shared" si="34"/>
        <v>380</v>
      </c>
      <c r="R89" s="61">
        <f t="shared" si="34"/>
        <v>382.2</v>
      </c>
      <c r="S89" s="61">
        <f t="shared" si="34"/>
        <v>372</v>
      </c>
      <c r="T89" s="61">
        <f t="shared" si="34"/>
        <v>377</v>
      </c>
      <c r="U89" s="61">
        <f t="shared" si="34"/>
        <v>383</v>
      </c>
      <c r="V89" s="61">
        <f t="shared" si="34"/>
        <v>365</v>
      </c>
      <c r="W89" s="61">
        <f t="shared" si="34"/>
        <v>364</v>
      </c>
      <c r="X89" s="61">
        <f t="shared" si="34"/>
        <v>378</v>
      </c>
      <c r="Y89" s="61">
        <v>372</v>
      </c>
      <c r="Z89" s="61">
        <f t="shared" si="34"/>
        <v>372</v>
      </c>
      <c r="AA89" s="61">
        <f t="shared" si="34"/>
        <v>360</v>
      </c>
      <c r="AB89" s="61">
        <f t="shared" si="34"/>
        <v>367</v>
      </c>
      <c r="AC89" s="61">
        <f t="shared" si="34"/>
        <v>394.5</v>
      </c>
      <c r="AD89" s="61">
        <f t="shared" si="34"/>
        <v>393</v>
      </c>
      <c r="AE89" s="61">
        <f t="shared" si="34"/>
        <v>385</v>
      </c>
      <c r="AF89" s="61">
        <f t="shared" si="34"/>
        <v>369</v>
      </c>
      <c r="AG89" s="81"/>
      <c r="AH89" s="48">
        <f t="shared" si="15"/>
        <v>415</v>
      </c>
      <c r="AI89" s="49">
        <f t="shared" si="16"/>
        <v>360</v>
      </c>
      <c r="AK89" s="50"/>
    </row>
    <row r="90" spans="1:37" ht="15.75" thickBot="1" x14ac:dyDescent="0.3">
      <c r="A90" s="74" t="s">
        <v>95</v>
      </c>
      <c r="B90" s="61">
        <f t="shared" ref="B90" si="35">B74-B89</f>
        <v>-401.7</v>
      </c>
      <c r="C90" s="61">
        <f t="shared" ref="C90:AF90" si="36">C74-C89</f>
        <v>-409.5</v>
      </c>
      <c r="D90" s="61">
        <f t="shared" si="36"/>
        <v>-413.2</v>
      </c>
      <c r="E90" s="61">
        <f t="shared" si="36"/>
        <v>-376</v>
      </c>
      <c r="F90" s="61">
        <f t="shared" si="36"/>
        <v>-413</v>
      </c>
      <c r="G90" s="61">
        <f t="shared" si="36"/>
        <v>-401.6</v>
      </c>
      <c r="H90" s="61">
        <f t="shared" si="36"/>
        <v>-393</v>
      </c>
      <c r="I90" s="61">
        <f t="shared" si="36"/>
        <v>-374.2</v>
      </c>
      <c r="J90" s="61">
        <f t="shared" si="36"/>
        <v>-393.7</v>
      </c>
      <c r="K90" s="61">
        <f t="shared" si="36"/>
        <v>-378</v>
      </c>
      <c r="L90" s="61">
        <f t="shared" si="36"/>
        <v>-360.8</v>
      </c>
      <c r="M90" s="61">
        <f t="shared" si="36"/>
        <v>-415</v>
      </c>
      <c r="N90" s="61">
        <f t="shared" si="36"/>
        <v>-374</v>
      </c>
      <c r="O90" s="61">
        <f t="shared" si="36"/>
        <v>-364</v>
      </c>
      <c r="P90" s="61">
        <f t="shared" si="36"/>
        <v>-384.1</v>
      </c>
      <c r="Q90" s="61">
        <f t="shared" si="36"/>
        <v>-380</v>
      </c>
      <c r="R90" s="61">
        <f t="shared" si="36"/>
        <v>-382.2</v>
      </c>
      <c r="S90" s="61">
        <f t="shared" si="36"/>
        <v>-372</v>
      </c>
      <c r="T90" s="61">
        <f t="shared" si="36"/>
        <v>-377</v>
      </c>
      <c r="U90" s="61">
        <f t="shared" si="36"/>
        <v>-383</v>
      </c>
      <c r="V90" s="61">
        <f t="shared" si="36"/>
        <v>-365</v>
      </c>
      <c r="W90" s="61">
        <f t="shared" si="36"/>
        <v>-364</v>
      </c>
      <c r="X90" s="61">
        <f t="shared" si="36"/>
        <v>-378</v>
      </c>
      <c r="Y90" s="61">
        <v>-372</v>
      </c>
      <c r="Z90" s="61">
        <f t="shared" si="36"/>
        <v>-372</v>
      </c>
      <c r="AA90" s="61">
        <f t="shared" si="36"/>
        <v>-360</v>
      </c>
      <c r="AB90" s="61">
        <f t="shared" si="36"/>
        <v>-367</v>
      </c>
      <c r="AC90" s="61">
        <f t="shared" si="36"/>
        <v>-394.5</v>
      </c>
      <c r="AD90" s="61">
        <f t="shared" si="36"/>
        <v>-393</v>
      </c>
      <c r="AE90" s="61">
        <f t="shared" si="36"/>
        <v>-385</v>
      </c>
      <c r="AF90" s="61">
        <f t="shared" si="36"/>
        <v>-369</v>
      </c>
      <c r="AG90" s="81"/>
      <c r="AH90" s="48">
        <f t="shared" si="15"/>
        <v>-360</v>
      </c>
      <c r="AI90" s="49">
        <f t="shared" si="16"/>
        <v>-415</v>
      </c>
    </row>
    <row r="91" spans="1:37" x14ac:dyDescent="0.25">
      <c r="A91" s="88" t="s">
        <v>96</v>
      </c>
      <c r="B91" s="89">
        <v>49.93</v>
      </c>
      <c r="C91" s="89">
        <v>49.92</v>
      </c>
      <c r="D91" s="89">
        <v>49.96</v>
      </c>
      <c r="E91" s="89">
        <v>49.956000000000003</v>
      </c>
      <c r="F91" s="89">
        <v>50.05</v>
      </c>
      <c r="G91" s="89">
        <v>50.015000000000001</v>
      </c>
      <c r="H91" s="89">
        <v>50.027000000000001</v>
      </c>
      <c r="I91" s="89">
        <v>49.999000000000002</v>
      </c>
      <c r="J91" s="89">
        <v>50.023000000000003</v>
      </c>
      <c r="K91" s="89">
        <v>50.027000000000001</v>
      </c>
      <c r="L91" s="89">
        <v>50.026000000000003</v>
      </c>
      <c r="M91" s="89">
        <v>50.091999999999999</v>
      </c>
      <c r="N91" s="89">
        <v>50.058</v>
      </c>
      <c r="O91" s="89">
        <v>50.034999999999997</v>
      </c>
      <c r="P91" s="89">
        <v>50.06</v>
      </c>
      <c r="Q91" s="89">
        <v>50.029000000000003</v>
      </c>
      <c r="R91" s="89">
        <v>50.021000000000001</v>
      </c>
      <c r="S91" s="89">
        <v>50.07</v>
      </c>
      <c r="T91" s="89">
        <v>49.933999999999997</v>
      </c>
      <c r="U91" s="89">
        <v>50.02</v>
      </c>
      <c r="V91" s="89">
        <v>50.03</v>
      </c>
      <c r="W91" s="89">
        <v>50.03</v>
      </c>
      <c r="X91" s="89">
        <v>50.07</v>
      </c>
      <c r="Y91" s="89">
        <v>50.07</v>
      </c>
      <c r="Z91" s="89">
        <v>50.06</v>
      </c>
      <c r="AA91" s="89">
        <v>49.97</v>
      </c>
      <c r="AB91" s="89">
        <v>50.1</v>
      </c>
      <c r="AC91" s="89">
        <v>50.021000000000001</v>
      </c>
      <c r="AD91" s="89">
        <v>49.975000000000001</v>
      </c>
      <c r="AE91" s="89">
        <v>50.04</v>
      </c>
      <c r="AF91" s="89">
        <v>50.012</v>
      </c>
      <c r="AG91" s="90"/>
      <c r="AH91" s="48">
        <f t="shared" si="15"/>
        <v>50.1</v>
      </c>
      <c r="AI91" s="49">
        <f t="shared" si="16"/>
        <v>49.92</v>
      </c>
    </row>
    <row r="92" spans="1:37" x14ac:dyDescent="0.25">
      <c r="A92" s="91" t="s">
        <v>97</v>
      </c>
      <c r="B92" s="65">
        <v>126.6</v>
      </c>
      <c r="C92" s="65">
        <v>126.9</v>
      </c>
      <c r="D92" s="65">
        <v>127</v>
      </c>
      <c r="E92" s="65">
        <v>127.7</v>
      </c>
      <c r="F92" s="65">
        <v>125.6</v>
      </c>
      <c r="G92" s="65">
        <v>126.3</v>
      </c>
      <c r="H92" s="65">
        <v>125.9</v>
      </c>
      <c r="I92" s="65">
        <v>124.9</v>
      </c>
      <c r="J92" s="65">
        <v>124.2</v>
      </c>
      <c r="K92" s="65">
        <v>123</v>
      </c>
      <c r="L92" s="65">
        <v>122.4</v>
      </c>
      <c r="M92" s="65">
        <v>124.2</v>
      </c>
      <c r="N92" s="65">
        <v>124.1</v>
      </c>
      <c r="O92" s="65">
        <v>123.9</v>
      </c>
      <c r="P92" s="65">
        <v>123.8</v>
      </c>
      <c r="Q92" s="65">
        <v>123.4</v>
      </c>
      <c r="R92" s="65">
        <v>125.8</v>
      </c>
      <c r="S92" s="65">
        <v>124.9</v>
      </c>
      <c r="T92" s="65">
        <v>123</v>
      </c>
      <c r="U92" s="65">
        <v>125.4</v>
      </c>
      <c r="V92" s="65">
        <v>130.6</v>
      </c>
      <c r="W92" s="65">
        <v>125.5</v>
      </c>
      <c r="X92" s="65">
        <v>125</v>
      </c>
      <c r="Y92" s="65">
        <v>125.2</v>
      </c>
      <c r="Z92" s="65">
        <v>126.5</v>
      </c>
      <c r="AA92" s="65">
        <v>126.4</v>
      </c>
      <c r="AB92" s="65">
        <v>127.1</v>
      </c>
      <c r="AC92" s="65">
        <v>127.7</v>
      </c>
      <c r="AD92" s="65">
        <v>127.4</v>
      </c>
      <c r="AE92" s="65" t="s">
        <v>244</v>
      </c>
      <c r="AF92" s="65">
        <v>127.6</v>
      </c>
      <c r="AG92" s="92"/>
      <c r="AH92" s="48">
        <f t="shared" si="15"/>
        <v>130.6</v>
      </c>
      <c r="AI92" s="49">
        <f t="shared" si="16"/>
        <v>122.4</v>
      </c>
    </row>
    <row r="93" spans="1:37" x14ac:dyDescent="0.25">
      <c r="A93" s="91" t="s">
        <v>98</v>
      </c>
      <c r="B93" s="65">
        <v>131.4</v>
      </c>
      <c r="C93" s="65">
        <v>131.4</v>
      </c>
      <c r="D93" s="65">
        <v>131.69999999999999</v>
      </c>
      <c r="E93" s="65">
        <v>131.69999999999999</v>
      </c>
      <c r="F93" s="65">
        <v>129.69999999999999</v>
      </c>
      <c r="G93" s="65">
        <v>130.19999999999999</v>
      </c>
      <c r="H93" s="65">
        <v>129.5</v>
      </c>
      <c r="I93" s="65">
        <v>128.5</v>
      </c>
      <c r="J93" s="65">
        <v>128.1</v>
      </c>
      <c r="K93" s="65">
        <v>127</v>
      </c>
      <c r="L93" s="65">
        <v>126.6</v>
      </c>
      <c r="M93" s="65">
        <v>127.5</v>
      </c>
      <c r="N93" s="65">
        <v>127.2</v>
      </c>
      <c r="O93" s="65">
        <v>127.2</v>
      </c>
      <c r="P93" s="65">
        <v>127.3</v>
      </c>
      <c r="Q93" s="65">
        <v>126.9</v>
      </c>
      <c r="R93" s="65">
        <v>129.30000000000001</v>
      </c>
      <c r="S93" s="65">
        <v>128.5</v>
      </c>
      <c r="T93" s="65">
        <v>127.5</v>
      </c>
      <c r="U93" s="65">
        <v>129.1</v>
      </c>
      <c r="V93" s="65">
        <v>130.6</v>
      </c>
      <c r="W93" s="65">
        <v>128</v>
      </c>
      <c r="X93" s="65">
        <v>127.3</v>
      </c>
      <c r="Y93" s="65">
        <v>127.8</v>
      </c>
      <c r="Z93" s="65">
        <v>129.1</v>
      </c>
      <c r="AA93" s="65">
        <v>129.1</v>
      </c>
      <c r="AB93" s="65">
        <v>130</v>
      </c>
      <c r="AC93" s="65">
        <v>130.69999999999999</v>
      </c>
      <c r="AD93" s="65">
        <v>130.5</v>
      </c>
      <c r="AE93" s="65">
        <v>131.5</v>
      </c>
      <c r="AF93" s="65">
        <v>131.5</v>
      </c>
      <c r="AG93" s="92"/>
      <c r="AH93" s="48">
        <f t="shared" si="15"/>
        <v>131.69999999999999</v>
      </c>
      <c r="AI93" s="49">
        <f t="shared" si="16"/>
        <v>126.6</v>
      </c>
    </row>
    <row r="94" spans="1:37" x14ac:dyDescent="0.25">
      <c r="A94" s="91" t="s">
        <v>99</v>
      </c>
      <c r="B94" s="65">
        <v>129.80000000000001</v>
      </c>
      <c r="C94" s="65">
        <v>130.30000000000001</v>
      </c>
      <c r="D94" s="65">
        <v>130.19999999999999</v>
      </c>
      <c r="E94" s="65">
        <v>131.6</v>
      </c>
      <c r="F94" s="65">
        <v>131.9</v>
      </c>
      <c r="G94" s="65">
        <v>130.69999999999999</v>
      </c>
      <c r="H94" s="65">
        <v>131.1</v>
      </c>
      <c r="I94" s="65">
        <v>130.6</v>
      </c>
      <c r="J94" s="65">
        <v>126.5</v>
      </c>
      <c r="K94" s="65">
        <v>128.5</v>
      </c>
      <c r="L94" s="65">
        <v>126.7</v>
      </c>
      <c r="M94" s="65">
        <v>127.4</v>
      </c>
      <c r="N94" s="65">
        <v>129.5</v>
      </c>
      <c r="O94" s="65">
        <v>127</v>
      </c>
      <c r="P94" s="65">
        <v>128.69999999999999</v>
      </c>
      <c r="Q94" s="65">
        <v>129.80000000000001</v>
      </c>
      <c r="R94" s="65">
        <v>130.19999999999999</v>
      </c>
      <c r="S94" s="65">
        <v>129.6</v>
      </c>
      <c r="T94" s="65">
        <v>129</v>
      </c>
      <c r="U94" s="65">
        <v>131</v>
      </c>
      <c r="V94" s="65">
        <v>131.19999999999999</v>
      </c>
      <c r="W94" s="65">
        <v>129</v>
      </c>
      <c r="X94" s="65">
        <v>130.19999999999999</v>
      </c>
      <c r="Y94" s="65">
        <v>131</v>
      </c>
      <c r="Z94" s="65">
        <v>130.5</v>
      </c>
      <c r="AA94" s="65">
        <v>131.4</v>
      </c>
      <c r="AB94" s="65">
        <v>129.69999999999999</v>
      </c>
      <c r="AC94" s="65">
        <v>131.19999999999999</v>
      </c>
      <c r="AD94" s="65">
        <v>131.1</v>
      </c>
      <c r="AE94" s="65">
        <v>131.30000000000001</v>
      </c>
      <c r="AF94" s="65">
        <v>130.6</v>
      </c>
      <c r="AG94" s="92"/>
      <c r="AH94" s="48">
        <f t="shared" si="15"/>
        <v>131.9</v>
      </c>
      <c r="AI94" s="49">
        <f t="shared" si="16"/>
        <v>126.5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15"/>
        <v>0</v>
      </c>
      <c r="AI95" s="49">
        <f t="shared" si="16"/>
        <v>0</v>
      </c>
    </row>
    <row r="96" spans="1:37" x14ac:dyDescent="0.25">
      <c r="A96" s="93" t="s">
        <v>101</v>
      </c>
      <c r="B96" s="94">
        <v>134.1</v>
      </c>
      <c r="C96" s="94">
        <v>136.69999999999999</v>
      </c>
      <c r="D96" s="94">
        <v>135.80000000000001</v>
      </c>
      <c r="E96" s="94">
        <v>132.9</v>
      </c>
      <c r="F96" s="94">
        <v>133.1</v>
      </c>
      <c r="G96" s="94">
        <v>132.4</v>
      </c>
      <c r="H96" s="94">
        <v>131.19999999999999</v>
      </c>
      <c r="I96" s="94">
        <v>130.9</v>
      </c>
      <c r="J96" s="94">
        <v>130.1</v>
      </c>
      <c r="K96" s="94">
        <v>131.6</v>
      </c>
      <c r="L96" s="94">
        <v>131.4</v>
      </c>
      <c r="M96" s="94">
        <v>131.5</v>
      </c>
      <c r="N96" s="94">
        <v>131</v>
      </c>
      <c r="O96" s="94">
        <v>132.19999999999999</v>
      </c>
      <c r="P96" s="94">
        <v>130.4</v>
      </c>
      <c r="Q96" s="94">
        <v>130.69999999999999</v>
      </c>
      <c r="R96" s="94">
        <v>134.6</v>
      </c>
      <c r="S96" s="94">
        <v>1318</v>
      </c>
      <c r="T96" s="94">
        <v>131.69999999999999</v>
      </c>
      <c r="U96" s="94">
        <v>134.19999999999999</v>
      </c>
      <c r="V96" s="94">
        <v>135.4</v>
      </c>
      <c r="W96" s="94">
        <v>133.69999999999999</v>
      </c>
      <c r="X96" s="94">
        <v>130.30000000000001</v>
      </c>
      <c r="Y96" s="94">
        <v>133.30000000000001</v>
      </c>
      <c r="Z96" s="94">
        <v>134.80000000000001</v>
      </c>
      <c r="AA96" s="94">
        <v>132.5</v>
      </c>
      <c r="AB96" s="94">
        <v>133.1</v>
      </c>
      <c r="AC96" s="94">
        <v>133.80000000000001</v>
      </c>
      <c r="AD96" s="94">
        <v>133.80000000000001</v>
      </c>
      <c r="AE96" s="94">
        <v>133.19999999999999</v>
      </c>
      <c r="AF96" s="94">
        <v>133</v>
      </c>
      <c r="AG96" s="95"/>
      <c r="AH96" s="48">
        <f t="shared" si="15"/>
        <v>1318</v>
      </c>
      <c r="AI96" s="49">
        <f t="shared" si="16"/>
        <v>130.1</v>
      </c>
    </row>
    <row r="97" spans="1:37" x14ac:dyDescent="0.25">
      <c r="A97" s="91" t="s">
        <v>102</v>
      </c>
      <c r="B97" s="65">
        <v>133.1</v>
      </c>
      <c r="C97" s="65">
        <v>135.69999999999999</v>
      </c>
      <c r="D97" s="65">
        <v>133.69999999999999</v>
      </c>
      <c r="E97" s="65">
        <v>130.5</v>
      </c>
      <c r="F97" s="65">
        <v>130.19999999999999</v>
      </c>
      <c r="G97" s="65">
        <v>129.19999999999999</v>
      </c>
      <c r="H97" s="65">
        <v>130.69999999999999</v>
      </c>
      <c r="I97" s="65">
        <v>128.5</v>
      </c>
      <c r="J97" s="65">
        <v>126.9</v>
      </c>
      <c r="K97" s="65">
        <v>128.19999999999999</v>
      </c>
      <c r="L97" s="65">
        <v>129.5</v>
      </c>
      <c r="M97" s="65">
        <v>132</v>
      </c>
      <c r="N97" s="65">
        <v>128.69999999999999</v>
      </c>
      <c r="O97" s="65">
        <v>129.4</v>
      </c>
      <c r="P97" s="65">
        <v>126.3</v>
      </c>
      <c r="Q97" s="65">
        <v>130.1</v>
      </c>
      <c r="R97" s="65">
        <v>133</v>
      </c>
      <c r="S97" s="65">
        <v>128</v>
      </c>
      <c r="T97" s="65">
        <v>129.6</v>
      </c>
      <c r="U97" s="65">
        <v>133</v>
      </c>
      <c r="V97" s="65">
        <v>132.5</v>
      </c>
      <c r="W97" s="65">
        <v>132.19999999999999</v>
      </c>
      <c r="X97" s="65">
        <v>126.9</v>
      </c>
      <c r="Y97" s="65">
        <v>132.69999999999999</v>
      </c>
      <c r="Z97" s="65">
        <v>132.4</v>
      </c>
      <c r="AA97" s="65">
        <v>128.80000000000001</v>
      </c>
      <c r="AB97" s="65">
        <v>133.9</v>
      </c>
      <c r="AC97" s="65">
        <v>134.5</v>
      </c>
      <c r="AD97" s="65">
        <v>135</v>
      </c>
      <c r="AE97" s="65">
        <v>132.30000000000001</v>
      </c>
      <c r="AF97" s="65">
        <v>130.1</v>
      </c>
      <c r="AG97" s="92"/>
      <c r="AH97" s="48">
        <f t="shared" si="15"/>
        <v>135.69999999999999</v>
      </c>
      <c r="AI97" s="49">
        <f t="shared" si="16"/>
        <v>126.3</v>
      </c>
    </row>
    <row r="98" spans="1:37" ht="15.75" thickBot="1" x14ac:dyDescent="0.3">
      <c r="A98" s="91" t="s">
        <v>103</v>
      </c>
      <c r="B98" s="96">
        <v>66.3</v>
      </c>
      <c r="C98" s="96">
        <v>66.400000000000006</v>
      </c>
      <c r="D98" s="96">
        <v>66.3</v>
      </c>
      <c r="E98" s="96">
        <v>66.400000000000006</v>
      </c>
      <c r="F98" s="96">
        <v>65.599999999999994</v>
      </c>
      <c r="G98" s="96">
        <v>65.7</v>
      </c>
      <c r="H98" s="96">
        <v>65.400000000000006</v>
      </c>
      <c r="I98" s="96">
        <v>65.099999999999994</v>
      </c>
      <c r="J98" s="96">
        <v>64.7</v>
      </c>
      <c r="K98" s="96">
        <v>64</v>
      </c>
      <c r="L98" s="96">
        <v>64</v>
      </c>
      <c r="M98" s="96">
        <v>64.7</v>
      </c>
      <c r="N98" s="96">
        <v>64.3</v>
      </c>
      <c r="O98" s="96">
        <v>64.400000000000006</v>
      </c>
      <c r="P98" s="96">
        <v>64.3</v>
      </c>
      <c r="Q98" s="96">
        <v>64.2</v>
      </c>
      <c r="R98" s="96">
        <v>653</v>
      </c>
      <c r="S98" s="96">
        <v>64.7</v>
      </c>
      <c r="T98" s="96">
        <v>64.400000000000006</v>
      </c>
      <c r="U98" s="96">
        <v>65</v>
      </c>
      <c r="V98" s="96">
        <v>65.5</v>
      </c>
      <c r="W98" s="96">
        <v>64.5</v>
      </c>
      <c r="X98" s="96">
        <v>64.2</v>
      </c>
      <c r="Y98" s="96">
        <v>64.5</v>
      </c>
      <c r="Z98" s="96">
        <v>65.2</v>
      </c>
      <c r="AA98" s="96">
        <v>65.2</v>
      </c>
      <c r="AB98" s="96">
        <v>65.5</v>
      </c>
      <c r="AC98" s="96">
        <v>66</v>
      </c>
      <c r="AD98" s="96">
        <v>66</v>
      </c>
      <c r="AE98" s="96">
        <v>66.599999999999994</v>
      </c>
      <c r="AF98" s="96">
        <v>66.5</v>
      </c>
      <c r="AG98" s="97"/>
      <c r="AH98" s="48">
        <f t="shared" si="15"/>
        <v>653</v>
      </c>
      <c r="AI98" s="49">
        <f t="shared" si="16"/>
        <v>64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 t="s">
        <v>243</v>
      </c>
      <c r="Z99" s="96"/>
      <c r="AA99" s="96"/>
      <c r="AB99" s="96"/>
      <c r="AC99" s="96"/>
      <c r="AD99" s="96"/>
      <c r="AE99" s="96"/>
      <c r="AF99" s="96"/>
      <c r="AG99" s="97"/>
      <c r="AH99" s="48">
        <f t="shared" si="15"/>
        <v>0</v>
      </c>
      <c r="AI99" s="49">
        <f t="shared" si="16"/>
        <v>0</v>
      </c>
    </row>
    <row r="100" spans="1:37" ht="15.75" thickBot="1" x14ac:dyDescent="0.3">
      <c r="A100" s="99" t="s">
        <v>104</v>
      </c>
      <c r="B100" s="100">
        <f t="shared" ref="B100" si="37">SUM(B15,B20,B22:B23,B48,B50:B51,B53,B55,B101:B105,B127,B133,B139,B148,B150,B162,B169,B172:B173,B180,B182,B184,B188:B190,B192:B194,B199,B205:B206,B208:B210,B218,B223)</f>
        <v>107</v>
      </c>
      <c r="C100" s="100">
        <f t="shared" ref="C100:AF100" si="38">SUM(C15,C20,C22:C23,C48,C50:C51,C53,C55,C101:C105,C127,C133,C139,C148,C150,C162,C169,C172:C173,C180,C182,C184,C188:C190,C192:C194,C199,C205:C206,C208:C210,C218,C223)</f>
        <v>56.339999999999989</v>
      </c>
      <c r="D100" s="100">
        <f t="shared" si="38"/>
        <v>51.339999999999982</v>
      </c>
      <c r="E100" s="100">
        <f t="shared" si="38"/>
        <v>52.640000000000022</v>
      </c>
      <c r="F100" s="100">
        <f t="shared" si="38"/>
        <v>35.340000000000011</v>
      </c>
      <c r="G100" s="100">
        <f t="shared" si="38"/>
        <v>51.64</v>
      </c>
      <c r="H100" s="100">
        <f t="shared" si="38"/>
        <v>75.339999999999989</v>
      </c>
      <c r="I100" s="100">
        <f t="shared" si="38"/>
        <v>88.54000000000002</v>
      </c>
      <c r="J100" s="100">
        <f t="shared" si="38"/>
        <v>138.04</v>
      </c>
      <c r="K100" s="100">
        <f t="shared" si="38"/>
        <v>128.84</v>
      </c>
      <c r="L100" s="100">
        <f t="shared" si="38"/>
        <v>170.44</v>
      </c>
      <c r="M100" s="100">
        <f t="shared" si="38"/>
        <v>182.74</v>
      </c>
      <c r="N100" s="100">
        <f t="shared" si="38"/>
        <v>178.64000000000001</v>
      </c>
      <c r="O100" s="100">
        <f t="shared" si="38"/>
        <v>159.04</v>
      </c>
      <c r="P100" s="100">
        <f t="shared" si="38"/>
        <v>139.54</v>
      </c>
      <c r="Q100" s="100">
        <f t="shared" si="38"/>
        <v>144</v>
      </c>
      <c r="R100" s="100">
        <f t="shared" si="38"/>
        <v>125.10000000000001</v>
      </c>
      <c r="S100" s="100">
        <f t="shared" si="38"/>
        <v>141.9</v>
      </c>
      <c r="T100" s="100">
        <f t="shared" si="38"/>
        <v>132.50000000000003</v>
      </c>
      <c r="U100" s="100">
        <f t="shared" si="38"/>
        <v>176.99999999999997</v>
      </c>
      <c r="V100" s="100">
        <f t="shared" si="38"/>
        <v>169.5</v>
      </c>
      <c r="W100" s="100">
        <f t="shared" si="38"/>
        <v>230.39999999999998</v>
      </c>
      <c r="X100" s="100">
        <f t="shared" si="38"/>
        <v>271</v>
      </c>
      <c r="Y100" s="100">
        <v>276.59708333333333</v>
      </c>
      <c r="Z100" s="100">
        <f t="shared" si="38"/>
        <v>223.7</v>
      </c>
      <c r="AA100" s="100">
        <f t="shared" si="38"/>
        <v>217.7</v>
      </c>
      <c r="AB100" s="100">
        <f t="shared" si="38"/>
        <v>187.80000000000004</v>
      </c>
      <c r="AC100" s="100">
        <f t="shared" si="38"/>
        <v>167.9</v>
      </c>
      <c r="AD100" s="100">
        <f t="shared" si="38"/>
        <v>137.80000000000001</v>
      </c>
      <c r="AE100" s="100">
        <f t="shared" si="38"/>
        <v>107.00000000000001</v>
      </c>
      <c r="AF100" s="100">
        <f t="shared" si="38"/>
        <v>72.2</v>
      </c>
      <c r="AG100" s="101"/>
      <c r="AH100" s="48">
        <f t="shared" si="15"/>
        <v>276.59708333333333</v>
      </c>
      <c r="AI100" s="49">
        <f t="shared" si="16"/>
        <v>35.340000000000011</v>
      </c>
    </row>
    <row r="101" spans="1:37" x14ac:dyDescent="0.25">
      <c r="A101" s="88" t="s">
        <v>105</v>
      </c>
      <c r="B101" s="102">
        <v>28.8</v>
      </c>
      <c r="C101" s="102">
        <v>29.1</v>
      </c>
      <c r="D101" s="102">
        <v>28.9</v>
      </c>
      <c r="E101" s="102">
        <v>27.8</v>
      </c>
      <c r="F101" s="102">
        <v>18.8</v>
      </c>
      <c r="G101" s="102">
        <v>15.7</v>
      </c>
      <c r="H101" s="102">
        <v>15</v>
      </c>
      <c r="I101" s="102">
        <v>16.7</v>
      </c>
      <c r="J101" s="102">
        <v>22.2</v>
      </c>
      <c r="K101" s="102">
        <v>14.9</v>
      </c>
      <c r="L101" s="102">
        <v>12.9</v>
      </c>
      <c r="M101" s="102">
        <v>29.5</v>
      </c>
      <c r="N101" s="102">
        <v>27.4</v>
      </c>
      <c r="O101" s="102">
        <v>27.7</v>
      </c>
      <c r="P101" s="102">
        <v>24.6</v>
      </c>
      <c r="Q101" s="102">
        <v>29.4</v>
      </c>
      <c r="R101" s="102">
        <v>27</v>
      </c>
      <c r="S101" s="102">
        <v>11.9</v>
      </c>
      <c r="T101" s="102">
        <v>26.3</v>
      </c>
      <c r="U101" s="102">
        <v>20.2</v>
      </c>
      <c r="V101" s="102">
        <v>30.1</v>
      </c>
      <c r="W101" s="102">
        <v>38.6</v>
      </c>
      <c r="X101" s="102">
        <v>35.299999999999997</v>
      </c>
      <c r="Y101" s="102">
        <v>39.1</v>
      </c>
      <c r="Z101" s="102">
        <v>28.6</v>
      </c>
      <c r="AA101" s="102">
        <v>34.1</v>
      </c>
      <c r="AB101" s="102">
        <v>42.1</v>
      </c>
      <c r="AC101" s="102">
        <v>41.1</v>
      </c>
      <c r="AD101" s="102">
        <v>43.1</v>
      </c>
      <c r="AE101" s="102">
        <v>36.5</v>
      </c>
      <c r="AF101" s="102">
        <v>25.7</v>
      </c>
      <c r="AG101" s="103">
        <v>75</v>
      </c>
      <c r="AH101" s="48">
        <f t="shared" si="15"/>
        <v>43.1</v>
      </c>
      <c r="AI101" s="49">
        <f t="shared" si="16"/>
        <v>11.9</v>
      </c>
    </row>
    <row r="102" spans="1:37" x14ac:dyDescent="0.25">
      <c r="A102" s="91" t="s">
        <v>106</v>
      </c>
      <c r="B102" s="104">
        <v>50.8</v>
      </c>
      <c r="C102" s="104">
        <v>51.4</v>
      </c>
      <c r="D102" s="104">
        <v>52.7</v>
      </c>
      <c r="E102" s="104">
        <v>50.7</v>
      </c>
      <c r="F102" s="104">
        <v>40.5</v>
      </c>
      <c r="G102" s="104">
        <v>34.799999999999997</v>
      </c>
      <c r="H102" s="104">
        <v>33</v>
      </c>
      <c r="I102" s="104">
        <v>35.700000000000003</v>
      </c>
      <c r="J102" s="104">
        <v>41.9</v>
      </c>
      <c r="K102" s="104">
        <v>36.1</v>
      </c>
      <c r="L102" s="104">
        <v>31.1</v>
      </c>
      <c r="M102" s="104">
        <v>51.4</v>
      </c>
      <c r="N102" s="104">
        <v>44.4</v>
      </c>
      <c r="O102" s="104">
        <v>46</v>
      </c>
      <c r="P102" s="104">
        <v>41.9</v>
      </c>
      <c r="Q102" s="104">
        <v>47.7</v>
      </c>
      <c r="R102" s="104">
        <v>36.5</v>
      </c>
      <c r="S102" s="104">
        <v>21.7</v>
      </c>
      <c r="T102" s="104">
        <v>37</v>
      </c>
      <c r="U102" s="104">
        <v>32.6</v>
      </c>
      <c r="V102" s="104">
        <v>41.6</v>
      </c>
      <c r="W102" s="104">
        <v>56</v>
      </c>
      <c r="X102" s="104">
        <v>52.3</v>
      </c>
      <c r="Y102" s="104">
        <v>-71.699999999999989</v>
      </c>
      <c r="Z102" s="104">
        <v>42.4</v>
      </c>
      <c r="AA102" s="104">
        <v>49.5</v>
      </c>
      <c r="AB102" s="104">
        <v>60.6</v>
      </c>
      <c r="AC102" s="104">
        <v>59.9</v>
      </c>
      <c r="AD102" s="104">
        <v>62.4</v>
      </c>
      <c r="AE102" s="104">
        <v>55.5</v>
      </c>
      <c r="AF102" s="104">
        <v>46.4</v>
      </c>
      <c r="AG102" s="103">
        <v>240</v>
      </c>
      <c r="AH102" s="48">
        <f t="shared" si="15"/>
        <v>62.4</v>
      </c>
      <c r="AI102" s="49">
        <f t="shared" si="16"/>
        <v>-71.699999999999989</v>
      </c>
    </row>
    <row r="103" spans="1:37" x14ac:dyDescent="0.25">
      <c r="A103" s="91" t="s">
        <v>107</v>
      </c>
      <c r="B103" s="104">
        <f>-58.4-56.2</f>
        <v>-114.6</v>
      </c>
      <c r="C103" s="104">
        <f>-57.9-62</f>
        <v>-119.9</v>
      </c>
      <c r="D103" s="104">
        <f>-61-64.7</f>
        <v>-125.7</v>
      </c>
      <c r="E103" s="104">
        <v>-121</v>
      </c>
      <c r="F103" s="104">
        <v>-130</v>
      </c>
      <c r="G103" s="104">
        <v>-108</v>
      </c>
      <c r="H103" s="104">
        <v>-85</v>
      </c>
      <c r="I103" s="104">
        <v>-84</v>
      </c>
      <c r="J103" s="104">
        <v>-72</v>
      </c>
      <c r="K103" s="104">
        <v>-86</v>
      </c>
      <c r="L103" s="104">
        <v>-82</v>
      </c>
      <c r="M103" s="104">
        <f>-42.9-45.6</f>
        <v>-88.5</v>
      </c>
      <c r="N103" s="104">
        <f>-40-44</f>
        <v>-84</v>
      </c>
      <c r="O103" s="104">
        <f>-44-48</f>
        <v>-92</v>
      </c>
      <c r="P103" s="104">
        <f>-46-50</f>
        <v>-96</v>
      </c>
      <c r="Q103" s="104">
        <f>-48-51</f>
        <v>-99</v>
      </c>
      <c r="R103" s="104">
        <f>-51-55.5</f>
        <v>-106.5</v>
      </c>
      <c r="S103" s="104">
        <f>-39.6-42.5</f>
        <v>-82.1</v>
      </c>
      <c r="T103" s="104">
        <v>-107</v>
      </c>
      <c r="U103" s="104">
        <f>-4.1-45.2</f>
        <v>-49.300000000000004</v>
      </c>
      <c r="V103" s="104">
        <f>-37.3-34.5</f>
        <v>-71.8</v>
      </c>
      <c r="W103" s="104">
        <f>-35-37.6</f>
        <v>-72.599999999999994</v>
      </c>
      <c r="X103" s="104">
        <f>-33.9-33</f>
        <v>-66.900000000000006</v>
      </c>
      <c r="Y103" s="104">
        <v>-71</v>
      </c>
      <c r="Z103" s="104">
        <v>-71.7</v>
      </c>
      <c r="AA103" s="104">
        <f>-36.5-39.4</f>
        <v>-75.900000000000006</v>
      </c>
      <c r="AB103" s="104">
        <f>-40.5-43.2</f>
        <v>-83.7</v>
      </c>
      <c r="AC103" s="104">
        <f>-48.8-52</f>
        <v>-100.8</v>
      </c>
      <c r="AD103" s="104">
        <f>-54.3-57.7</f>
        <v>-112</v>
      </c>
      <c r="AE103" s="104">
        <f>-60-64</f>
        <v>-124</v>
      </c>
      <c r="AF103" s="104">
        <f>-62-65</f>
        <v>-127</v>
      </c>
      <c r="AG103" s="103">
        <v>240</v>
      </c>
      <c r="AH103" s="48">
        <f t="shared" si="15"/>
        <v>-49.300000000000004</v>
      </c>
      <c r="AI103" s="49">
        <f t="shared" si="16"/>
        <v>-130</v>
      </c>
    </row>
    <row r="104" spans="1:37" x14ac:dyDescent="0.25">
      <c r="A104" s="91" t="s">
        <v>108</v>
      </c>
      <c r="B104" s="104">
        <v>-9.6</v>
      </c>
      <c r="C104" s="104">
        <v>-10.7</v>
      </c>
      <c r="D104" s="104">
        <v>-10.6</v>
      </c>
      <c r="E104" s="104">
        <v>-10.9</v>
      </c>
      <c r="F104" s="104">
        <v>-11.9</v>
      </c>
      <c r="G104" s="104">
        <v>-8.8000000000000007</v>
      </c>
      <c r="H104" s="104">
        <v>-5.8</v>
      </c>
      <c r="I104" s="104">
        <v>2</v>
      </c>
      <c r="J104" s="104">
        <v>7.8</v>
      </c>
      <c r="K104" s="104">
        <v>9.6999999999999993</v>
      </c>
      <c r="L104" s="104">
        <v>11.9</v>
      </c>
      <c r="M104" s="104">
        <v>11.6</v>
      </c>
      <c r="N104" s="104">
        <v>11.4</v>
      </c>
      <c r="O104" s="104">
        <v>12.2</v>
      </c>
      <c r="P104" s="104">
        <v>11.1</v>
      </c>
      <c r="Q104" s="104">
        <v>12.3</v>
      </c>
      <c r="R104" s="104">
        <v>10.199999999999999</v>
      </c>
      <c r="S104" s="104">
        <v>13.2</v>
      </c>
      <c r="T104" s="104">
        <v>11.4</v>
      </c>
      <c r="U104" s="104">
        <v>12.1</v>
      </c>
      <c r="V104" s="104">
        <v>15.3</v>
      </c>
      <c r="W104" s="104">
        <v>15.1</v>
      </c>
      <c r="X104" s="104">
        <v>15.4</v>
      </c>
      <c r="Y104" s="104">
        <v>14</v>
      </c>
      <c r="Z104" s="104">
        <v>14</v>
      </c>
      <c r="AA104" s="104">
        <v>13.6</v>
      </c>
      <c r="AB104" s="104">
        <v>11.4</v>
      </c>
      <c r="AC104" s="104">
        <v>10.4</v>
      </c>
      <c r="AD104" s="104">
        <v>8</v>
      </c>
      <c r="AE104" s="104">
        <v>2.7</v>
      </c>
      <c r="AF104" s="104">
        <v>1.2</v>
      </c>
      <c r="AG104" s="103">
        <v>60</v>
      </c>
      <c r="AH104" s="48">
        <f t="shared" si="15"/>
        <v>15.4</v>
      </c>
      <c r="AI104" s="49">
        <f t="shared" si="16"/>
        <v>-11.9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55</v>
      </c>
      <c r="M105" s="106">
        <v>37.4</v>
      </c>
      <c r="N105" s="106">
        <v>38.1</v>
      </c>
      <c r="O105" s="106">
        <v>23.8</v>
      </c>
      <c r="P105" s="106">
        <v>16.600000000000001</v>
      </c>
      <c r="Q105" s="106">
        <v>13.2</v>
      </c>
      <c r="R105" s="106">
        <v>26.5</v>
      </c>
      <c r="S105" s="106">
        <v>34.4</v>
      </c>
      <c r="T105" s="106">
        <v>23.4</v>
      </c>
      <c r="U105" s="106">
        <v>20.399999999999999</v>
      </c>
      <c r="V105" s="106">
        <v>29.3</v>
      </c>
      <c r="W105" s="106">
        <v>52.3</v>
      </c>
      <c r="X105" s="106">
        <v>73</v>
      </c>
      <c r="Y105" s="104">
        <v>74</v>
      </c>
      <c r="Z105" s="104">
        <v>65</v>
      </c>
      <c r="AA105" s="106">
        <v>51</v>
      </c>
      <c r="AB105" s="106">
        <v>0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15"/>
        <v>74</v>
      </c>
      <c r="AI105" s="49">
        <f t="shared" si="16"/>
        <v>0</v>
      </c>
    </row>
    <row r="106" spans="1:37" x14ac:dyDescent="0.25">
      <c r="A106" s="105" t="s">
        <v>110</v>
      </c>
      <c r="B106" s="106">
        <v>8.3000000000000007</v>
      </c>
      <c r="C106" s="106">
        <v>7.6</v>
      </c>
      <c r="D106" s="106">
        <v>3.7</v>
      </c>
      <c r="E106" s="106">
        <v>3.4</v>
      </c>
      <c r="F106" s="106">
        <v>1.7</v>
      </c>
      <c r="G106" s="106">
        <v>20.7</v>
      </c>
      <c r="H106" s="106">
        <v>24.2</v>
      </c>
      <c r="I106" s="106">
        <v>32.700000000000003</v>
      </c>
      <c r="J106" s="106">
        <v>31.8</v>
      </c>
      <c r="K106" s="106">
        <v>-39</v>
      </c>
      <c r="L106" s="106">
        <v>72.900000000000006</v>
      </c>
      <c r="M106" s="106">
        <v>32.9</v>
      </c>
      <c r="N106" s="106">
        <v>43.1</v>
      </c>
      <c r="O106" s="106">
        <v>21.4</v>
      </c>
      <c r="P106" s="106">
        <v>26.8</v>
      </c>
      <c r="Q106" s="106">
        <v>29.9</v>
      </c>
      <c r="R106" s="106">
        <v>45</v>
      </c>
      <c r="S106" s="106">
        <v>45.5</v>
      </c>
      <c r="T106" s="106">
        <v>33.9</v>
      </c>
      <c r="U106" s="106">
        <v>23</v>
      </c>
      <c r="V106" s="106">
        <v>9.6</v>
      </c>
      <c r="W106" s="106">
        <v>14.1</v>
      </c>
      <c r="X106" s="106">
        <v>25.8</v>
      </c>
      <c r="Y106" s="104">
        <v>63</v>
      </c>
      <c r="Z106" s="104">
        <v>63</v>
      </c>
      <c r="AA106" s="106">
        <v>16.600000000000001</v>
      </c>
      <c r="AB106" s="106">
        <v>4.5</v>
      </c>
      <c r="AC106" s="106">
        <v>-7.6</v>
      </c>
      <c r="AD106" s="106">
        <v>-18.8</v>
      </c>
      <c r="AE106" s="106">
        <v>-16.3</v>
      </c>
      <c r="AF106" s="106">
        <v>-5</v>
      </c>
      <c r="AG106" s="107"/>
      <c r="AH106" s="48">
        <f t="shared" si="15"/>
        <v>72.900000000000006</v>
      </c>
      <c r="AI106" s="49">
        <f t="shared" si="16"/>
        <v>-39</v>
      </c>
    </row>
    <row r="107" spans="1:37" x14ac:dyDescent="0.25">
      <c r="A107" s="105" t="s">
        <v>111</v>
      </c>
      <c r="B107" s="106">
        <v>-10.199999999999999</v>
      </c>
      <c r="C107" s="106">
        <v>-4.2</v>
      </c>
      <c r="D107" s="106">
        <v>-1.1000000000000001</v>
      </c>
      <c r="E107" s="106">
        <v>2.4</v>
      </c>
      <c r="F107" s="106">
        <v>-28</v>
      </c>
      <c r="G107" s="106">
        <v>-18.5</v>
      </c>
      <c r="H107" s="106">
        <v>-13.3</v>
      </c>
      <c r="I107" s="106">
        <v>-24.8</v>
      </c>
      <c r="J107" s="106">
        <v>-45.1</v>
      </c>
      <c r="K107" s="106">
        <v>-35</v>
      </c>
      <c r="L107" s="106">
        <v>-27.4</v>
      </c>
      <c r="M107" s="106">
        <v>-50.7</v>
      </c>
      <c r="N107" s="106">
        <v>-52.5</v>
      </c>
      <c r="O107" s="106">
        <v>-52.9</v>
      </c>
      <c r="P107" s="106">
        <v>-42.7</v>
      </c>
      <c r="Q107" s="106">
        <v>-66.099999999999994</v>
      </c>
      <c r="R107" s="106">
        <v>-44.3</v>
      </c>
      <c r="S107" s="106">
        <v>-40.200000000000003</v>
      </c>
      <c r="T107" s="106">
        <v>-37.5</v>
      </c>
      <c r="U107" s="106">
        <v>-40</v>
      </c>
      <c r="V107" s="106">
        <v>-2.9</v>
      </c>
      <c r="W107" s="106">
        <v>67.900000000000006</v>
      </c>
      <c r="X107" s="106">
        <v>20.5</v>
      </c>
      <c r="Y107" s="106">
        <v>21.9</v>
      </c>
      <c r="Z107" s="106">
        <v>21.9</v>
      </c>
      <c r="AA107" s="106">
        <v>2</v>
      </c>
      <c r="AB107" s="106">
        <v>-26.1</v>
      </c>
      <c r="AC107" s="106">
        <v>-22.2</v>
      </c>
      <c r="AD107" s="106">
        <v>-29.9</v>
      </c>
      <c r="AE107" s="106">
        <v>-18.5</v>
      </c>
      <c r="AF107" s="106">
        <v>26.2</v>
      </c>
      <c r="AG107" s="108"/>
      <c r="AH107" s="48">
        <f t="shared" si="15"/>
        <v>67.900000000000006</v>
      </c>
      <c r="AI107" s="49">
        <f t="shared" si="16"/>
        <v>-66.099999999999994</v>
      </c>
    </row>
    <row r="108" spans="1:37" x14ac:dyDescent="0.25">
      <c r="A108" s="109" t="s">
        <v>112</v>
      </c>
      <c r="B108" s="94">
        <v>120.5</v>
      </c>
      <c r="C108" s="94">
        <v>121.2</v>
      </c>
      <c r="D108" s="94">
        <v>123.7</v>
      </c>
      <c r="E108" s="94">
        <v>93.9</v>
      </c>
      <c r="F108" s="94">
        <v>114.2</v>
      </c>
      <c r="G108" s="94">
        <v>125</v>
      </c>
      <c r="H108" s="94">
        <v>91</v>
      </c>
      <c r="I108" s="94">
        <v>109.2</v>
      </c>
      <c r="J108" s="94">
        <v>112.2</v>
      </c>
      <c r="K108" s="94">
        <v>104.3</v>
      </c>
      <c r="L108" s="94">
        <v>109.7</v>
      </c>
      <c r="M108" s="94">
        <v>110.2</v>
      </c>
      <c r="N108" s="94">
        <v>115.1</v>
      </c>
      <c r="O108" s="94">
        <v>85</v>
      </c>
      <c r="P108" s="94">
        <v>114.9</v>
      </c>
      <c r="Q108" s="94">
        <v>107.5</v>
      </c>
      <c r="R108" s="94">
        <v>121.1</v>
      </c>
      <c r="S108" s="94">
        <v>108.4</v>
      </c>
      <c r="T108" s="94">
        <v>107.8</v>
      </c>
      <c r="U108" s="94">
        <v>106.5</v>
      </c>
      <c r="V108" s="94">
        <v>96.1</v>
      </c>
      <c r="W108" s="94">
        <v>81.7</v>
      </c>
      <c r="X108" s="94">
        <v>84</v>
      </c>
      <c r="Y108" s="106">
        <v>106</v>
      </c>
      <c r="Z108" s="106">
        <v>106</v>
      </c>
      <c r="AA108" s="94">
        <v>92.6</v>
      </c>
      <c r="AB108" s="94">
        <v>98.9</v>
      </c>
      <c r="AC108" s="94">
        <v>90.2</v>
      </c>
      <c r="AD108" s="94">
        <v>104.2</v>
      </c>
      <c r="AE108" s="94">
        <v>114.4</v>
      </c>
      <c r="AF108" s="94">
        <v>115</v>
      </c>
      <c r="AG108" s="108"/>
      <c r="AH108" s="48">
        <f t="shared" si="15"/>
        <v>125</v>
      </c>
      <c r="AI108" s="49">
        <f t="shared" si="16"/>
        <v>81.7</v>
      </c>
    </row>
    <row r="109" spans="1:37" ht="15.75" thickBot="1" x14ac:dyDescent="0.3">
      <c r="A109" s="109" t="s">
        <v>113</v>
      </c>
      <c r="B109" s="94">
        <v>89.9</v>
      </c>
      <c r="C109" s="94">
        <v>95.2</v>
      </c>
      <c r="D109" s="94">
        <v>96.2</v>
      </c>
      <c r="E109" s="94">
        <v>90.1</v>
      </c>
      <c r="F109" s="94">
        <v>95</v>
      </c>
      <c r="G109" s="94">
        <v>76.400000000000006</v>
      </c>
      <c r="H109" s="94">
        <v>60.1</v>
      </c>
      <c r="I109" s="94">
        <v>63.2</v>
      </c>
      <c r="J109" s="94">
        <v>55.9</v>
      </c>
      <c r="K109" s="94">
        <v>68</v>
      </c>
      <c r="L109" s="94">
        <v>56.6</v>
      </c>
      <c r="M109" s="94">
        <v>66.8</v>
      </c>
      <c r="N109" s="94">
        <v>62.5</v>
      </c>
      <c r="O109" s="94">
        <v>70.599999999999994</v>
      </c>
      <c r="P109" s="94">
        <v>67.599999999999994</v>
      </c>
      <c r="Q109" s="94">
        <v>74.099999999999994</v>
      </c>
      <c r="R109" s="94">
        <v>59.2</v>
      </c>
      <c r="S109" s="94">
        <v>53.3</v>
      </c>
      <c r="T109" s="94">
        <v>65.5</v>
      </c>
      <c r="U109" s="94">
        <v>59.5</v>
      </c>
      <c r="V109" s="94">
        <v>48</v>
      </c>
      <c r="W109" s="94">
        <v>53.2</v>
      </c>
      <c r="X109" s="94">
        <v>44</v>
      </c>
      <c r="Y109" s="106">
        <v>40</v>
      </c>
      <c r="Z109" s="106">
        <v>40</v>
      </c>
      <c r="AA109" s="94">
        <v>52.8</v>
      </c>
      <c r="AB109" s="94">
        <v>67.099999999999994</v>
      </c>
      <c r="AC109" s="94">
        <v>73.3</v>
      </c>
      <c r="AD109" s="94">
        <v>92</v>
      </c>
      <c r="AE109" s="94">
        <v>95</v>
      </c>
      <c r="AF109" s="94">
        <v>97</v>
      </c>
      <c r="AG109" s="108"/>
      <c r="AH109" s="48">
        <f t="shared" si="15"/>
        <v>97</v>
      </c>
      <c r="AI109" s="49">
        <f t="shared" si="16"/>
        <v>40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9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39">SUM(B111:B215)</f>
        <v>0</v>
      </c>
      <c r="C216" s="125">
        <f t="shared" si="39"/>
        <v>0</v>
      </c>
      <c r="D216" s="125">
        <f t="shared" si="39"/>
        <v>0</v>
      </c>
      <c r="E216" s="125">
        <f t="shared" si="39"/>
        <v>0</v>
      </c>
      <c r="F216" s="125">
        <f t="shared" si="39"/>
        <v>0</v>
      </c>
      <c r="G216" s="125">
        <f t="shared" si="39"/>
        <v>0</v>
      </c>
      <c r="H216" s="125">
        <f t="shared" si="39"/>
        <v>0</v>
      </c>
      <c r="I216" s="125">
        <f t="shared" si="39"/>
        <v>0</v>
      </c>
      <c r="J216" s="125">
        <f t="shared" si="39"/>
        <v>0</v>
      </c>
      <c r="K216" s="125">
        <f t="shared" si="39"/>
        <v>0</v>
      </c>
      <c r="L216" s="125">
        <f t="shared" si="39"/>
        <v>0</v>
      </c>
      <c r="M216" s="125">
        <f t="shared" si="39"/>
        <v>0</v>
      </c>
      <c r="N216" s="125">
        <f t="shared" si="39"/>
        <v>0</v>
      </c>
      <c r="O216" s="125">
        <f t="shared" si="39"/>
        <v>0</v>
      </c>
      <c r="P216" s="125">
        <f t="shared" si="39"/>
        <v>0</v>
      </c>
      <c r="Q216" s="125">
        <f t="shared" si="39"/>
        <v>0</v>
      </c>
      <c r="R216" s="125">
        <f t="shared" si="39"/>
        <v>0</v>
      </c>
      <c r="S216" s="125">
        <f t="shared" si="39"/>
        <v>0</v>
      </c>
      <c r="T216" s="125">
        <f t="shared" si="39"/>
        <v>0</v>
      </c>
      <c r="U216" s="125">
        <f t="shared" si="39"/>
        <v>0</v>
      </c>
      <c r="V216" s="125">
        <f t="shared" si="39"/>
        <v>0</v>
      </c>
      <c r="W216" s="125">
        <f t="shared" si="39"/>
        <v>0</v>
      </c>
      <c r="X216" s="125">
        <f t="shared" si="39"/>
        <v>0</v>
      </c>
      <c r="Y216" s="125">
        <f t="shared" si="39"/>
        <v>0</v>
      </c>
      <c r="Z216" s="125">
        <f t="shared" si="39"/>
        <v>0</v>
      </c>
      <c r="AA216" s="125">
        <f t="shared" si="39"/>
        <v>0</v>
      </c>
      <c r="AB216" s="125">
        <f t="shared" si="39"/>
        <v>0</v>
      </c>
      <c r="AC216" s="125">
        <f t="shared" si="39"/>
        <v>0</v>
      </c>
      <c r="AD216" s="125">
        <f t="shared" si="39"/>
        <v>0</v>
      </c>
      <c r="AE216" s="125">
        <f t="shared" si="39"/>
        <v>0</v>
      </c>
      <c r="AF216" s="126">
        <f t="shared" si="39"/>
        <v>0</v>
      </c>
      <c r="AG216" s="127">
        <f t="shared" si="39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40">AF218</f>
        <v>0</v>
      </c>
      <c r="C218" s="129">
        <v>0.3</v>
      </c>
      <c r="D218" s="129">
        <f t="shared" ref="D218:P223" si="41">C218</f>
        <v>0.3</v>
      </c>
      <c r="E218" s="129">
        <f t="shared" si="41"/>
        <v>0.3</v>
      </c>
      <c r="F218" s="129">
        <f t="shared" si="41"/>
        <v>0.3</v>
      </c>
      <c r="G218" s="129">
        <f t="shared" si="41"/>
        <v>0.3</v>
      </c>
      <c r="H218" s="129">
        <f t="shared" si="41"/>
        <v>0.3</v>
      </c>
      <c r="I218" s="129">
        <f t="shared" si="41"/>
        <v>0.3</v>
      </c>
      <c r="J218" s="129">
        <f t="shared" si="41"/>
        <v>0.3</v>
      </c>
      <c r="K218" s="129">
        <f t="shared" si="41"/>
        <v>0.3</v>
      </c>
      <c r="L218" s="129">
        <f t="shared" si="41"/>
        <v>0.3</v>
      </c>
      <c r="M218" s="129">
        <f t="shared" si="41"/>
        <v>0.3</v>
      </c>
      <c r="N218" s="129">
        <f t="shared" si="41"/>
        <v>0.3</v>
      </c>
      <c r="O218" s="129">
        <f t="shared" si="41"/>
        <v>0.3</v>
      </c>
      <c r="P218" s="129">
        <f t="shared" si="41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40"/>
        <v>0</v>
      </c>
      <c r="C219" s="117">
        <v>0.4</v>
      </c>
      <c r="D219" s="117">
        <f t="shared" si="41"/>
        <v>0.4</v>
      </c>
      <c r="E219" s="117">
        <f t="shared" si="41"/>
        <v>0.4</v>
      </c>
      <c r="F219" s="117">
        <f t="shared" si="41"/>
        <v>0.4</v>
      </c>
      <c r="G219" s="117">
        <f t="shared" si="41"/>
        <v>0.4</v>
      </c>
      <c r="H219" s="117">
        <f t="shared" si="41"/>
        <v>0.4</v>
      </c>
      <c r="I219" s="117">
        <f t="shared" si="41"/>
        <v>0.4</v>
      </c>
      <c r="J219" s="117">
        <f t="shared" si="41"/>
        <v>0.4</v>
      </c>
      <c r="K219" s="117">
        <f t="shared" si="41"/>
        <v>0.4</v>
      </c>
      <c r="L219" s="117">
        <f t="shared" si="41"/>
        <v>0.4</v>
      </c>
      <c r="M219" s="117">
        <f t="shared" si="41"/>
        <v>0.4</v>
      </c>
      <c r="N219" s="117">
        <f t="shared" si="41"/>
        <v>0.4</v>
      </c>
      <c r="O219" s="117">
        <f t="shared" si="41"/>
        <v>0.4</v>
      </c>
      <c r="P219" s="117">
        <f t="shared" si="41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40"/>
        <v>0</v>
      </c>
      <c r="C220" s="117">
        <v>1.5</v>
      </c>
      <c r="D220" s="117">
        <f t="shared" si="41"/>
        <v>1.5</v>
      </c>
      <c r="E220" s="117">
        <f t="shared" si="41"/>
        <v>1.5</v>
      </c>
      <c r="F220" s="117">
        <f t="shared" si="41"/>
        <v>1.5</v>
      </c>
      <c r="G220" s="117">
        <f t="shared" si="41"/>
        <v>1.5</v>
      </c>
      <c r="H220" s="117">
        <f t="shared" si="41"/>
        <v>1.5</v>
      </c>
      <c r="I220" s="117">
        <f t="shared" si="41"/>
        <v>1.5</v>
      </c>
      <c r="J220" s="117">
        <f t="shared" si="41"/>
        <v>1.5</v>
      </c>
      <c r="K220" s="117">
        <f t="shared" si="41"/>
        <v>1.5</v>
      </c>
      <c r="L220" s="117">
        <f t="shared" si="41"/>
        <v>1.5</v>
      </c>
      <c r="M220" s="117">
        <f t="shared" si="41"/>
        <v>1.5</v>
      </c>
      <c r="N220" s="117">
        <f t="shared" si="41"/>
        <v>1.5</v>
      </c>
      <c r="O220" s="117">
        <f t="shared" si="41"/>
        <v>1.5</v>
      </c>
      <c r="P220" s="117">
        <f t="shared" si="41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40"/>
        <v>0</v>
      </c>
      <c r="C221" s="117">
        <v>0.3</v>
      </c>
      <c r="D221" s="117">
        <f t="shared" si="41"/>
        <v>0.3</v>
      </c>
      <c r="E221" s="117">
        <f t="shared" si="41"/>
        <v>0.3</v>
      </c>
      <c r="F221" s="117">
        <f t="shared" si="41"/>
        <v>0.3</v>
      </c>
      <c r="G221" s="117">
        <f t="shared" si="41"/>
        <v>0.3</v>
      </c>
      <c r="H221" s="117">
        <f t="shared" si="41"/>
        <v>0.3</v>
      </c>
      <c r="I221" s="117">
        <f t="shared" si="41"/>
        <v>0.3</v>
      </c>
      <c r="J221" s="117">
        <f t="shared" si="41"/>
        <v>0.3</v>
      </c>
      <c r="K221" s="117">
        <f t="shared" si="41"/>
        <v>0.3</v>
      </c>
      <c r="L221" s="117">
        <f t="shared" si="41"/>
        <v>0.3</v>
      </c>
      <c r="M221" s="117">
        <f t="shared" si="41"/>
        <v>0.3</v>
      </c>
      <c r="N221" s="117">
        <f t="shared" si="41"/>
        <v>0.3</v>
      </c>
      <c r="O221" s="117">
        <f t="shared" si="41"/>
        <v>0.3</v>
      </c>
      <c r="P221" s="117">
        <f t="shared" si="41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40"/>
        <v>0</v>
      </c>
      <c r="C222" s="117">
        <v>0.4</v>
      </c>
      <c r="D222" s="117">
        <f t="shared" si="41"/>
        <v>0.4</v>
      </c>
      <c r="E222" s="117">
        <f t="shared" si="41"/>
        <v>0.4</v>
      </c>
      <c r="F222" s="117">
        <f t="shared" si="41"/>
        <v>0.4</v>
      </c>
      <c r="G222" s="117">
        <f t="shared" si="41"/>
        <v>0.4</v>
      </c>
      <c r="H222" s="117">
        <f t="shared" si="41"/>
        <v>0.4</v>
      </c>
      <c r="I222" s="117">
        <f t="shared" si="41"/>
        <v>0.4</v>
      </c>
      <c r="J222" s="117">
        <f t="shared" si="41"/>
        <v>0.4</v>
      </c>
      <c r="K222" s="117">
        <f t="shared" si="41"/>
        <v>0.4</v>
      </c>
      <c r="L222" s="117">
        <f t="shared" si="41"/>
        <v>0.4</v>
      </c>
      <c r="M222" s="117">
        <f t="shared" si="41"/>
        <v>0.4</v>
      </c>
      <c r="N222" s="117">
        <f t="shared" si="41"/>
        <v>0.4</v>
      </c>
      <c r="O222" s="117">
        <f t="shared" si="41"/>
        <v>0.4</v>
      </c>
      <c r="P222" s="117">
        <f t="shared" si="41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40"/>
        <v>0</v>
      </c>
      <c r="C223" s="121">
        <v>0.64</v>
      </c>
      <c r="D223" s="121">
        <f t="shared" si="41"/>
        <v>0.64</v>
      </c>
      <c r="E223" s="121">
        <f t="shared" si="41"/>
        <v>0.64</v>
      </c>
      <c r="F223" s="121">
        <f t="shared" si="41"/>
        <v>0.64</v>
      </c>
      <c r="G223" s="121">
        <f t="shared" si="41"/>
        <v>0.64</v>
      </c>
      <c r="H223" s="121">
        <f t="shared" si="41"/>
        <v>0.64</v>
      </c>
      <c r="I223" s="121">
        <f t="shared" si="41"/>
        <v>0.64</v>
      </c>
      <c r="J223" s="121">
        <f t="shared" si="41"/>
        <v>0.64</v>
      </c>
      <c r="K223" s="121">
        <f t="shared" si="41"/>
        <v>0.64</v>
      </c>
      <c r="L223" s="121">
        <f t="shared" si="41"/>
        <v>0.64</v>
      </c>
      <c r="M223" s="121">
        <f t="shared" si="41"/>
        <v>0.64</v>
      </c>
      <c r="N223" s="121">
        <f t="shared" si="41"/>
        <v>0.64</v>
      </c>
      <c r="O223" s="121">
        <f t="shared" si="41"/>
        <v>0.64</v>
      </c>
      <c r="P223" s="121">
        <f t="shared" si="41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42">SUM(B218:B223)</f>
        <v>0</v>
      </c>
      <c r="C224" s="125">
        <f t="shared" si="42"/>
        <v>3.54</v>
      </c>
      <c r="D224" s="125">
        <f t="shared" si="42"/>
        <v>3.54</v>
      </c>
      <c r="E224" s="125">
        <f t="shared" si="42"/>
        <v>3.54</v>
      </c>
      <c r="F224" s="125">
        <f t="shared" si="42"/>
        <v>3.54</v>
      </c>
      <c r="G224" s="125">
        <f t="shared" si="42"/>
        <v>3.54</v>
      </c>
      <c r="H224" s="125">
        <f t="shared" si="42"/>
        <v>3.54</v>
      </c>
      <c r="I224" s="125">
        <f t="shared" si="42"/>
        <v>3.54</v>
      </c>
      <c r="J224" s="125">
        <f t="shared" si="42"/>
        <v>3.54</v>
      </c>
      <c r="K224" s="125">
        <f t="shared" si="42"/>
        <v>3.54</v>
      </c>
      <c r="L224" s="125">
        <f t="shared" si="42"/>
        <v>3.54</v>
      </c>
      <c r="M224" s="125">
        <f t="shared" si="42"/>
        <v>3.54</v>
      </c>
      <c r="N224" s="125">
        <f t="shared" si="42"/>
        <v>3.54</v>
      </c>
      <c r="O224" s="125">
        <f t="shared" si="42"/>
        <v>3.54</v>
      </c>
      <c r="P224" s="125">
        <f t="shared" si="42"/>
        <v>3.54</v>
      </c>
      <c r="Q224" s="125">
        <f t="shared" si="42"/>
        <v>0</v>
      </c>
      <c r="R224" s="125">
        <f t="shared" si="42"/>
        <v>0</v>
      </c>
      <c r="S224" s="125">
        <f t="shared" si="42"/>
        <v>0</v>
      </c>
      <c r="T224" s="125">
        <f t="shared" si="42"/>
        <v>0</v>
      </c>
      <c r="U224" s="125">
        <f t="shared" si="42"/>
        <v>0</v>
      </c>
      <c r="V224" s="125">
        <f t="shared" si="42"/>
        <v>0</v>
      </c>
      <c r="W224" s="125">
        <f t="shared" si="42"/>
        <v>0</v>
      </c>
      <c r="X224" s="125">
        <f t="shared" si="42"/>
        <v>0</v>
      </c>
      <c r="Y224" s="125">
        <f t="shared" si="42"/>
        <v>0</v>
      </c>
      <c r="Z224" s="125">
        <f t="shared" si="42"/>
        <v>0</v>
      </c>
      <c r="AA224" s="125">
        <f t="shared" si="42"/>
        <v>0</v>
      </c>
      <c r="AB224" s="125">
        <f t="shared" si="42"/>
        <v>0</v>
      </c>
      <c r="AC224" s="125">
        <f t="shared" si="42"/>
        <v>0</v>
      </c>
      <c r="AD224" s="125">
        <f t="shared" si="42"/>
        <v>0</v>
      </c>
      <c r="AE224" s="125">
        <f t="shared" si="42"/>
        <v>0</v>
      </c>
      <c r="AF224" s="125">
        <f t="shared" si="42"/>
        <v>0</v>
      </c>
      <c r="AG224" s="134">
        <f t="shared" si="42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1656.54</v>
      </c>
      <c r="C233" s="150">
        <f>INDEX(G9:N9,1,MATCH(MAX(G81:N81),G81:N81,0))</f>
        <v>0.375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6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2079/06/6)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2079/06/6)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43">B81</f>
        <v>1448.94</v>
      </c>
      <c r="U238" s="159">
        <f t="shared" si="43"/>
        <v>1373.94</v>
      </c>
      <c r="V238" s="159">
        <f t="shared" si="43"/>
        <v>1361.04</v>
      </c>
      <c r="W238" s="159">
        <f t="shared" si="43"/>
        <v>1357.64</v>
      </c>
      <c r="X238" s="159">
        <f t="shared" si="43"/>
        <v>1332.64</v>
      </c>
      <c r="Y238" s="159">
        <f t="shared" si="43"/>
        <v>1348.1399999999999</v>
      </c>
      <c r="Z238" s="159">
        <f t="shared" si="43"/>
        <v>1389.84</v>
      </c>
      <c r="AA238" s="159">
        <f t="shared" si="43"/>
        <v>1384.64</v>
      </c>
      <c r="AB238" s="159">
        <f t="shared" si="43"/>
        <v>1506.5400000000002</v>
      </c>
      <c r="AC238" s="159">
        <f t="shared" si="43"/>
        <v>1574.0400000000002</v>
      </c>
      <c r="AD238" s="159">
        <f t="shared" si="43"/>
        <v>1566.44</v>
      </c>
      <c r="AE238" s="159">
        <f t="shared" si="43"/>
        <v>1602.54</v>
      </c>
      <c r="AF238" s="159">
        <f t="shared" si="43"/>
        <v>1656.54</v>
      </c>
      <c r="AG238" s="159">
        <f t="shared" si="43"/>
        <v>1515.04</v>
      </c>
      <c r="AH238" s="159">
        <f t="shared" si="43"/>
        <v>1506.54</v>
      </c>
      <c r="AI238" s="159">
        <f t="shared" si="43"/>
        <v>1481.54</v>
      </c>
      <c r="AJ238" s="159">
        <f t="shared" si="43"/>
        <v>1502.2400000000002</v>
      </c>
      <c r="AK238" s="159">
        <f t="shared" si="43"/>
        <v>1467.14</v>
      </c>
      <c r="AL238" s="159">
        <f t="shared" si="43"/>
        <v>1510.8400000000001</v>
      </c>
      <c r="AM238" s="159">
        <f t="shared" si="43"/>
        <v>1467.74</v>
      </c>
      <c r="AN238" s="159">
        <f t="shared" si="43"/>
        <v>1491.64</v>
      </c>
      <c r="AO238" s="159">
        <f t="shared" si="43"/>
        <v>1612.24</v>
      </c>
      <c r="AP238" s="159">
        <f t="shared" si="43"/>
        <v>1784.4399999999998</v>
      </c>
      <c r="AQ238" s="159">
        <f t="shared" si="43"/>
        <v>1742.3400000000001</v>
      </c>
      <c r="AR238" s="159">
        <f t="shared" si="43"/>
        <v>1685.7399999999998</v>
      </c>
      <c r="AS238" s="159">
        <f t="shared" si="43"/>
        <v>1688.7399999999998</v>
      </c>
      <c r="AT238" s="159">
        <f t="shared" si="43"/>
        <v>1606.34</v>
      </c>
      <c r="AU238" s="159">
        <f t="shared" si="43"/>
        <v>1606.54</v>
      </c>
      <c r="AV238" s="159">
        <f t="shared" si="43"/>
        <v>1526.84</v>
      </c>
      <c r="AW238" s="159">
        <f t="shared" si="43"/>
        <v>1421.5400000000002</v>
      </c>
      <c r="AX238" s="159">
        <f t="shared" si="43"/>
        <v>1378.8400000000001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44">C223</f>
        <v>0.64</v>
      </c>
      <c r="C259" s="162">
        <f t="shared" si="44"/>
        <v>0.64</v>
      </c>
      <c r="D259" s="162">
        <f t="shared" si="44"/>
        <v>0.64</v>
      </c>
      <c r="E259" s="162">
        <f t="shared" si="44"/>
        <v>0.64</v>
      </c>
      <c r="F259" s="162">
        <f t="shared" si="44"/>
        <v>0.64</v>
      </c>
      <c r="G259" s="162">
        <f t="shared" si="44"/>
        <v>0.64</v>
      </c>
      <c r="H259" s="162">
        <f t="shared" si="44"/>
        <v>0.64</v>
      </c>
      <c r="I259" s="162">
        <f t="shared" si="44"/>
        <v>0.64</v>
      </c>
      <c r="J259" s="162">
        <f t="shared" si="44"/>
        <v>0.64</v>
      </c>
      <c r="K259" s="162">
        <f t="shared" si="44"/>
        <v>0.64</v>
      </c>
      <c r="L259" s="162">
        <f t="shared" si="44"/>
        <v>0.64</v>
      </c>
      <c r="M259" s="162">
        <f t="shared" si="44"/>
        <v>0.64</v>
      </c>
      <c r="N259" s="162">
        <f t="shared" si="44"/>
        <v>0.64</v>
      </c>
      <c r="O259" s="162">
        <f t="shared" si="44"/>
        <v>0.64</v>
      </c>
      <c r="P259" s="162">
        <f t="shared" si="44"/>
        <v>0</v>
      </c>
      <c r="Q259" s="162">
        <f t="shared" si="44"/>
        <v>0</v>
      </c>
      <c r="R259" s="162">
        <f t="shared" si="44"/>
        <v>0</v>
      </c>
      <c r="S259" s="162">
        <f t="shared" si="44"/>
        <v>0</v>
      </c>
      <c r="T259" s="162">
        <f t="shared" si="44"/>
        <v>0</v>
      </c>
      <c r="U259" s="162">
        <f t="shared" si="44"/>
        <v>0</v>
      </c>
      <c r="V259" s="162">
        <f t="shared" si="44"/>
        <v>0</v>
      </c>
      <c r="W259" s="162">
        <f t="shared" si="44"/>
        <v>0</v>
      </c>
      <c r="X259" s="162">
        <f t="shared" si="44"/>
        <v>0</v>
      </c>
      <c r="Y259" s="162">
        <f t="shared" si="44"/>
        <v>0</v>
      </c>
      <c r="Z259" s="162">
        <f t="shared" si="44"/>
        <v>0</v>
      </c>
      <c r="AA259" s="162">
        <f t="shared" si="44"/>
        <v>0</v>
      </c>
      <c r="AB259" s="162">
        <f t="shared" si="44"/>
        <v>0</v>
      </c>
      <c r="AC259" s="162">
        <f t="shared" si="44"/>
        <v>0</v>
      </c>
      <c r="AD259" s="162">
        <f t="shared" si="44"/>
        <v>0</v>
      </c>
      <c r="AE259" s="162">
        <f t="shared" si="44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45">IF(B227&lt;100,"",B227-520)</f>
        <v/>
      </c>
      <c r="C260" s="163" t="str">
        <f t="shared" si="45"/>
        <v/>
      </c>
      <c r="D260" s="163" t="str">
        <f t="shared" si="45"/>
        <v/>
      </c>
      <c r="E260" s="163" t="str">
        <f t="shared" si="45"/>
        <v/>
      </c>
      <c r="F260" s="163" t="str">
        <f t="shared" si="45"/>
        <v/>
      </c>
      <c r="G260" s="163" t="str">
        <f t="shared" si="45"/>
        <v/>
      </c>
      <c r="H260" s="163" t="str">
        <f t="shared" si="45"/>
        <v/>
      </c>
      <c r="I260" s="163" t="str">
        <f t="shared" si="45"/>
        <v/>
      </c>
      <c r="J260" s="163" t="str">
        <f t="shared" si="45"/>
        <v/>
      </c>
      <c r="K260" s="163" t="str">
        <f t="shared" si="45"/>
        <v/>
      </c>
      <c r="L260" s="163" t="str">
        <f t="shared" si="45"/>
        <v/>
      </c>
      <c r="M260" s="163" t="str">
        <f t="shared" si="45"/>
        <v/>
      </c>
      <c r="N260" s="163" t="str">
        <f t="shared" si="45"/>
        <v/>
      </c>
      <c r="O260" s="163" t="str">
        <f t="shared" si="45"/>
        <v/>
      </c>
      <c r="P260" s="163" t="str">
        <f t="shared" si="45"/>
        <v/>
      </c>
      <c r="Q260" s="163" t="str">
        <f t="shared" si="45"/>
        <v/>
      </c>
      <c r="R260" s="163" t="str">
        <f t="shared" si="45"/>
        <v/>
      </c>
      <c r="S260" s="163" t="str">
        <f t="shared" si="45"/>
        <v/>
      </c>
      <c r="T260" s="163" t="str">
        <f t="shared" si="45"/>
        <v/>
      </c>
      <c r="U260" s="163" t="str">
        <f t="shared" si="45"/>
        <v/>
      </c>
      <c r="V260" s="163" t="str">
        <f t="shared" si="45"/>
        <v/>
      </c>
      <c r="W260" s="163" t="str">
        <f t="shared" si="45"/>
        <v/>
      </c>
      <c r="X260" s="163" t="str">
        <f t="shared" si="45"/>
        <v/>
      </c>
      <c r="Y260" s="163" t="str">
        <f t="shared" si="45"/>
        <v/>
      </c>
      <c r="Z260" s="163" t="str">
        <f t="shared" si="45"/>
        <v/>
      </c>
      <c r="AA260" s="163" t="str">
        <f t="shared" si="45"/>
        <v/>
      </c>
      <c r="AB260" s="163" t="str">
        <f t="shared" si="45"/>
        <v/>
      </c>
      <c r="AC260" s="163" t="str">
        <f t="shared" si="45"/>
        <v/>
      </c>
      <c r="AD260" s="163" t="str">
        <f t="shared" si="45"/>
        <v/>
      </c>
      <c r="AE260" s="163" t="str">
        <f t="shared" si="45"/>
        <v/>
      </c>
      <c r="AF260" s="163" t="str">
        <f t="shared" si="45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46">IF(B228&lt;100,"",B228-620)</f>
        <v/>
      </c>
      <c r="C261" s="163" t="str">
        <f t="shared" si="46"/>
        <v/>
      </c>
      <c r="D261" s="163" t="str">
        <f t="shared" si="46"/>
        <v/>
      </c>
      <c r="E261" s="163" t="str">
        <f t="shared" si="46"/>
        <v/>
      </c>
      <c r="F261" s="163" t="str">
        <f t="shared" si="46"/>
        <v/>
      </c>
      <c r="G261" s="163" t="str">
        <f t="shared" si="46"/>
        <v/>
      </c>
      <c r="H261" s="163" t="str">
        <f t="shared" si="46"/>
        <v/>
      </c>
      <c r="I261" s="163" t="str">
        <f t="shared" si="46"/>
        <v/>
      </c>
      <c r="J261" s="163" t="str">
        <f t="shared" si="46"/>
        <v/>
      </c>
      <c r="K261" s="163" t="str">
        <f t="shared" si="46"/>
        <v/>
      </c>
      <c r="L261" s="163" t="str">
        <f t="shared" si="46"/>
        <v/>
      </c>
      <c r="M261" s="163" t="str">
        <f t="shared" si="46"/>
        <v/>
      </c>
      <c r="N261" s="163" t="str">
        <f t="shared" si="46"/>
        <v/>
      </c>
      <c r="O261" s="163" t="str">
        <f t="shared" si="46"/>
        <v/>
      </c>
      <c r="P261" s="163" t="str">
        <f t="shared" si="46"/>
        <v/>
      </c>
      <c r="Q261" s="163" t="str">
        <f t="shared" si="46"/>
        <v/>
      </c>
      <c r="R261" s="163" t="str">
        <f t="shared" si="46"/>
        <v/>
      </c>
      <c r="S261" s="163" t="str">
        <f t="shared" si="46"/>
        <v/>
      </c>
      <c r="T261" s="163" t="str">
        <f t="shared" si="46"/>
        <v/>
      </c>
      <c r="U261" s="163" t="str">
        <f t="shared" si="46"/>
        <v/>
      </c>
      <c r="V261" s="163" t="str">
        <f t="shared" si="46"/>
        <v/>
      </c>
      <c r="W261" s="163" t="str">
        <f t="shared" si="46"/>
        <v/>
      </c>
      <c r="X261" s="163" t="str">
        <f t="shared" si="46"/>
        <v/>
      </c>
      <c r="Y261" s="163" t="str">
        <f t="shared" si="46"/>
        <v/>
      </c>
      <c r="Z261" s="163" t="str">
        <f t="shared" si="46"/>
        <v/>
      </c>
      <c r="AA261" s="163" t="str">
        <f t="shared" si="46"/>
        <v/>
      </c>
      <c r="AB261" s="163" t="str">
        <f t="shared" si="46"/>
        <v/>
      </c>
      <c r="AC261" s="163" t="str">
        <f t="shared" si="46"/>
        <v/>
      </c>
      <c r="AD261" s="163" t="str">
        <f t="shared" si="46"/>
        <v/>
      </c>
      <c r="AE261" s="163" t="str">
        <f t="shared" si="46"/>
        <v/>
      </c>
      <c r="AF261" s="163" t="str">
        <f t="shared" si="46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47">IF(B229&lt;100,"",B229-330)</f>
        <v/>
      </c>
      <c r="C262" s="163" t="str">
        <f t="shared" si="47"/>
        <v/>
      </c>
      <c r="D262" s="163" t="str">
        <f t="shared" si="47"/>
        <v/>
      </c>
      <c r="E262" s="163" t="str">
        <f t="shared" si="47"/>
        <v/>
      </c>
      <c r="F262" s="163" t="str">
        <f t="shared" si="47"/>
        <v/>
      </c>
      <c r="G262" s="163" t="str">
        <f t="shared" si="47"/>
        <v/>
      </c>
      <c r="H262" s="163" t="str">
        <f t="shared" si="47"/>
        <v/>
      </c>
      <c r="I262" s="163" t="str">
        <f t="shared" si="47"/>
        <v/>
      </c>
      <c r="J262" s="163" t="str">
        <f t="shared" si="47"/>
        <v/>
      </c>
      <c r="K262" s="163" t="str">
        <f t="shared" si="47"/>
        <v/>
      </c>
      <c r="L262" s="163" t="str">
        <f t="shared" si="47"/>
        <v/>
      </c>
      <c r="M262" s="163" t="str">
        <f t="shared" si="47"/>
        <v/>
      </c>
      <c r="N262" s="163" t="str">
        <f t="shared" si="47"/>
        <v/>
      </c>
      <c r="O262" s="163" t="str">
        <f t="shared" si="47"/>
        <v/>
      </c>
      <c r="P262" s="163" t="str">
        <f t="shared" si="47"/>
        <v/>
      </c>
      <c r="Q262" s="163" t="str">
        <f t="shared" si="47"/>
        <v/>
      </c>
      <c r="R262" s="163" t="str">
        <f t="shared" si="47"/>
        <v/>
      </c>
      <c r="S262" s="163" t="str">
        <f t="shared" si="47"/>
        <v/>
      </c>
      <c r="T262" s="163" t="str">
        <f t="shared" si="47"/>
        <v/>
      </c>
      <c r="U262" s="163" t="str">
        <f t="shared" si="47"/>
        <v/>
      </c>
      <c r="V262" s="163" t="str">
        <f t="shared" si="47"/>
        <v/>
      </c>
      <c r="W262" s="163" t="str">
        <f t="shared" si="47"/>
        <v/>
      </c>
      <c r="X262" s="163" t="str">
        <f t="shared" si="47"/>
        <v/>
      </c>
      <c r="Y262" s="163" t="str">
        <f t="shared" si="47"/>
        <v/>
      </c>
      <c r="Z262" s="163" t="str">
        <f t="shared" si="47"/>
        <v/>
      </c>
      <c r="AA262" s="163" t="str">
        <f t="shared" si="47"/>
        <v/>
      </c>
      <c r="AB262" s="163" t="str">
        <f t="shared" si="47"/>
        <v/>
      </c>
      <c r="AC262" s="163" t="str">
        <f t="shared" si="47"/>
        <v/>
      </c>
      <c r="AD262" s="163" t="str">
        <f t="shared" si="47"/>
        <v/>
      </c>
      <c r="AE262" s="163" t="str">
        <f t="shared" si="47"/>
        <v/>
      </c>
      <c r="AF262" s="163" t="str">
        <f t="shared" si="47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48">IF(B230&lt;100,"",B230-1500)</f>
        <v/>
      </c>
      <c r="C263" s="163" t="str">
        <f t="shared" si="48"/>
        <v/>
      </c>
      <c r="D263" s="163" t="str">
        <f t="shared" si="48"/>
        <v/>
      </c>
      <c r="E263" s="163" t="str">
        <f t="shared" si="48"/>
        <v/>
      </c>
      <c r="F263" s="163" t="str">
        <f t="shared" si="48"/>
        <v/>
      </c>
      <c r="G263" s="163" t="str">
        <f t="shared" si="48"/>
        <v/>
      </c>
      <c r="H263" s="163" t="str">
        <f t="shared" si="48"/>
        <v/>
      </c>
      <c r="I263" s="163" t="str">
        <f t="shared" si="48"/>
        <v/>
      </c>
      <c r="J263" s="163" t="str">
        <f t="shared" si="48"/>
        <v/>
      </c>
      <c r="K263" s="163" t="str">
        <f t="shared" si="48"/>
        <v/>
      </c>
      <c r="L263" s="163" t="str">
        <f t="shared" si="48"/>
        <v/>
      </c>
      <c r="M263" s="163" t="str">
        <f t="shared" si="48"/>
        <v/>
      </c>
      <c r="N263" s="163" t="str">
        <f t="shared" si="48"/>
        <v/>
      </c>
      <c r="O263" s="163" t="str">
        <f t="shared" si="48"/>
        <v/>
      </c>
      <c r="P263" s="163" t="str">
        <f t="shared" si="48"/>
        <v/>
      </c>
      <c r="Q263" s="163" t="str">
        <f t="shared" si="48"/>
        <v/>
      </c>
      <c r="R263" s="163" t="str">
        <f t="shared" si="48"/>
        <v/>
      </c>
      <c r="S263" s="163" t="str">
        <f t="shared" si="48"/>
        <v/>
      </c>
      <c r="T263" s="163" t="str">
        <f t="shared" si="48"/>
        <v/>
      </c>
      <c r="U263" s="163" t="str">
        <f t="shared" si="48"/>
        <v/>
      </c>
      <c r="V263" s="163" t="str">
        <f t="shared" si="48"/>
        <v/>
      </c>
      <c r="W263" s="163" t="str">
        <f t="shared" si="48"/>
        <v/>
      </c>
      <c r="X263" s="163" t="str">
        <f t="shared" si="48"/>
        <v/>
      </c>
      <c r="Y263" s="163" t="str">
        <f t="shared" si="48"/>
        <v/>
      </c>
      <c r="Z263" s="163" t="str">
        <f t="shared" si="48"/>
        <v/>
      </c>
      <c r="AA263" s="163" t="str">
        <f t="shared" si="48"/>
        <v/>
      </c>
      <c r="AB263" s="163" t="str">
        <f t="shared" si="48"/>
        <v/>
      </c>
      <c r="AC263" s="163" t="str">
        <f t="shared" si="48"/>
        <v/>
      </c>
      <c r="AD263" s="163" t="str">
        <f t="shared" si="48"/>
        <v/>
      </c>
      <c r="AE263" s="163" t="str">
        <f t="shared" si="48"/>
        <v/>
      </c>
      <c r="AF263" s="163" t="str">
        <f t="shared" si="48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A11:A225">
    <cfRule type="expression" dxfId="1595" priority="135">
      <formula>$AH11=0</formula>
    </cfRule>
  </conditionalFormatting>
  <conditionalFormatting sqref="B8 M8 S8 AB8">
    <cfRule type="expression" dxfId="1594" priority="366">
      <formula>AND(C$9&gt;=8/24,C$9&lt;14/24)</formula>
    </cfRule>
    <cfRule type="expression" dxfId="1593" priority="365">
      <formula>AND(C$9&gt;=14/24,C$9&lt;20/24)</formula>
    </cfRule>
    <cfRule type="expression" dxfId="1592" priority="367">
      <formula>C$9&lt;8/24</formula>
    </cfRule>
  </conditionalFormatting>
  <conditionalFormatting sqref="B62">
    <cfRule type="expression" dxfId="1591" priority="57">
      <formula>B$9&lt;8/24</formula>
    </cfRule>
  </conditionalFormatting>
  <conditionalFormatting sqref="B62:B73">
    <cfRule type="expression" dxfId="1590" priority="56">
      <formula>AND(B$9&gt;=8/24,B$9&lt;14/24)</formula>
    </cfRule>
    <cfRule type="expression" dxfId="1589" priority="55">
      <formula>AND(B$9&gt;=14/24,B$9&lt;20/24)</formula>
    </cfRule>
    <cfRule type="expression" dxfId="1588" priority="54">
      <formula>B$9&gt;=20/24</formula>
    </cfRule>
  </conditionalFormatting>
  <conditionalFormatting sqref="B74:B81">
    <cfRule type="expression" dxfId="1587" priority="51">
      <formula>AND(B$9&gt;=8/24,B$9&lt;14/24)</formula>
    </cfRule>
    <cfRule type="expression" dxfId="1586" priority="52">
      <formula>B$9&lt;8/24</formula>
    </cfRule>
    <cfRule type="expression" dxfId="1585" priority="49">
      <formula>B$9&gt;=20/24</formula>
    </cfRule>
    <cfRule type="expression" dxfId="1584" priority="50">
      <formula>AND(B$9&gt;=14/24,B$9&lt;20/24)</formula>
    </cfRule>
  </conditionalFormatting>
  <conditionalFormatting sqref="B11:L11 B16:L16 B103:B108">
    <cfRule type="expression" dxfId="1579" priority="118">
      <formula>AND(B$9&gt;=8/24,B$9&lt;14/24)</formula>
    </cfRule>
    <cfRule type="expression" dxfId="1578" priority="117">
      <formula>AND(B$9&gt;=14/24,B$9&lt;20/24)</formula>
    </cfRule>
    <cfRule type="expression" dxfId="1577" priority="119">
      <formula>B$9&lt;8/24</formula>
    </cfRule>
  </conditionalFormatting>
  <conditionalFormatting sqref="B11:L11 B16:L16 B103:Y108">
    <cfRule type="expression" dxfId="1576" priority="116">
      <formula>B$9&gt;=20/24</formula>
    </cfRule>
  </conditionalFormatting>
  <conditionalFormatting sqref="B11:L16 B18:L18">
    <cfRule type="expression" dxfId="1575" priority="111">
      <formula>B11&gt;$AG11</formula>
    </cfRule>
  </conditionalFormatting>
  <conditionalFormatting sqref="B17:L17">
    <cfRule type="expression" dxfId="1574" priority="18">
      <formula>B17&gt;$AG17</formula>
    </cfRule>
  </conditionalFormatting>
  <conditionalFormatting sqref="B50:S56">
    <cfRule type="expression" dxfId="1573" priority="72">
      <formula>B$9&gt;=20/24</formula>
    </cfRule>
    <cfRule type="expression" dxfId="1572" priority="73">
      <formula>AND(B$9&gt;=14/24,B$9&lt;20/24)</formula>
    </cfRule>
    <cfRule type="expression" dxfId="1571" priority="74">
      <formula>AND(B$9&gt;=8/24,B$9&lt;14/24)</formula>
    </cfRule>
    <cfRule type="expression" dxfId="1570" priority="75">
      <formula>B$9&lt;8/24</formula>
    </cfRule>
  </conditionalFormatting>
  <conditionalFormatting sqref="B9:AF10 M16:AF16 C103:Y108 AA103:AF108 Z103:Z109 Y105:Y109 B216:AF216 B218:B224 D218:AF224 U237:AF237">
    <cfRule type="expression" dxfId="1569" priority="361">
      <formula>B$9&lt;8/24</formula>
    </cfRule>
    <cfRule type="expression" dxfId="1568" priority="360">
      <formula>AND(B$9&gt;=8/24,B$9&lt;14/24)</formula>
    </cfRule>
    <cfRule type="expression" dxfId="1567" priority="359">
      <formula>AND(B$9&gt;=14/24,B$9&lt;20/24)</formula>
    </cfRule>
  </conditionalFormatting>
  <conditionalFormatting sqref="B12:AF15">
    <cfRule type="expression" dxfId="1566" priority="82">
      <formula>AND(B$9&gt;=14/24,B$9&lt;20/24)</formula>
    </cfRule>
    <cfRule type="expression" dxfId="1565" priority="84">
      <formula>B$9&lt;8/24</formula>
    </cfRule>
    <cfRule type="expression" dxfId="1564" priority="83">
      <formula>AND(B$9&gt;=8/24,B$9&lt;14/24)</formula>
    </cfRule>
    <cfRule type="expression" dxfId="1563" priority="81">
      <formula>B$9&gt;=20/24</formula>
    </cfRule>
  </conditionalFormatting>
  <conditionalFormatting sqref="B17:AF17">
    <cfRule type="expression" dxfId="1562" priority="16">
      <formula>AND(B$9&gt;=8/24,B$9&lt;14/24)</formula>
    </cfRule>
    <cfRule type="expression" dxfId="1561" priority="14">
      <formula>B$9&gt;=20/24</formula>
    </cfRule>
    <cfRule type="expression" dxfId="1560" priority="15">
      <formula>AND(B$9&gt;=14/24,B$9&lt;20/24)</formula>
    </cfRule>
    <cfRule type="expression" dxfId="1559" priority="17">
      <formula>B$9&lt;8/24</formula>
    </cfRule>
  </conditionalFormatting>
  <conditionalFormatting sqref="B18:AF24">
    <cfRule type="expression" dxfId="1558" priority="65">
      <formula>AND(B$9&gt;=8/24,B$9&lt;14/24)</formula>
    </cfRule>
    <cfRule type="expression" dxfId="1557" priority="64">
      <formula>AND(B$9&gt;=14/24,B$9&lt;20/24)</formula>
    </cfRule>
    <cfRule type="expression" dxfId="1556" priority="66">
      <formula>B$9&lt;8/24</formula>
    </cfRule>
    <cfRule type="expression" dxfId="1555" priority="63">
      <formula>B$9&gt;=20/24</formula>
    </cfRule>
  </conditionalFormatting>
  <conditionalFormatting sqref="B19:AF24">
    <cfRule type="expression" dxfId="1554" priority="62">
      <formula>B19&gt;$AG19</formula>
    </cfRule>
  </conditionalFormatting>
  <conditionalFormatting sqref="B25:AF27 B29:AF29 B59:AF61 B63:AF73 C74:AF78">
    <cfRule type="expression" dxfId="1553" priority="97">
      <formula>B$9&lt;8/24</formula>
    </cfRule>
  </conditionalFormatting>
  <conditionalFormatting sqref="B25:AF27 B29:AF29 B59:AF61 C63:AF78">
    <cfRule type="expression" dxfId="1552" priority="94">
      <formula>B$9&gt;=20/24</formula>
    </cfRule>
    <cfRule type="expression" dxfId="1551" priority="95">
      <formula>AND(B$9&gt;=14/24,B$9&lt;20/24)</formula>
    </cfRule>
    <cfRule type="expression" dxfId="1550" priority="96">
      <formula>AND(B$9&gt;=8/24,B$9&lt;14/24)</formula>
    </cfRule>
  </conditionalFormatting>
  <conditionalFormatting sqref="B25:AF29 B59:AF61">
    <cfRule type="expression" dxfId="1549" priority="89">
      <formula>B25&gt;$AG25</formula>
    </cfRule>
  </conditionalFormatting>
  <conditionalFormatting sqref="B28:AF28">
    <cfRule type="expression" dxfId="1548" priority="68">
      <formula>AND(B$9&gt;=14/24,B$9&lt;20/24)</formula>
    </cfRule>
    <cfRule type="expression" dxfId="1547" priority="67">
      <formula>B$9&gt;=20/24</formula>
    </cfRule>
    <cfRule type="expression" dxfId="1546" priority="70">
      <formula>B$9&lt;8/24</formula>
    </cfRule>
    <cfRule type="expression" dxfId="1545" priority="69">
      <formula>AND(B$9&gt;=8/24,B$9&lt;14/24)</formula>
    </cfRule>
  </conditionalFormatting>
  <conditionalFormatting sqref="B30:AF36">
    <cfRule type="expression" dxfId="1544" priority="9">
      <formula>B30&gt;$AG30</formula>
    </cfRule>
  </conditionalFormatting>
  <conditionalFormatting sqref="B30:AF37">
    <cfRule type="expression" dxfId="1543" priority="11">
      <formula>AND(B$9&gt;=14/24,B$9&lt;20/24)</formula>
    </cfRule>
    <cfRule type="expression" dxfId="1542" priority="13">
      <formula>B$9&lt;8/24</formula>
    </cfRule>
    <cfRule type="expression" dxfId="1541" priority="12">
      <formula>AND(B$9&gt;=8/24,B$9&lt;14/24)</formula>
    </cfRule>
    <cfRule type="expression" dxfId="1540" priority="10">
      <formula>B$9&gt;=20/24</formula>
    </cfRule>
  </conditionalFormatting>
  <conditionalFormatting sqref="B37:AF39">
    <cfRule type="expression" dxfId="1539" priority="98">
      <formula>B37&gt;$AG37</formula>
    </cfRule>
  </conditionalFormatting>
  <conditionalFormatting sqref="B38:AF39">
    <cfRule type="expression" dxfId="1538" priority="106">
      <formula>B$9&lt;8/24</formula>
    </cfRule>
    <cfRule type="expression" dxfId="1537" priority="105">
      <formula>AND(B$9&gt;=8/24,B$9&lt;14/24)</formula>
    </cfRule>
    <cfRule type="expression" dxfId="1536" priority="104">
      <formula>AND(B$9&gt;=14/24,B$9&lt;20/24)</formula>
    </cfRule>
    <cfRule type="expression" dxfId="1535" priority="103">
      <formula>B$9&gt;=20/24</formula>
    </cfRule>
  </conditionalFormatting>
  <conditionalFormatting sqref="B41:AF43">
    <cfRule type="expression" dxfId="1534" priority="42">
      <formula>AND(B$9&gt;=14/24,B$9&lt;20/24)</formula>
    </cfRule>
    <cfRule type="expression" dxfId="1533" priority="43">
      <formula>AND(B$9&gt;=8/24,B$9&lt;14/24)</formula>
    </cfRule>
    <cfRule type="expression" dxfId="1532" priority="44">
      <formula>B$9&lt;8/24</formula>
    </cfRule>
    <cfRule type="expression" dxfId="1531" priority="40">
      <formula>B41&gt;$AG41</formula>
    </cfRule>
    <cfRule type="expression" dxfId="1530" priority="41">
      <formula>B$9&gt;=20/24</formula>
    </cfRule>
  </conditionalFormatting>
  <conditionalFormatting sqref="B45:AF47">
    <cfRule type="expression" dxfId="1529" priority="100">
      <formula>AND(B$9&gt;=14/24,B$9&lt;20/24)</formula>
    </cfRule>
    <cfRule type="expression" dxfId="1528" priority="101">
      <formula>AND(B$9&gt;=8/24,B$9&lt;14/24)</formula>
    </cfRule>
    <cfRule type="expression" dxfId="1527" priority="102">
      <formula>B$9&lt;8/24</formula>
    </cfRule>
    <cfRule type="expression" dxfId="1526" priority="99">
      <formula>B$9&gt;=20/24</formula>
    </cfRule>
  </conditionalFormatting>
  <conditionalFormatting sqref="B45:AF56">
    <cfRule type="expression" dxfId="1525" priority="71">
      <formula>B45&gt;$AG45</formula>
    </cfRule>
  </conditionalFormatting>
  <conditionalFormatting sqref="B83:AF99">
    <cfRule type="expression" dxfId="1524" priority="33">
      <formula>AND(B$9&gt;=8/24,B$9&lt;14/24)</formula>
    </cfRule>
    <cfRule type="expression" dxfId="1523" priority="34">
      <formula>B$9&lt;8/24</formula>
    </cfRule>
    <cfRule type="expression" dxfId="1522" priority="32">
      <formula>AND(B$9&gt;=14/24,B$9&lt;20/24)</formula>
    </cfRule>
    <cfRule type="expression" dxfId="1521" priority="31">
      <formula>B$9&gt;=20/24</formula>
    </cfRule>
  </conditionalFormatting>
  <conditionalFormatting sqref="B101:AF102">
    <cfRule type="expression" dxfId="1520" priority="22">
      <formula>B$9&lt;8/24</formula>
    </cfRule>
    <cfRule type="expression" dxfId="1519" priority="21">
      <formula>AND(B$9&gt;=8/24,B$9&lt;14/24)</formula>
    </cfRule>
    <cfRule type="expression" dxfId="1518" priority="20">
      <formula>AND(B$9&gt;=14/24,B$9&lt;20/24)</formula>
    </cfRule>
    <cfRule type="expression" dxfId="1517" priority="19">
      <formula>B$9&gt;=20/24</formula>
    </cfRule>
  </conditionalFormatting>
  <conditionalFormatting sqref="B40:AG40 B57:AG58 B62:AG62">
    <cfRule type="expression" dxfId="1512" priority="53">
      <formula>B40&gt;$AG40</formula>
    </cfRule>
  </conditionalFormatting>
  <conditionalFormatting sqref="B44:AG44">
    <cfRule type="expression" dxfId="1511" priority="37">
      <formula>AND(B$9&gt;=14/24,B$9&lt;20/24)</formula>
    </cfRule>
    <cfRule type="expression" dxfId="1510" priority="38">
      <formula>AND(B$9&gt;=8/24,B$9&lt;14/24)</formula>
    </cfRule>
    <cfRule type="expression" dxfId="1509" priority="39">
      <formula>B$9&lt;8/24</formula>
    </cfRule>
    <cfRule type="expression" dxfId="1508" priority="35">
      <formula>B44&gt;$AG44</formula>
    </cfRule>
    <cfRule type="expression" dxfId="1507" priority="36">
      <formula>B$9&gt;=20/24</formula>
    </cfRule>
  </conditionalFormatting>
  <conditionalFormatting sqref="C62:AG62 C79:AG79 C80:AF81">
    <cfRule type="expression" dxfId="1502" priority="240">
      <formula>AND(C$9&gt;=8/24,C$9&lt;14/24)</formula>
    </cfRule>
    <cfRule type="expression" dxfId="1501" priority="239">
      <formula>AND(C$9&gt;=14/24,C$9&lt;20/24)</formula>
    </cfRule>
    <cfRule type="expression" dxfId="1500" priority="241">
      <formula>C$9&lt;8/24</formula>
    </cfRule>
    <cfRule type="expression" dxfId="1499" priority="238">
      <formula>C$9&gt;=20/24</formula>
    </cfRule>
  </conditionalFormatting>
  <conditionalFormatting sqref="M11:AF11">
    <cfRule type="expression" dxfId="1498" priority="262">
      <formula>AND(M$9&gt;=8/24,M$9&lt;14/24)</formula>
    </cfRule>
    <cfRule type="expression" dxfId="1497" priority="263">
      <formula>M$9&lt;8/24</formula>
    </cfRule>
    <cfRule type="expression" dxfId="1496" priority="260">
      <formula>M$9&gt;=20/24</formula>
    </cfRule>
    <cfRule type="expression" dxfId="1495" priority="261">
      <formula>AND(M$9&gt;=14/24,M$9&lt;20/24)</formula>
    </cfRule>
  </conditionalFormatting>
  <conditionalFormatting sqref="M11:AF18">
    <cfRule type="expression" dxfId="1494" priority="146">
      <formula>M11&gt;$AG11</formula>
    </cfRule>
  </conditionalFormatting>
  <conditionalFormatting sqref="M16:AF16 Z103:Z109 Y105:Y109 B9:AF10 AA103:AF108 B216:AF216 B218:B224 D218:AF224 U237:AF237">
    <cfRule type="expression" dxfId="1493" priority="358">
      <formula>B$9&gt;=20/24</formula>
    </cfRule>
  </conditionalFormatting>
  <conditionalFormatting sqref="O3:P3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492" priority="364">
      <formula>C$9&gt;=20/24</formula>
    </cfRule>
  </conditionalFormatting>
  <conditionalFormatting sqref="S8">
    <cfRule type="expression" dxfId="1491" priority="336">
      <formula>U$9&lt;8/24</formula>
    </cfRule>
    <cfRule type="expression" dxfId="1490" priority="335">
      <formula>AND(U$9&gt;=8/24,U$9&lt;14/24)</formula>
    </cfRule>
    <cfRule type="expression" dxfId="1489" priority="334">
      <formula>AND(U$9&gt;=14/24,U$9&lt;20/24)</formula>
    </cfRule>
    <cfRule type="expression" dxfId="1488" priority="333">
      <formula>U$9&gt;=20/24</formula>
    </cfRule>
  </conditionalFormatting>
  <conditionalFormatting sqref="S49">
    <cfRule type="expression" dxfId="1487" priority="288">
      <formula>S$9&gt;=20/24</formula>
    </cfRule>
    <cfRule type="expression" dxfId="1486" priority="289">
      <formula>AND(S$9&gt;=14/24,S$9&lt;20/24)</formula>
    </cfRule>
    <cfRule type="expression" dxfId="1485" priority="290">
      <formula>AND(S$9&gt;=8/24,S$9&lt;14/24)</formula>
    </cfRule>
    <cfRule type="expression" dxfId="1484" priority="291">
      <formula>S$9&lt;8/24</formula>
    </cfRule>
  </conditionalFormatting>
  <conditionalFormatting sqref="T237">
    <cfRule type="expression" dxfId="1483" priority="377">
      <formula>AX$9&gt;=20/24</formula>
    </cfRule>
    <cfRule type="expression" dxfId="1482" priority="378">
      <formula>AND(AX$9&gt;=14/24,AX$9&lt;20/24)</formula>
    </cfRule>
    <cfRule type="expression" dxfId="1481" priority="379">
      <formula>AND(AX$9&gt;=8/24,AX$9&lt;14/24)</formula>
    </cfRule>
    <cfRule type="expression" dxfId="1480" priority="380">
      <formula>AX$9&lt;8/24</formula>
    </cfRule>
  </conditionalFormatting>
  <conditionalFormatting sqref="T48:AA56">
    <cfRule type="expression" dxfId="1479" priority="149">
      <formula>T$9&gt;=20/24</formula>
    </cfRule>
    <cfRule type="expression" dxfId="1478" priority="150">
      <formula>AND(T$9&gt;=14/24,T$9&lt;20/24)</formula>
    </cfRule>
    <cfRule type="expression" dxfId="1477" priority="151">
      <formula>AND(T$9&gt;=8/24,T$9&lt;14/24)</formula>
    </cfRule>
    <cfRule type="expression" dxfId="1476" priority="152">
      <formula>T$9&lt;8/24</formula>
    </cfRule>
  </conditionalFormatting>
  <conditionalFormatting sqref="V3 AB3">
    <cfRule type="iconSet" priority="363">
      <iconSet iconSet="3TrafficLights2" reverse="1">
        <cfvo type="percent" val="0"/>
        <cfvo type="num" val="1"/>
        <cfvo type="num" val="1"/>
      </iconSet>
    </cfRule>
  </conditionalFormatting>
  <conditionalFormatting sqref="Y104:Z104">
    <cfRule type="expression" dxfId="1471" priority="4">
      <formula>Y$9&lt;8/24</formula>
    </cfRule>
    <cfRule type="expression" dxfId="1470" priority="1">
      <formula>Y$9&gt;=20/24</formula>
    </cfRule>
    <cfRule type="expression" dxfId="1469" priority="2">
      <formula>AND(Y$9&gt;=14/24,Y$9&lt;20/24)</formula>
    </cfRule>
    <cfRule type="expression" dxfId="1468" priority="3">
      <formula>AND(Y$9&gt;=8/24,Y$9&lt;14/24)</formula>
    </cfRule>
  </conditionalFormatting>
  <conditionalFormatting sqref="AB8">
    <cfRule type="expression" dxfId="1467" priority="332">
      <formula>AD$9&lt;8/24</formula>
    </cfRule>
    <cfRule type="expression" dxfId="1466" priority="329">
      <formula>AD$9&gt;=20/24</formula>
    </cfRule>
    <cfRule type="expression" dxfId="1465" priority="330">
      <formula>AND(AD$9&gt;=14/24,AD$9&lt;20/24)</formula>
    </cfRule>
    <cfRule type="expression" dxfId="1464" priority="331">
      <formula>AND(AD$9&gt;=8/24,AD$9&lt;14/24)</formula>
    </cfRule>
  </conditionalFormatting>
  <conditionalFormatting sqref="AB50:AF56">
    <cfRule type="expression" dxfId="1463" priority="295">
      <formula>AND(AB$9&gt;=8/24,AB$9&lt;14/24)</formula>
    </cfRule>
    <cfRule type="expression" dxfId="1462" priority="294">
      <formula>AND(AB$9&gt;=14/24,AB$9&lt;20/24)</formula>
    </cfRule>
    <cfRule type="expression" dxfId="1461" priority="293">
      <formula>AB$9&gt;=20/24</formula>
    </cfRule>
    <cfRule type="expression" dxfId="1460" priority="296">
      <formula>AB$9&lt;8/24</formula>
    </cfRule>
  </conditionalFormatting>
  <conditionalFormatting sqref="AG237">
    <cfRule type="expression" dxfId="1459" priority="369">
      <formula>B$9&gt;=20/24</formula>
    </cfRule>
    <cfRule type="expression" dxfId="1458" priority="370">
      <formula>AND(B$9&gt;=14/24,B$9&lt;20/24)</formula>
    </cfRule>
    <cfRule type="expression" dxfId="1457" priority="371">
      <formula>AND(B$9&gt;=8/24,B$9&lt;14/24)</formula>
    </cfRule>
    <cfRule type="expression" dxfId="1456" priority="372">
      <formula>B$9&lt;8/24</formula>
    </cfRule>
  </conditionalFormatting>
  <conditionalFormatting sqref="AH237:AX237">
    <cfRule type="expression" dxfId="1455" priority="373">
      <formula>AG$9&gt;=20/24</formula>
    </cfRule>
    <cfRule type="expression" dxfId="1454" priority="374">
      <formula>AND(AG$9&gt;=14/24,AG$9&lt;20/24)</formula>
    </cfRule>
    <cfRule type="expression" dxfId="1453" priority="375">
      <formula>AND(AG$9&gt;=8/24,AG$9&lt;14/24)</formula>
    </cfRule>
    <cfRule type="expression" dxfId="1452" priority="376">
      <formula>AG$9&lt;8/24</formula>
    </cfRule>
  </conditionalFormatting>
  <conditionalFormatting sqref="AL4:AL6">
    <cfRule type="iconSet" priority="357">
      <iconSet iconSet="3TrafficLights2" reverse="1">
        <cfvo type="percent" val="0"/>
        <cfvo type="num" val="1"/>
        <cfvo type="num" val="1"/>
      </iconSet>
    </cfRule>
  </conditionalFormatting>
  <conditionalFormatting sqref="AL17">
    <cfRule type="iconSet" priority="147">
      <iconSet iconSet="3TrafficLights2" reverse="1">
        <cfvo type="percent" val="0"/>
        <cfvo type="num" val="1"/>
        <cfvo type="num" val="1"/>
      </iconSet>
    </cfRule>
  </conditionalFormatting>
  <conditionalFormatting sqref="AL30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AL36">
    <cfRule type="iconSet" priority="337">
      <iconSet iconSet="3TrafficLights2" reverse="1">
        <cfvo type="percent" val="0"/>
        <cfvo type="num" val="1"/>
        <cfvo type="num" val="1"/>
      </iconSet>
    </cfRule>
  </conditionalFormatting>
  <conditionalFormatting sqref="AL37 AL34 AL7:AL16 AL31:AL32 AL18:AL29">
    <cfRule type="iconSet" priority="381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7" id="{AD8D78C9-29B7-472F-8259-C8B33C08825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8" id="{9A871518-D265-4F78-8011-0D043CD1A69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9" id="{392C19A4-E275-4E41-85D7-5F14BAB70E6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0" id="{2EBC5836-5AA4-475C-A342-C6DCAE14D8D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</xm:sqref>
        </x14:conditionalFormatting>
        <x14:conditionalFormatting xmlns:xm="http://schemas.microsoft.com/office/excel/2006/main">
          <x14:cfRule type="expression" priority="26" id="{19C60419-B980-4330-BC0C-95129DA989D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25" id="{CAFD038E-D1C5-41CF-A533-1ADF6FBF2D70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4" id="{C19BAB99-5C72-4D56-8ECB-009774C3B8B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3" id="{FC0E111D-AE38-46EE-8D7E-0A60645C7FB4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m:sqref>B109:AF109</xm:sqref>
        </x14:conditionalFormatting>
        <x14:conditionalFormatting xmlns:xm="http://schemas.microsoft.com/office/excel/2006/main">
          <x14:cfRule type="expression" priority="174" id="{8E3CFD70-EF80-4818-9EAB-E39CDFDF5F5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75" id="{BD83F467-5133-4CA5-A0A3-D9472583EA2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6" id="{95ED8361-A34F-4DAD-8015-EED303AB602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7" id="{07BFC73D-21AC-4D8E-8FBC-43A72E9BD0D1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C82:AF82</xm:sqref>
        </x14:conditionalFormatting>
        <x14:conditionalFormatting xmlns:xm="http://schemas.microsoft.com/office/excel/2006/main">
          <x14:cfRule type="expression" priority="5" id="{953EC59B-6971-48DA-97D6-B86655DECFAE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8" id="{253DFCD2-3F36-4265-9213-A0EACCA5BF93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7" id="{F8408B40-3C91-49EC-B26C-65E55337DDB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" id="{B6D2FBF6-7869-4AA7-AEDD-6856FC3A2A3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m:sqref>Y111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J270"/>
  <sheetViews>
    <sheetView zoomScale="90" zoomScaleNormal="9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AJ8" sqref="AJ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2079/06/7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1323MW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Load=1196</v>
      </c>
      <c r="B7" s="35">
        <f t="shared" ref="B7:AF7" si="1">B81</f>
        <v>1318.54</v>
      </c>
      <c r="C7" s="35">
        <f t="shared" si="1"/>
        <v>1290.04</v>
      </c>
      <c r="D7" s="35">
        <f t="shared" si="1"/>
        <v>1261.24</v>
      </c>
      <c r="E7" s="35">
        <f t="shared" si="1"/>
        <v>1238.44</v>
      </c>
      <c r="F7" s="35">
        <f t="shared" si="1"/>
        <v>1254.54</v>
      </c>
      <c r="G7" s="35">
        <f t="shared" si="1"/>
        <v>1258.1399999999999</v>
      </c>
      <c r="H7" s="35">
        <f t="shared" si="1"/>
        <v>1293.9399999999998</v>
      </c>
      <c r="I7" s="35">
        <f t="shared" si="1"/>
        <v>1307.7399999999998</v>
      </c>
      <c r="J7" s="35">
        <f t="shared" si="1"/>
        <v>1289.3399999999999</v>
      </c>
      <c r="K7" s="35">
        <f t="shared" si="1"/>
        <v>1311.44</v>
      </c>
      <c r="L7" s="35">
        <f t="shared" si="1"/>
        <v>1311.04</v>
      </c>
      <c r="M7" s="35">
        <f t="shared" si="1"/>
        <v>1319.3400000000001</v>
      </c>
      <c r="N7" s="35">
        <f t="shared" si="1"/>
        <v>1323.3400000000001</v>
      </c>
      <c r="O7" s="35">
        <f t="shared" si="1"/>
        <v>1311.64</v>
      </c>
      <c r="P7" s="35">
        <f t="shared" si="1"/>
        <v>1259.94</v>
      </c>
      <c r="Q7" s="35">
        <f t="shared" si="1"/>
        <v>1241.44</v>
      </c>
      <c r="R7" s="35">
        <f t="shared" si="1"/>
        <v>1235.24</v>
      </c>
      <c r="S7" s="35">
        <f t="shared" si="1"/>
        <v>1195.73</v>
      </c>
      <c r="T7" s="35">
        <f t="shared" si="1"/>
        <v>1229.3399999999999</v>
      </c>
      <c r="U7" s="35">
        <f t="shared" si="1"/>
        <v>1237.3399999999999</v>
      </c>
      <c r="V7" s="35">
        <f t="shared" si="1"/>
        <v>1308.6399999999999</v>
      </c>
      <c r="W7" s="35">
        <f t="shared" si="1"/>
        <v>1385.34</v>
      </c>
      <c r="X7" s="35">
        <f t="shared" si="1"/>
        <v>1528.1399999999999</v>
      </c>
      <c r="Y7" s="35">
        <f t="shared" si="1"/>
        <v>1681.74</v>
      </c>
      <c r="Z7" s="35">
        <f t="shared" si="1"/>
        <v>1683.04</v>
      </c>
      <c r="AA7" s="35">
        <f t="shared" si="1"/>
        <v>1646.44</v>
      </c>
      <c r="AB7" s="35">
        <f t="shared" si="1"/>
        <v>1645.94</v>
      </c>
      <c r="AC7" s="35">
        <f t="shared" si="1"/>
        <v>1601.54</v>
      </c>
      <c r="AD7" s="35">
        <f t="shared" si="1"/>
        <v>1553.14</v>
      </c>
      <c r="AE7" s="35">
        <f t="shared" si="1"/>
        <v>1393.44</v>
      </c>
      <c r="AF7" s="35">
        <f t="shared" si="1"/>
        <v>1352.54</v>
      </c>
      <c r="AG7" s="36"/>
      <c r="AI7" s="37"/>
      <c r="AJ7" s="169" t="s">
        <v>247</v>
      </c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J8" s="48">
        <f>1675*24-(B7+C7+D7+E7+F7+G7+I7+K7+M7+N7+O7+P7+Q7+R7+S7+T7+U7+V7+X7+Z7+AB7+AD7+AE7+AF7)</f>
        <v>8141.6500000000015</v>
      </c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J9" s="48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53</v>
      </c>
      <c r="C11" s="45">
        <v>53</v>
      </c>
      <c r="D11" s="45">
        <v>53</v>
      </c>
      <c r="E11" s="45">
        <v>53</v>
      </c>
      <c r="F11" s="45">
        <v>53</v>
      </c>
      <c r="G11" s="45">
        <v>53</v>
      </c>
      <c r="H11" s="45">
        <v>53</v>
      </c>
      <c r="I11" s="45">
        <v>51</v>
      </c>
      <c r="J11" s="45">
        <v>51</v>
      </c>
      <c r="K11" s="45">
        <v>51</v>
      </c>
      <c r="L11" s="45">
        <v>51</v>
      </c>
      <c r="M11" s="45">
        <v>51</v>
      </c>
      <c r="N11" s="45">
        <v>51</v>
      </c>
      <c r="O11" s="45">
        <v>51</v>
      </c>
      <c r="P11" s="45">
        <v>51</v>
      </c>
      <c r="Q11" s="45">
        <v>51.3</v>
      </c>
      <c r="R11" s="45">
        <v>51.3</v>
      </c>
      <c r="S11" s="45">
        <v>51.9</v>
      </c>
      <c r="T11" s="45">
        <v>51.9</v>
      </c>
      <c r="U11" s="45">
        <v>51.9</v>
      </c>
      <c r="V11" s="46">
        <v>51.9</v>
      </c>
      <c r="W11" s="46">
        <v>51.4</v>
      </c>
      <c r="X11" s="46">
        <v>51.4</v>
      </c>
      <c r="Y11" s="46">
        <v>51.4</v>
      </c>
      <c r="Z11" s="46">
        <v>51.4</v>
      </c>
      <c r="AA11" s="46">
        <v>51.4</v>
      </c>
      <c r="AB11" s="46">
        <v>51.4</v>
      </c>
      <c r="AC11" s="46">
        <v>51.4</v>
      </c>
      <c r="AD11" s="46">
        <v>51.4</v>
      </c>
      <c r="AE11" s="46">
        <v>51.4</v>
      </c>
      <c r="AF11" s="46">
        <v>51.4</v>
      </c>
      <c r="AG11" s="47">
        <v>52.4</v>
      </c>
      <c r="AH11" s="48">
        <f>MAX(B11:AF11)</f>
        <v>53</v>
      </c>
      <c r="AI11" s="49">
        <f>MIN(B11:AF11)</f>
        <v>51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50.3</v>
      </c>
      <c r="C12" s="45">
        <v>50.3</v>
      </c>
      <c r="D12" s="45">
        <v>50.3</v>
      </c>
      <c r="E12" s="45">
        <v>50.3</v>
      </c>
      <c r="F12" s="45">
        <v>50.3</v>
      </c>
      <c r="G12" s="45">
        <v>50.3</v>
      </c>
      <c r="H12" s="45">
        <v>50.3</v>
      </c>
      <c r="I12" s="45">
        <v>50.3</v>
      </c>
      <c r="J12" s="45">
        <v>50.3</v>
      </c>
      <c r="K12" s="45">
        <v>50.7</v>
      </c>
      <c r="L12" s="45">
        <v>50.7</v>
      </c>
      <c r="M12" s="45">
        <v>20</v>
      </c>
      <c r="N12" s="45">
        <v>0</v>
      </c>
      <c r="O12" s="45">
        <v>0</v>
      </c>
      <c r="P12" s="45">
        <v>0</v>
      </c>
      <c r="Q12" s="45">
        <v>0</v>
      </c>
      <c r="R12" s="45">
        <v>50.4</v>
      </c>
      <c r="S12" s="45">
        <v>50.5</v>
      </c>
      <c r="T12" s="45">
        <v>50.1</v>
      </c>
      <c r="U12" s="45">
        <v>50.1</v>
      </c>
      <c r="V12" s="45">
        <v>50.1</v>
      </c>
      <c r="W12" s="45">
        <v>50.5</v>
      </c>
      <c r="X12" s="45">
        <v>50.5</v>
      </c>
      <c r="Y12" s="45">
        <v>50.5</v>
      </c>
      <c r="Z12" s="45">
        <v>50.5</v>
      </c>
      <c r="AA12" s="45">
        <v>50.5</v>
      </c>
      <c r="AB12" s="45">
        <v>50.5</v>
      </c>
      <c r="AC12" s="45">
        <v>50.5</v>
      </c>
      <c r="AD12" s="45">
        <v>50.5</v>
      </c>
      <c r="AE12" s="45">
        <v>50.5</v>
      </c>
      <c r="AF12" s="45">
        <v>50.5</v>
      </c>
      <c r="AG12" s="51">
        <v>50</v>
      </c>
      <c r="AH12" s="48">
        <f t="shared" ref="AH12:AH75" si="2">MAX(B12:AF12)</f>
        <v>50.7</v>
      </c>
      <c r="AI12" s="49">
        <f t="shared" ref="AI12:AI75" si="3">MIN(B12:AF12)</f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37</v>
      </c>
      <c r="C13" s="45">
        <v>37</v>
      </c>
      <c r="D13" s="45">
        <v>37</v>
      </c>
      <c r="E13" s="45">
        <v>0</v>
      </c>
      <c r="F13" s="45">
        <v>0</v>
      </c>
      <c r="G13" s="45">
        <v>0</v>
      </c>
      <c r="H13" s="45">
        <v>0</v>
      </c>
      <c r="I13" s="45">
        <v>11.6</v>
      </c>
      <c r="J13" s="45">
        <v>11.6</v>
      </c>
      <c r="K13" s="45">
        <v>23</v>
      </c>
      <c r="L13" s="45">
        <v>23</v>
      </c>
      <c r="M13" s="45">
        <v>42.6</v>
      </c>
      <c r="N13" s="45">
        <v>42.6</v>
      </c>
      <c r="O13" s="45">
        <v>36</v>
      </c>
      <c r="P13" s="45">
        <v>36</v>
      </c>
      <c r="Q13" s="45">
        <v>37</v>
      </c>
      <c r="R13" s="45">
        <v>37</v>
      </c>
      <c r="S13" s="45">
        <v>28.7</v>
      </c>
      <c r="T13" s="45">
        <v>28.7</v>
      </c>
      <c r="U13" s="45">
        <v>28.7</v>
      </c>
      <c r="V13" s="45">
        <v>28.7</v>
      </c>
      <c r="W13" s="45">
        <v>28.7</v>
      </c>
      <c r="X13" s="45">
        <v>45.6</v>
      </c>
      <c r="Y13" s="45">
        <v>46</v>
      </c>
      <c r="Z13" s="45">
        <v>46</v>
      </c>
      <c r="AA13" s="45">
        <v>46</v>
      </c>
      <c r="AB13" s="45">
        <v>45.9</v>
      </c>
      <c r="AC13" s="45">
        <v>36</v>
      </c>
      <c r="AD13" s="45">
        <v>36</v>
      </c>
      <c r="AE13" s="45">
        <v>36</v>
      </c>
      <c r="AF13" s="45">
        <v>36</v>
      </c>
      <c r="AG13" s="51">
        <v>45</v>
      </c>
      <c r="AH13" s="48">
        <f t="shared" si="2"/>
        <v>46</v>
      </c>
      <c r="AI13" s="49">
        <f t="shared" si="3"/>
        <v>0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15.5</v>
      </c>
      <c r="C14" s="45">
        <v>16</v>
      </c>
      <c r="D14" s="45">
        <v>16</v>
      </c>
      <c r="E14" s="45">
        <v>10</v>
      </c>
      <c r="F14" s="45">
        <v>10</v>
      </c>
      <c r="G14" s="45">
        <v>16.5</v>
      </c>
      <c r="H14" s="45">
        <v>16.5</v>
      </c>
      <c r="I14" s="45">
        <v>16.5</v>
      </c>
      <c r="J14" s="45">
        <v>16.5</v>
      </c>
      <c r="K14" s="45">
        <v>16.5</v>
      </c>
      <c r="L14" s="45">
        <v>16.5</v>
      </c>
      <c r="M14" s="45">
        <v>17</v>
      </c>
      <c r="N14" s="45">
        <v>17</v>
      </c>
      <c r="O14" s="45">
        <v>17</v>
      </c>
      <c r="P14" s="45">
        <v>17</v>
      </c>
      <c r="Q14" s="45">
        <v>17</v>
      </c>
      <c r="R14" s="45">
        <v>17</v>
      </c>
      <c r="S14" s="45">
        <v>13</v>
      </c>
      <c r="T14" s="45">
        <v>13</v>
      </c>
      <c r="U14" s="45">
        <v>13</v>
      </c>
      <c r="V14" s="45">
        <v>13</v>
      </c>
      <c r="W14" s="45">
        <v>13</v>
      </c>
      <c r="X14" s="45">
        <v>14</v>
      </c>
      <c r="Y14" s="45">
        <v>24.5</v>
      </c>
      <c r="Z14" s="45">
        <v>24.5</v>
      </c>
      <c r="AA14" s="45">
        <v>24.5</v>
      </c>
      <c r="AB14" s="45">
        <v>24.5</v>
      </c>
      <c r="AC14" s="45">
        <v>20</v>
      </c>
      <c r="AD14" s="45">
        <v>20</v>
      </c>
      <c r="AE14" s="45">
        <v>20</v>
      </c>
      <c r="AF14" s="45">
        <v>20</v>
      </c>
      <c r="AG14" s="51">
        <v>42</v>
      </c>
      <c r="AH14" s="48">
        <f t="shared" si="2"/>
        <v>24.5</v>
      </c>
      <c r="AI14" s="49">
        <f t="shared" si="3"/>
        <v>10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5.4</v>
      </c>
      <c r="Y15" s="45">
        <v>15</v>
      </c>
      <c r="Z15" s="45">
        <v>15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52">
        <v>30</v>
      </c>
      <c r="AH15" s="48">
        <f t="shared" si="2"/>
        <v>15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20.5</v>
      </c>
      <c r="C16" s="45">
        <v>20.5</v>
      </c>
      <c r="D16" s="45">
        <v>20.5</v>
      </c>
      <c r="E16" s="45">
        <v>20.5</v>
      </c>
      <c r="F16" s="45">
        <v>20.5</v>
      </c>
      <c r="G16" s="45">
        <v>20.5</v>
      </c>
      <c r="H16" s="45">
        <v>20.5</v>
      </c>
      <c r="I16" s="45">
        <v>20.5</v>
      </c>
      <c r="J16" s="45">
        <v>20.5</v>
      </c>
      <c r="K16" s="45">
        <v>20.5</v>
      </c>
      <c r="L16" s="45">
        <v>20.5</v>
      </c>
      <c r="M16" s="45">
        <v>20.5</v>
      </c>
      <c r="N16" s="45">
        <v>20.5</v>
      </c>
      <c r="O16" s="45">
        <v>20.5</v>
      </c>
      <c r="P16" s="45">
        <v>20.5</v>
      </c>
      <c r="Q16" s="45">
        <v>15.6</v>
      </c>
      <c r="R16" s="45">
        <v>15.6</v>
      </c>
      <c r="S16" s="45">
        <v>15.6</v>
      </c>
      <c r="T16" s="45">
        <v>15.6</v>
      </c>
      <c r="U16" s="45">
        <v>15.6</v>
      </c>
      <c r="V16" s="45">
        <v>15.6</v>
      </c>
      <c r="W16" s="45">
        <v>15.6</v>
      </c>
      <c r="X16" s="45">
        <v>15.6</v>
      </c>
      <c r="Y16" s="45">
        <v>15.3</v>
      </c>
      <c r="Z16" s="45">
        <v>15.3</v>
      </c>
      <c r="AA16" s="45">
        <v>15.3</v>
      </c>
      <c r="AB16" s="45">
        <v>15.3</v>
      </c>
      <c r="AC16" s="45">
        <v>15.3</v>
      </c>
      <c r="AD16" s="45">
        <v>15.3</v>
      </c>
      <c r="AE16" s="45">
        <v>15.3</v>
      </c>
      <c r="AF16" s="45">
        <v>15.3</v>
      </c>
      <c r="AG16" s="51">
        <v>24.2</v>
      </c>
      <c r="AH16" s="48">
        <f t="shared" si="2"/>
        <v>20.5</v>
      </c>
      <c r="AI16" s="49">
        <f t="shared" si="3"/>
        <v>15.3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0</v>
      </c>
      <c r="Y17" s="45">
        <v>10</v>
      </c>
      <c r="Z17" s="45">
        <v>10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52">
        <v>30</v>
      </c>
      <c r="AH17" s="48">
        <f t="shared" si="2"/>
        <v>10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10</v>
      </c>
      <c r="C18" s="45">
        <v>10</v>
      </c>
      <c r="D18" s="45">
        <v>10</v>
      </c>
      <c r="E18" s="45">
        <v>0</v>
      </c>
      <c r="F18" s="45">
        <v>0</v>
      </c>
      <c r="G18" s="45">
        <v>7.1</v>
      </c>
      <c r="H18" s="45">
        <v>7.1</v>
      </c>
      <c r="I18" s="45">
        <v>16.5</v>
      </c>
      <c r="J18" s="45">
        <v>16.5</v>
      </c>
      <c r="K18" s="45">
        <v>16.5</v>
      </c>
      <c r="L18" s="45">
        <v>16.5</v>
      </c>
      <c r="M18" s="45">
        <v>16.5</v>
      </c>
      <c r="N18" s="45">
        <v>16.5</v>
      </c>
      <c r="O18" s="45">
        <v>16.5</v>
      </c>
      <c r="P18" s="45">
        <v>16.5</v>
      </c>
      <c r="Q18" s="45">
        <v>20.2</v>
      </c>
      <c r="R18" s="45">
        <v>16.5</v>
      </c>
      <c r="S18" s="45">
        <v>17.399999999999999</v>
      </c>
      <c r="T18" s="45">
        <v>17.399999999999999</v>
      </c>
      <c r="U18" s="45">
        <v>17.399999999999999</v>
      </c>
      <c r="V18" s="45">
        <v>17.399999999999999</v>
      </c>
      <c r="W18" s="45">
        <v>17.3</v>
      </c>
      <c r="X18" s="45">
        <v>24.9</v>
      </c>
      <c r="Y18" s="45">
        <v>25.1</v>
      </c>
      <c r="Z18" s="45">
        <v>25.1</v>
      </c>
      <c r="AA18" s="45">
        <v>25.1</v>
      </c>
      <c r="AB18" s="45">
        <v>25.1</v>
      </c>
      <c r="AC18" s="45">
        <v>25.1</v>
      </c>
      <c r="AD18" s="45">
        <v>20</v>
      </c>
      <c r="AE18" s="45">
        <v>20</v>
      </c>
      <c r="AF18" s="45">
        <v>15</v>
      </c>
      <c r="AG18" s="51">
        <v>25</v>
      </c>
      <c r="AH18" s="48">
        <f t="shared" si="2"/>
        <v>25.1</v>
      </c>
      <c r="AI18" s="49">
        <f t="shared" si="3"/>
        <v>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22</v>
      </c>
      <c r="C19" s="45">
        <v>22</v>
      </c>
      <c r="D19" s="45">
        <v>22</v>
      </c>
      <c r="E19" s="45">
        <v>22</v>
      </c>
      <c r="F19" s="45">
        <v>22</v>
      </c>
      <c r="G19" s="45">
        <v>22</v>
      </c>
      <c r="H19" s="45">
        <v>22</v>
      </c>
      <c r="I19" s="45">
        <v>22</v>
      </c>
      <c r="J19" s="45">
        <v>22</v>
      </c>
      <c r="K19" s="45">
        <v>22</v>
      </c>
      <c r="L19" s="45">
        <v>22</v>
      </c>
      <c r="M19" s="45">
        <v>22</v>
      </c>
      <c r="N19" s="45">
        <v>22</v>
      </c>
      <c r="O19" s="45">
        <v>22</v>
      </c>
      <c r="P19" s="45">
        <v>22</v>
      </c>
      <c r="Q19" s="45">
        <v>22</v>
      </c>
      <c r="R19" s="45">
        <v>22</v>
      </c>
      <c r="S19" s="45">
        <v>22</v>
      </c>
      <c r="T19" s="45">
        <v>22</v>
      </c>
      <c r="U19" s="45">
        <v>22</v>
      </c>
      <c r="V19" s="45">
        <v>22</v>
      </c>
      <c r="W19" s="45">
        <v>22</v>
      </c>
      <c r="X19" s="45">
        <v>22</v>
      </c>
      <c r="Y19" s="45">
        <v>25</v>
      </c>
      <c r="Z19" s="45">
        <v>25</v>
      </c>
      <c r="AA19" s="45">
        <v>25</v>
      </c>
      <c r="AB19" s="45">
        <v>25</v>
      </c>
      <c r="AC19" s="45">
        <v>25</v>
      </c>
      <c r="AD19" s="45">
        <v>25</v>
      </c>
      <c r="AE19" s="45">
        <v>25</v>
      </c>
      <c r="AF19" s="45">
        <v>25</v>
      </c>
      <c r="AG19" s="51">
        <v>25</v>
      </c>
      <c r="AH19" s="48">
        <f t="shared" si="2"/>
        <v>25</v>
      </c>
      <c r="AI19" s="49">
        <f t="shared" si="3"/>
        <v>22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25</v>
      </c>
      <c r="Y20" s="45">
        <v>25</v>
      </c>
      <c r="Z20" s="45">
        <v>25</v>
      </c>
      <c r="AA20" s="45">
        <v>25</v>
      </c>
      <c r="AB20" s="45">
        <v>25</v>
      </c>
      <c r="AC20" s="45">
        <v>25</v>
      </c>
      <c r="AD20" s="45">
        <v>25</v>
      </c>
      <c r="AE20" s="45">
        <v>25</v>
      </c>
      <c r="AF20" s="45">
        <v>25</v>
      </c>
      <c r="AG20" s="51">
        <v>25</v>
      </c>
      <c r="AH20" s="48">
        <f t="shared" si="2"/>
        <v>25</v>
      </c>
      <c r="AI20" s="49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23.1</v>
      </c>
      <c r="C21" s="45">
        <v>23.1</v>
      </c>
      <c r="D21" s="45">
        <v>23.1</v>
      </c>
      <c r="E21" s="45">
        <v>23.1</v>
      </c>
      <c r="F21" s="45">
        <v>23.1</v>
      </c>
      <c r="G21" s="45">
        <v>23.1</v>
      </c>
      <c r="H21" s="45">
        <v>23.1</v>
      </c>
      <c r="I21" s="45">
        <v>23.1</v>
      </c>
      <c r="J21" s="45">
        <v>23.1</v>
      </c>
      <c r="K21" s="45">
        <v>23.1</v>
      </c>
      <c r="L21" s="45">
        <v>23.1</v>
      </c>
      <c r="M21" s="45">
        <v>23.1</v>
      </c>
      <c r="N21" s="45">
        <v>23.1</v>
      </c>
      <c r="O21" s="45">
        <v>23.1</v>
      </c>
      <c r="P21" s="45">
        <v>23.1</v>
      </c>
      <c r="Q21" s="45">
        <v>23.1</v>
      </c>
      <c r="R21" s="45">
        <v>23.1</v>
      </c>
      <c r="S21" s="45">
        <v>23.1</v>
      </c>
      <c r="T21" s="45">
        <v>23.1</v>
      </c>
      <c r="U21" s="45">
        <v>23.1</v>
      </c>
      <c r="V21" s="45">
        <v>23.1</v>
      </c>
      <c r="W21" s="45">
        <v>23.1</v>
      </c>
      <c r="X21" s="45">
        <v>16</v>
      </c>
      <c r="Y21" s="45">
        <v>16</v>
      </c>
      <c r="Z21" s="45">
        <v>16</v>
      </c>
      <c r="AA21" s="45">
        <v>16</v>
      </c>
      <c r="AB21" s="45">
        <v>16</v>
      </c>
      <c r="AC21" s="45">
        <v>16</v>
      </c>
      <c r="AD21" s="45">
        <v>16</v>
      </c>
      <c r="AE21" s="45">
        <v>16</v>
      </c>
      <c r="AF21" s="45">
        <v>16</v>
      </c>
      <c r="AG21" s="51">
        <v>23.5</v>
      </c>
      <c r="AH21" s="48">
        <f t="shared" si="2"/>
        <v>23.1</v>
      </c>
      <c r="AI21" s="49">
        <f t="shared" si="3"/>
        <v>16</v>
      </c>
      <c r="AK21" s="165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8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5</v>
      </c>
      <c r="J22" s="45">
        <v>5</v>
      </c>
      <c r="K22" s="45">
        <v>5</v>
      </c>
      <c r="L22" s="45">
        <v>5</v>
      </c>
      <c r="M22" s="45">
        <v>5</v>
      </c>
      <c r="N22" s="45">
        <v>5</v>
      </c>
      <c r="O22" s="45">
        <v>5</v>
      </c>
      <c r="P22" s="45">
        <v>5</v>
      </c>
      <c r="Q22" s="45">
        <v>5</v>
      </c>
      <c r="R22" s="45">
        <v>5</v>
      </c>
      <c r="S22" s="45">
        <v>5</v>
      </c>
      <c r="T22" s="45">
        <v>5</v>
      </c>
      <c r="U22" s="45">
        <v>5</v>
      </c>
      <c r="V22" s="45">
        <v>5</v>
      </c>
      <c r="W22" s="45">
        <v>5</v>
      </c>
      <c r="X22" s="45">
        <v>14</v>
      </c>
      <c r="Y22" s="45">
        <v>17</v>
      </c>
      <c r="Z22" s="45">
        <v>17</v>
      </c>
      <c r="AA22" s="45">
        <v>17</v>
      </c>
      <c r="AB22" s="45">
        <v>17</v>
      </c>
      <c r="AC22" s="45">
        <v>17</v>
      </c>
      <c r="AD22" s="45">
        <v>17</v>
      </c>
      <c r="AE22" s="45">
        <v>17</v>
      </c>
      <c r="AF22" s="45">
        <v>17</v>
      </c>
      <c r="AG22" s="51">
        <v>22.2</v>
      </c>
      <c r="AH22" s="48">
        <f t="shared" si="2"/>
        <v>17</v>
      </c>
      <c r="AI22" s="49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18</v>
      </c>
      <c r="C23" s="45">
        <v>18</v>
      </c>
      <c r="D23" s="45">
        <v>15</v>
      </c>
      <c r="E23" s="45">
        <v>15</v>
      </c>
      <c r="F23" s="45">
        <v>15</v>
      </c>
      <c r="G23" s="45">
        <v>15</v>
      </c>
      <c r="H23" s="45">
        <v>15</v>
      </c>
      <c r="I23" s="45">
        <v>15</v>
      </c>
      <c r="J23" s="45">
        <v>15</v>
      </c>
      <c r="K23" s="45">
        <v>15</v>
      </c>
      <c r="L23" s="45">
        <v>15</v>
      </c>
      <c r="M23" s="45">
        <v>15</v>
      </c>
      <c r="N23" s="45">
        <v>15</v>
      </c>
      <c r="O23" s="45">
        <v>15</v>
      </c>
      <c r="P23" s="45">
        <v>15</v>
      </c>
      <c r="Q23" s="45">
        <v>15</v>
      </c>
      <c r="R23" s="45">
        <v>15</v>
      </c>
      <c r="S23" s="45">
        <v>15</v>
      </c>
      <c r="T23" s="45">
        <v>15</v>
      </c>
      <c r="U23" s="45">
        <v>15</v>
      </c>
      <c r="V23" s="45">
        <v>15</v>
      </c>
      <c r="W23" s="45">
        <v>15</v>
      </c>
      <c r="X23" s="45">
        <v>15</v>
      </c>
      <c r="Y23" s="45">
        <v>22</v>
      </c>
      <c r="Z23" s="45">
        <v>22</v>
      </c>
      <c r="AA23" s="45">
        <v>22</v>
      </c>
      <c r="AB23" s="45">
        <v>22</v>
      </c>
      <c r="AC23" s="45">
        <v>22</v>
      </c>
      <c r="AD23" s="45">
        <v>22</v>
      </c>
      <c r="AE23" s="45">
        <v>22</v>
      </c>
      <c r="AF23" s="45">
        <v>22</v>
      </c>
      <c r="AG23" s="51">
        <v>22.1</v>
      </c>
      <c r="AH23" s="48">
        <f t="shared" si="2"/>
        <v>22</v>
      </c>
      <c r="AI23" s="49">
        <f t="shared" si="3"/>
        <v>15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22</v>
      </c>
      <c r="C24" s="45">
        <v>22</v>
      </c>
      <c r="D24" s="45">
        <v>22</v>
      </c>
      <c r="E24" s="45">
        <v>22</v>
      </c>
      <c r="F24" s="45">
        <v>22</v>
      </c>
      <c r="G24" s="45">
        <v>22</v>
      </c>
      <c r="H24" s="45">
        <v>22</v>
      </c>
      <c r="I24" s="45">
        <v>22</v>
      </c>
      <c r="J24" s="45">
        <v>22</v>
      </c>
      <c r="K24" s="45">
        <v>22</v>
      </c>
      <c r="L24" s="45">
        <v>22</v>
      </c>
      <c r="M24" s="45">
        <v>22</v>
      </c>
      <c r="N24" s="45">
        <v>22</v>
      </c>
      <c r="O24" s="45">
        <v>22</v>
      </c>
      <c r="P24" s="45">
        <v>22</v>
      </c>
      <c r="Q24" s="45">
        <v>22</v>
      </c>
      <c r="R24" s="45">
        <v>22</v>
      </c>
      <c r="S24" s="45">
        <v>22</v>
      </c>
      <c r="T24" s="45">
        <v>22</v>
      </c>
      <c r="U24" s="45">
        <v>22</v>
      </c>
      <c r="V24" s="45">
        <v>22</v>
      </c>
      <c r="W24" s="45">
        <v>22</v>
      </c>
      <c r="X24" s="45">
        <v>22</v>
      </c>
      <c r="Y24" s="45">
        <v>22</v>
      </c>
      <c r="Z24" s="45">
        <v>22</v>
      </c>
      <c r="AA24" s="45">
        <v>22</v>
      </c>
      <c r="AB24" s="45">
        <v>22</v>
      </c>
      <c r="AC24" s="45">
        <v>22</v>
      </c>
      <c r="AD24" s="45">
        <v>22</v>
      </c>
      <c r="AE24" s="45">
        <v>22</v>
      </c>
      <c r="AF24" s="45">
        <v>22</v>
      </c>
      <c r="AG24" s="51">
        <v>22</v>
      </c>
      <c r="AH24" s="48">
        <f t="shared" si="2"/>
        <v>22</v>
      </c>
      <c r="AI24" s="49">
        <f t="shared" si="3"/>
        <v>22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15</v>
      </c>
      <c r="C25" s="45">
        <v>15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12</v>
      </c>
      <c r="J25" s="45">
        <v>12</v>
      </c>
      <c r="K25" s="45">
        <v>12</v>
      </c>
      <c r="L25" s="45">
        <v>12</v>
      </c>
      <c r="M25" s="45">
        <v>12</v>
      </c>
      <c r="N25" s="45">
        <v>12</v>
      </c>
      <c r="O25" s="45">
        <v>12</v>
      </c>
      <c r="P25" s="45">
        <v>12</v>
      </c>
      <c r="Q25" s="45">
        <v>13</v>
      </c>
      <c r="R25" s="45">
        <v>13</v>
      </c>
      <c r="S25" s="45">
        <v>13</v>
      </c>
      <c r="T25" s="45">
        <v>13</v>
      </c>
      <c r="U25" s="45">
        <v>13</v>
      </c>
      <c r="V25" s="45">
        <v>13</v>
      </c>
      <c r="W25" s="45">
        <v>13</v>
      </c>
      <c r="X25" s="45">
        <v>13</v>
      </c>
      <c r="Y25" s="45">
        <v>13</v>
      </c>
      <c r="Z25" s="45">
        <v>13</v>
      </c>
      <c r="AA25" s="45">
        <v>13</v>
      </c>
      <c r="AB25" s="45">
        <v>13</v>
      </c>
      <c r="AC25" s="45">
        <v>13</v>
      </c>
      <c r="AD25" s="45">
        <v>13</v>
      </c>
      <c r="AE25" s="45">
        <v>13</v>
      </c>
      <c r="AF25" s="45">
        <v>13</v>
      </c>
      <c r="AG25" s="51">
        <v>22</v>
      </c>
      <c r="AH25" s="48">
        <f t="shared" si="2"/>
        <v>15</v>
      </c>
      <c r="AI25" s="49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5</v>
      </c>
      <c r="Y26" s="45">
        <v>5</v>
      </c>
      <c r="Z26" s="45">
        <v>5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51">
        <v>20</v>
      </c>
      <c r="AH26" s="48">
        <f t="shared" si="2"/>
        <v>5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12</v>
      </c>
      <c r="C27" s="45">
        <v>12</v>
      </c>
      <c r="D27" s="45">
        <v>12</v>
      </c>
      <c r="E27" s="45">
        <v>12</v>
      </c>
      <c r="F27" s="45">
        <v>12</v>
      </c>
      <c r="G27" s="45">
        <v>12</v>
      </c>
      <c r="H27" s="45">
        <v>12</v>
      </c>
      <c r="I27" s="45">
        <v>12</v>
      </c>
      <c r="J27" s="45">
        <v>12</v>
      </c>
      <c r="K27" s="45">
        <v>12</v>
      </c>
      <c r="L27" s="45">
        <v>12</v>
      </c>
      <c r="M27" s="45">
        <v>12</v>
      </c>
      <c r="N27" s="45">
        <v>12</v>
      </c>
      <c r="O27" s="45">
        <v>12</v>
      </c>
      <c r="P27" s="45">
        <v>12</v>
      </c>
      <c r="Q27" s="45">
        <v>12</v>
      </c>
      <c r="R27" s="45">
        <v>12</v>
      </c>
      <c r="S27" s="45">
        <v>12</v>
      </c>
      <c r="T27" s="45">
        <v>12</v>
      </c>
      <c r="U27" s="45">
        <v>12</v>
      </c>
      <c r="V27" s="45">
        <v>12</v>
      </c>
      <c r="W27" s="45">
        <v>12</v>
      </c>
      <c r="X27" s="45">
        <v>12</v>
      </c>
      <c r="Y27" s="45">
        <v>14.9</v>
      </c>
      <c r="Z27" s="45">
        <v>14.9</v>
      </c>
      <c r="AA27" s="45">
        <v>14.9</v>
      </c>
      <c r="AB27" s="45">
        <v>14.9</v>
      </c>
      <c r="AC27" s="45">
        <v>14.9</v>
      </c>
      <c r="AD27" s="45">
        <v>14.9</v>
      </c>
      <c r="AE27" s="45">
        <v>14.9</v>
      </c>
      <c r="AF27" s="45">
        <v>14.9</v>
      </c>
      <c r="AG27" s="51">
        <v>14.9</v>
      </c>
      <c r="AH27" s="48">
        <f t="shared" si="2"/>
        <v>14.9</v>
      </c>
      <c r="AI27" s="49">
        <f t="shared" si="3"/>
        <v>12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6.8</v>
      </c>
      <c r="C28" s="45">
        <v>6.8</v>
      </c>
      <c r="D28" s="45">
        <v>6.8</v>
      </c>
      <c r="E28" s="45">
        <v>6.8</v>
      </c>
      <c r="F28" s="45">
        <v>6.8</v>
      </c>
      <c r="G28" s="45">
        <v>6.8</v>
      </c>
      <c r="H28" s="45">
        <v>6.8</v>
      </c>
      <c r="I28" s="45">
        <v>6.8</v>
      </c>
      <c r="J28" s="45">
        <v>6.8</v>
      </c>
      <c r="K28" s="45">
        <v>6.8</v>
      </c>
      <c r="L28" s="45">
        <v>6.8</v>
      </c>
      <c r="M28" s="45">
        <v>6.8</v>
      </c>
      <c r="N28" s="45">
        <v>6.8</v>
      </c>
      <c r="O28" s="45">
        <v>6.8</v>
      </c>
      <c r="P28" s="45">
        <v>6.8</v>
      </c>
      <c r="Q28" s="45">
        <v>6.8</v>
      </c>
      <c r="R28" s="45">
        <v>6.8</v>
      </c>
      <c r="S28" s="45">
        <v>6.8</v>
      </c>
      <c r="T28" s="45">
        <v>6.8</v>
      </c>
      <c r="U28" s="45">
        <v>6.8</v>
      </c>
      <c r="V28" s="45">
        <v>6.8</v>
      </c>
      <c r="W28" s="45">
        <v>6.8</v>
      </c>
      <c r="X28" s="45">
        <v>6.8</v>
      </c>
      <c r="Y28" s="45">
        <v>6.8</v>
      </c>
      <c r="Z28" s="45">
        <v>6.8</v>
      </c>
      <c r="AA28" s="45">
        <v>6.8</v>
      </c>
      <c r="AB28" s="45">
        <v>6.8</v>
      </c>
      <c r="AC28" s="45">
        <v>6.8</v>
      </c>
      <c r="AD28" s="45">
        <v>6.8</v>
      </c>
      <c r="AE28" s="45">
        <v>6.8</v>
      </c>
      <c r="AF28" s="45">
        <v>6.8</v>
      </c>
      <c r="AG28" s="51">
        <v>13.6</v>
      </c>
      <c r="AH28" s="48">
        <f t="shared" si="2"/>
        <v>6.8</v>
      </c>
      <c r="AI28" s="49">
        <f t="shared" si="3"/>
        <v>6.8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0</v>
      </c>
      <c r="D29" s="45">
        <v>0</v>
      </c>
      <c r="E29" s="45">
        <v>0</v>
      </c>
      <c r="F29" s="45">
        <v>0</v>
      </c>
      <c r="G29" s="45">
        <v>0</v>
      </c>
      <c r="H29" s="45">
        <v>6</v>
      </c>
      <c r="I29" s="45">
        <v>6</v>
      </c>
      <c r="J29" s="45">
        <v>6</v>
      </c>
      <c r="K29" s="45">
        <v>6</v>
      </c>
      <c r="L29" s="45">
        <v>6</v>
      </c>
      <c r="M29" s="45">
        <v>6</v>
      </c>
      <c r="N29" s="45">
        <v>6</v>
      </c>
      <c r="O29" s="45">
        <v>6</v>
      </c>
      <c r="P29" s="45">
        <v>6</v>
      </c>
      <c r="Q29" s="45">
        <v>2</v>
      </c>
      <c r="R29" s="45">
        <v>2</v>
      </c>
      <c r="S29" s="45">
        <v>2</v>
      </c>
      <c r="T29" s="45">
        <v>2</v>
      </c>
      <c r="U29" s="45">
        <v>2</v>
      </c>
      <c r="V29" s="45">
        <v>2</v>
      </c>
      <c r="W29" s="45">
        <v>2</v>
      </c>
      <c r="X29" s="45">
        <v>2</v>
      </c>
      <c r="Y29" s="45">
        <v>3</v>
      </c>
      <c r="Z29" s="45">
        <v>3</v>
      </c>
      <c r="AA29" s="45">
        <v>3</v>
      </c>
      <c r="AB29" s="45">
        <v>3</v>
      </c>
      <c r="AC29" s="45">
        <v>3</v>
      </c>
      <c r="AD29" s="45">
        <v>3</v>
      </c>
      <c r="AE29" s="45">
        <v>3</v>
      </c>
      <c r="AF29" s="45">
        <v>3</v>
      </c>
      <c r="AG29" s="51">
        <v>13</v>
      </c>
      <c r="AH29" s="48">
        <f t="shared" si="2"/>
        <v>7</v>
      </c>
      <c r="AI29" s="49">
        <f t="shared" si="3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6</v>
      </c>
      <c r="Z30" s="45">
        <v>6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51">
        <v>12</v>
      </c>
      <c r="AH30" s="48">
        <f t="shared" si="2"/>
        <v>6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4</v>
      </c>
      <c r="C31" s="45">
        <v>4</v>
      </c>
      <c r="D31" s="45">
        <v>4</v>
      </c>
      <c r="E31" s="45">
        <v>4</v>
      </c>
      <c r="F31" s="45">
        <v>4</v>
      </c>
      <c r="G31" s="45">
        <v>4</v>
      </c>
      <c r="H31" s="45">
        <v>4</v>
      </c>
      <c r="I31" s="45">
        <v>4</v>
      </c>
      <c r="J31" s="45">
        <v>4</v>
      </c>
      <c r="K31" s="45">
        <v>4</v>
      </c>
      <c r="L31" s="45">
        <v>4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2"/>
        <v>12</v>
      </c>
      <c r="AI31" s="49">
        <f t="shared" si="3"/>
        <v>4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2.5</v>
      </c>
      <c r="Z32" s="45">
        <v>2.5</v>
      </c>
      <c r="AA32" s="45">
        <v>2.5</v>
      </c>
      <c r="AB32" s="45">
        <v>2.5</v>
      </c>
      <c r="AC32" s="45">
        <v>2.5</v>
      </c>
      <c r="AD32" s="45">
        <v>2.5</v>
      </c>
      <c r="AE32" s="45">
        <v>2.5</v>
      </c>
      <c r="AF32" s="45">
        <v>2.5</v>
      </c>
      <c r="AG32" s="51">
        <v>12</v>
      </c>
      <c r="AH32" s="48">
        <f t="shared" si="2"/>
        <v>2.5</v>
      </c>
      <c r="AI32" s="49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8.1999999999999993</v>
      </c>
      <c r="C33" s="45">
        <v>8.1999999999999993</v>
      </c>
      <c r="D33" s="45">
        <v>8.1999999999999993</v>
      </c>
      <c r="E33" s="45">
        <v>8.1999999999999993</v>
      </c>
      <c r="F33" s="45">
        <v>8.1999999999999993</v>
      </c>
      <c r="G33" s="45">
        <v>8.1999999999999993</v>
      </c>
      <c r="H33" s="45">
        <v>8.1999999999999993</v>
      </c>
      <c r="I33" s="45">
        <v>8.1999999999999993</v>
      </c>
      <c r="J33" s="45">
        <v>8.1999999999999993</v>
      </c>
      <c r="K33" s="45">
        <v>8.1999999999999993</v>
      </c>
      <c r="L33" s="45">
        <v>8.1999999999999993</v>
      </c>
      <c r="M33" s="45">
        <v>8.1999999999999993</v>
      </c>
      <c r="N33" s="45">
        <v>8.1999999999999993</v>
      </c>
      <c r="O33" s="45">
        <v>8.1999999999999993</v>
      </c>
      <c r="P33" s="45">
        <v>8.1999999999999993</v>
      </c>
      <c r="Q33" s="45">
        <v>8.1999999999999993</v>
      </c>
      <c r="R33" s="45">
        <v>8.1999999999999993</v>
      </c>
      <c r="S33" s="45">
        <v>8.1999999999999993</v>
      </c>
      <c r="T33" s="45">
        <v>8.1999999999999993</v>
      </c>
      <c r="U33" s="45">
        <v>8.1999999999999993</v>
      </c>
      <c r="V33" s="45">
        <v>8.1999999999999993</v>
      </c>
      <c r="W33" s="45">
        <v>8.1999999999999993</v>
      </c>
      <c r="X33" s="45">
        <v>8.1999999999999993</v>
      </c>
      <c r="Y33" s="45">
        <v>12</v>
      </c>
      <c r="Z33" s="45">
        <v>12</v>
      </c>
      <c r="AA33" s="45">
        <v>12</v>
      </c>
      <c r="AB33" s="45">
        <v>12</v>
      </c>
      <c r="AC33" s="45">
        <v>12</v>
      </c>
      <c r="AD33" s="45">
        <v>12</v>
      </c>
      <c r="AE33" s="45">
        <v>12</v>
      </c>
      <c r="AF33" s="45">
        <v>12</v>
      </c>
      <c r="AG33" s="53">
        <v>22</v>
      </c>
      <c r="AH33" s="48">
        <f t="shared" si="2"/>
        <v>12</v>
      </c>
      <c r="AI33" s="49">
        <f t="shared" si="3"/>
        <v>8.1999999999999993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11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6</v>
      </c>
      <c r="J34" s="45">
        <v>6</v>
      </c>
      <c r="K34" s="45">
        <v>6</v>
      </c>
      <c r="L34" s="45">
        <v>6</v>
      </c>
      <c r="M34" s="45">
        <v>6</v>
      </c>
      <c r="N34" s="45">
        <v>6</v>
      </c>
      <c r="O34" s="45">
        <v>6</v>
      </c>
      <c r="P34" s="45">
        <v>6</v>
      </c>
      <c r="Q34" s="45">
        <v>0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5</v>
      </c>
      <c r="Y34" s="45">
        <v>3</v>
      </c>
      <c r="Z34" s="45">
        <v>3</v>
      </c>
      <c r="AA34" s="45">
        <v>3</v>
      </c>
      <c r="AB34" s="45">
        <v>3</v>
      </c>
      <c r="AC34" s="45">
        <v>3</v>
      </c>
      <c r="AD34" s="45">
        <v>3</v>
      </c>
      <c r="AE34" s="45">
        <v>3</v>
      </c>
      <c r="AF34" s="45">
        <v>3</v>
      </c>
      <c r="AG34" s="52">
        <v>11.88</v>
      </c>
      <c r="AH34" s="48">
        <f t="shared" si="2"/>
        <v>11</v>
      </c>
      <c r="AI34" s="49">
        <f t="shared" si="3"/>
        <v>0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5</v>
      </c>
      <c r="C35" s="45">
        <v>5</v>
      </c>
      <c r="D35" s="45">
        <v>5</v>
      </c>
      <c r="E35" s="45">
        <v>5</v>
      </c>
      <c r="F35" s="45">
        <v>5</v>
      </c>
      <c r="G35" s="45">
        <v>5</v>
      </c>
      <c r="H35" s="45">
        <v>5</v>
      </c>
      <c r="I35" s="45">
        <v>5</v>
      </c>
      <c r="J35" s="45">
        <v>5</v>
      </c>
      <c r="K35" s="45">
        <v>5</v>
      </c>
      <c r="L35" s="45">
        <v>5</v>
      </c>
      <c r="M35" s="45">
        <v>5</v>
      </c>
      <c r="N35" s="45">
        <v>5</v>
      </c>
      <c r="O35" s="45">
        <v>5</v>
      </c>
      <c r="P35" s="45">
        <v>5</v>
      </c>
      <c r="Q35" s="45">
        <v>5</v>
      </c>
      <c r="R35" s="45">
        <v>5</v>
      </c>
      <c r="S35" s="45">
        <v>5</v>
      </c>
      <c r="T35" s="45">
        <v>5</v>
      </c>
      <c r="U35" s="45">
        <v>5</v>
      </c>
      <c r="V35" s="45">
        <v>5</v>
      </c>
      <c r="W35" s="45">
        <v>5</v>
      </c>
      <c r="X35" s="45">
        <v>5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5">
        <v>11</v>
      </c>
      <c r="AH35" s="48">
        <f t="shared" si="2"/>
        <v>10</v>
      </c>
      <c r="AI35" s="49">
        <f t="shared" si="3"/>
        <v>5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9.3000000000000007</v>
      </c>
      <c r="C36" s="45">
        <v>9.3000000000000007</v>
      </c>
      <c r="D36" s="45">
        <v>9.3000000000000007</v>
      </c>
      <c r="E36" s="45">
        <v>9.3000000000000007</v>
      </c>
      <c r="F36" s="45">
        <v>9.3000000000000007</v>
      </c>
      <c r="G36" s="45">
        <v>9.3000000000000007</v>
      </c>
      <c r="H36" s="45">
        <v>9.3000000000000007</v>
      </c>
      <c r="I36" s="45">
        <v>9.3000000000000007</v>
      </c>
      <c r="J36" s="45">
        <v>9.3000000000000007</v>
      </c>
      <c r="K36" s="45">
        <v>9.3000000000000007</v>
      </c>
      <c r="L36" s="45">
        <v>9.3000000000000007</v>
      </c>
      <c r="M36" s="45">
        <v>9.3000000000000007</v>
      </c>
      <c r="N36" s="45">
        <v>9.3000000000000007</v>
      </c>
      <c r="O36" s="45">
        <v>5</v>
      </c>
      <c r="P36" s="45">
        <v>5</v>
      </c>
      <c r="Q36" s="45">
        <v>5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9</v>
      </c>
      <c r="X36" s="45">
        <v>9</v>
      </c>
      <c r="Y36" s="45">
        <v>9</v>
      </c>
      <c r="Z36" s="45">
        <v>9</v>
      </c>
      <c r="AA36" s="45">
        <v>9</v>
      </c>
      <c r="AB36" s="45">
        <v>9</v>
      </c>
      <c r="AC36" s="45">
        <v>9</v>
      </c>
      <c r="AD36" s="45">
        <v>9</v>
      </c>
      <c r="AE36" s="45">
        <v>9</v>
      </c>
      <c r="AF36" s="45">
        <v>9</v>
      </c>
      <c r="AG36" s="55">
        <v>10</v>
      </c>
      <c r="AH36" s="48">
        <f t="shared" si="2"/>
        <v>9.3000000000000007</v>
      </c>
      <c r="AI36" s="49">
        <f t="shared" si="3"/>
        <v>4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2</v>
      </c>
      <c r="N37" s="45">
        <v>2</v>
      </c>
      <c r="O37" s="45">
        <v>2</v>
      </c>
      <c r="P37" s="45">
        <v>2</v>
      </c>
      <c r="Q37" s="45">
        <v>2</v>
      </c>
      <c r="R37" s="45">
        <v>2</v>
      </c>
      <c r="S37" s="45">
        <v>2</v>
      </c>
      <c r="T37" s="45">
        <v>2</v>
      </c>
      <c r="U37" s="45">
        <v>2</v>
      </c>
      <c r="V37" s="45">
        <v>2</v>
      </c>
      <c r="W37" s="45">
        <v>2</v>
      </c>
      <c r="X37" s="45">
        <v>2</v>
      </c>
      <c r="Y37" s="45">
        <v>2</v>
      </c>
      <c r="Z37" s="45">
        <v>2</v>
      </c>
      <c r="AA37" s="45">
        <v>2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2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280</v>
      </c>
      <c r="C38" s="57">
        <v>280</v>
      </c>
      <c r="D38" s="57">
        <v>280</v>
      </c>
      <c r="E38" s="57">
        <v>280</v>
      </c>
      <c r="F38" s="57">
        <v>280</v>
      </c>
      <c r="G38" s="57">
        <v>280</v>
      </c>
      <c r="H38" s="57">
        <v>280</v>
      </c>
      <c r="I38" s="57">
        <v>280</v>
      </c>
      <c r="J38" s="57">
        <v>280</v>
      </c>
      <c r="K38" s="57">
        <v>280</v>
      </c>
      <c r="L38" s="57">
        <v>280</v>
      </c>
      <c r="M38" s="57">
        <v>260</v>
      </c>
      <c r="N38" s="57">
        <v>260</v>
      </c>
      <c r="O38" s="57">
        <v>260</v>
      </c>
      <c r="P38" s="57">
        <v>260</v>
      </c>
      <c r="Q38" s="57">
        <v>260</v>
      </c>
      <c r="R38" s="57">
        <v>260</v>
      </c>
      <c r="S38" s="57">
        <v>260</v>
      </c>
      <c r="T38" s="57">
        <v>260</v>
      </c>
      <c r="U38" s="57">
        <v>260</v>
      </c>
      <c r="V38" s="57">
        <v>260</v>
      </c>
      <c r="W38" s="57">
        <v>260</v>
      </c>
      <c r="X38" s="57">
        <v>260</v>
      </c>
      <c r="Y38" s="57">
        <v>300</v>
      </c>
      <c r="Z38" s="57">
        <v>300</v>
      </c>
      <c r="AA38" s="57">
        <v>300</v>
      </c>
      <c r="AB38" s="57">
        <v>300</v>
      </c>
      <c r="AC38" s="57">
        <v>300</v>
      </c>
      <c r="AD38" s="57">
        <v>300</v>
      </c>
      <c r="AE38" s="57">
        <v>300</v>
      </c>
      <c r="AF38" s="57">
        <v>300</v>
      </c>
      <c r="AG38" s="55">
        <v>85</v>
      </c>
      <c r="AH38" s="48">
        <f t="shared" si="2"/>
        <v>300</v>
      </c>
      <c r="AI38" s="49">
        <f t="shared" si="3"/>
        <v>260</v>
      </c>
      <c r="AK38" s="50"/>
    </row>
    <row r="39" spans="1:88" ht="15.75" thickBot="1" x14ac:dyDescent="0.3">
      <c r="A39" s="58" t="s">
        <v>47</v>
      </c>
      <c r="B39" s="59">
        <f>94.2+70.1</f>
        <v>164.3</v>
      </c>
      <c r="C39" s="59">
        <f>94.2+71</f>
        <v>165.2</v>
      </c>
      <c r="D39" s="59">
        <f>93.9+72</f>
        <v>165.9</v>
      </c>
      <c r="E39" s="59">
        <f>70.8+95.1</f>
        <v>165.89999999999998</v>
      </c>
      <c r="F39" s="59">
        <f>70.6+94.2</f>
        <v>164.8</v>
      </c>
      <c r="G39" s="59">
        <f>71+95.4</f>
        <v>166.4</v>
      </c>
      <c r="H39" s="59">
        <f>70.8+95.5</f>
        <v>166.3</v>
      </c>
      <c r="I39" s="59">
        <f>70.9+93.7</f>
        <v>164.60000000000002</v>
      </c>
      <c r="J39" s="59">
        <f>70.9+95.5</f>
        <v>166.4</v>
      </c>
      <c r="K39" s="59">
        <f>71.2+92.4</f>
        <v>163.60000000000002</v>
      </c>
      <c r="L39" s="57">
        <f>71.1+91.6</f>
        <v>162.69999999999999</v>
      </c>
      <c r="M39" s="57">
        <f>70.9+91.7</f>
        <v>162.60000000000002</v>
      </c>
      <c r="N39" s="57">
        <f>70.6+92.5</f>
        <v>163.1</v>
      </c>
      <c r="O39" s="57">
        <f>71.3+93.8</f>
        <v>165.1</v>
      </c>
      <c r="P39" s="57">
        <f>68.8+95.9</f>
        <v>164.7</v>
      </c>
      <c r="Q39" s="57">
        <f>95.4+69.8</f>
        <v>165.2</v>
      </c>
      <c r="R39" s="57">
        <f>83.1+68.8</f>
        <v>151.89999999999998</v>
      </c>
      <c r="S39" s="59">
        <v>149</v>
      </c>
      <c r="T39" s="59">
        <f>68.1+77.1</f>
        <v>145.19999999999999</v>
      </c>
      <c r="U39" s="59">
        <f>66.5+78.1</f>
        <v>144.6</v>
      </c>
      <c r="V39" s="59">
        <f>66.5+78.1</f>
        <v>144.6</v>
      </c>
      <c r="W39" s="59">
        <v>143.6</v>
      </c>
      <c r="X39" s="59">
        <v>152</v>
      </c>
      <c r="Y39" s="59">
        <v>152</v>
      </c>
      <c r="Z39" s="59">
        <f>71.4+89.1</f>
        <v>160.5</v>
      </c>
      <c r="AA39" s="59">
        <f>71.4+90.9</f>
        <v>162.30000000000001</v>
      </c>
      <c r="AB39" s="59">
        <v>163.9</v>
      </c>
      <c r="AC39" s="59">
        <f>92.3+71.2</f>
        <v>163.5</v>
      </c>
      <c r="AD39" s="59">
        <f>92.5+71.2</f>
        <v>163.69999999999999</v>
      </c>
      <c r="AE39" s="59">
        <f>92.5+71.2</f>
        <v>163.69999999999999</v>
      </c>
      <c r="AF39" s="59">
        <f>94.8+70.3</f>
        <v>165.1</v>
      </c>
      <c r="AG39" s="55">
        <v>240</v>
      </c>
      <c r="AH39" s="48">
        <f t="shared" si="2"/>
        <v>166.4</v>
      </c>
      <c r="AI39" s="49">
        <f t="shared" si="3"/>
        <v>143.6</v>
      </c>
      <c r="AK39" s="50"/>
    </row>
    <row r="40" spans="1:88" ht="15.75" thickBot="1" x14ac:dyDescent="0.3">
      <c r="A40" s="60" t="s">
        <v>48</v>
      </c>
      <c r="B40" s="61">
        <f t="shared" ref="B40" si="4">SUM(B11:B38)</f>
        <v>647.70000000000005</v>
      </c>
      <c r="C40" s="61">
        <f t="shared" ref="C40:AG40" si="5">SUM(C11:C38)</f>
        <v>622.20000000000005</v>
      </c>
      <c r="D40" s="61">
        <f t="shared" si="5"/>
        <v>604.20000000000005</v>
      </c>
      <c r="E40" s="61">
        <f t="shared" si="5"/>
        <v>551.20000000000005</v>
      </c>
      <c r="F40" s="61">
        <f t="shared" si="5"/>
        <v>551.20000000000005</v>
      </c>
      <c r="G40" s="61">
        <f t="shared" si="5"/>
        <v>564.79999999999995</v>
      </c>
      <c r="H40" s="61">
        <f t="shared" si="5"/>
        <v>570.79999999999995</v>
      </c>
      <c r="I40" s="61">
        <f t="shared" si="5"/>
        <v>612.79999999999995</v>
      </c>
      <c r="J40" s="61">
        <f t="shared" si="5"/>
        <v>612.79999999999995</v>
      </c>
      <c r="K40" s="61">
        <f t="shared" si="5"/>
        <v>624.59999999999991</v>
      </c>
      <c r="L40" s="61">
        <f t="shared" si="5"/>
        <v>624.59999999999991</v>
      </c>
      <c r="M40" s="61">
        <f t="shared" si="5"/>
        <v>604</v>
      </c>
      <c r="N40" s="61">
        <f t="shared" si="5"/>
        <v>584</v>
      </c>
      <c r="O40" s="61">
        <f t="shared" si="5"/>
        <v>573.1</v>
      </c>
      <c r="P40" s="61">
        <f t="shared" si="5"/>
        <v>573.1</v>
      </c>
      <c r="Q40" s="61">
        <f t="shared" si="5"/>
        <v>564.20000000000005</v>
      </c>
      <c r="R40" s="61">
        <f t="shared" si="5"/>
        <v>609.9</v>
      </c>
      <c r="S40" s="61">
        <f>SUM(S11:S38)</f>
        <v>599.20000000000005</v>
      </c>
      <c r="T40" s="61">
        <f t="shared" si="5"/>
        <v>598.79999999999995</v>
      </c>
      <c r="U40" s="61">
        <f t="shared" si="5"/>
        <v>598.79999999999995</v>
      </c>
      <c r="V40" s="61">
        <f t="shared" si="5"/>
        <v>598.79999999999995</v>
      </c>
      <c r="W40" s="61">
        <f t="shared" si="5"/>
        <v>603.6</v>
      </c>
      <c r="X40" s="61">
        <f t="shared" si="5"/>
        <v>661.4</v>
      </c>
      <c r="Y40" s="61">
        <f t="shared" si="5"/>
        <v>764</v>
      </c>
      <c r="Z40" s="61">
        <f t="shared" si="5"/>
        <v>764</v>
      </c>
      <c r="AA40" s="61">
        <f t="shared" si="5"/>
        <v>728</v>
      </c>
      <c r="AB40" s="61">
        <f t="shared" si="5"/>
        <v>725.90000000000009</v>
      </c>
      <c r="AC40" s="61">
        <f t="shared" si="5"/>
        <v>711.5</v>
      </c>
      <c r="AD40" s="61">
        <f t="shared" si="5"/>
        <v>706.40000000000009</v>
      </c>
      <c r="AE40" s="61">
        <f t="shared" si="5"/>
        <v>706.40000000000009</v>
      </c>
      <c r="AF40" s="61">
        <f t="shared" si="5"/>
        <v>701.40000000000009</v>
      </c>
      <c r="AG40" s="62">
        <f t="shared" si="5"/>
        <v>707.78000000000009</v>
      </c>
      <c r="AH40" s="48">
        <f t="shared" si="2"/>
        <v>764</v>
      </c>
      <c r="AI40" s="49">
        <f t="shared" si="3"/>
        <v>551.20000000000005</v>
      </c>
      <c r="AK40" s="50"/>
    </row>
    <row r="41" spans="1:88" x14ac:dyDescent="0.25">
      <c r="A41" s="63" t="s">
        <v>49</v>
      </c>
      <c r="B41" s="45">
        <v>245</v>
      </c>
      <c r="C41" s="45">
        <v>230</v>
      </c>
      <c r="D41" s="45">
        <v>230</v>
      </c>
      <c r="E41" s="45">
        <v>230</v>
      </c>
      <c r="F41" s="45">
        <v>220</v>
      </c>
      <c r="G41" s="45">
        <v>220</v>
      </c>
      <c r="H41" s="45">
        <v>220</v>
      </c>
      <c r="I41" s="45">
        <v>220</v>
      </c>
      <c r="J41" s="45">
        <v>200</v>
      </c>
      <c r="K41" s="45">
        <v>200</v>
      </c>
      <c r="L41" s="45">
        <v>200</v>
      </c>
      <c r="M41" s="45">
        <v>200</v>
      </c>
      <c r="N41" s="45">
        <v>220</v>
      </c>
      <c r="O41" s="45">
        <v>220</v>
      </c>
      <c r="P41" s="45">
        <v>200</v>
      </c>
      <c r="Q41" s="45">
        <v>200</v>
      </c>
      <c r="R41" s="45">
        <v>200</v>
      </c>
      <c r="S41" s="45">
        <v>200</v>
      </c>
      <c r="T41" s="45">
        <v>200</v>
      </c>
      <c r="U41" s="45">
        <v>200</v>
      </c>
      <c r="V41" s="45">
        <v>200</v>
      </c>
      <c r="W41" s="45">
        <v>265</v>
      </c>
      <c r="X41" s="45">
        <v>350</v>
      </c>
      <c r="Y41" s="45">
        <v>400</v>
      </c>
      <c r="Z41" s="45">
        <v>400</v>
      </c>
      <c r="AA41" s="45">
        <v>400</v>
      </c>
      <c r="AB41" s="45">
        <v>400</v>
      </c>
      <c r="AC41" s="45">
        <v>370</v>
      </c>
      <c r="AD41" s="45">
        <v>370</v>
      </c>
      <c r="AE41" s="45">
        <v>270</v>
      </c>
      <c r="AF41" s="45">
        <v>250</v>
      </c>
      <c r="AG41" s="52">
        <v>456</v>
      </c>
      <c r="AH41" s="48">
        <f t="shared" si="2"/>
        <v>400</v>
      </c>
      <c r="AI41" s="49">
        <f t="shared" si="3"/>
        <v>200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15</v>
      </c>
      <c r="C43" s="67">
        <v>15</v>
      </c>
      <c r="D43" s="67">
        <v>15</v>
      </c>
      <c r="E43" s="67">
        <v>15</v>
      </c>
      <c r="F43" s="67">
        <v>15</v>
      </c>
      <c r="G43" s="67">
        <v>15</v>
      </c>
      <c r="H43" s="67">
        <v>15</v>
      </c>
      <c r="I43" s="67">
        <v>15</v>
      </c>
      <c r="J43" s="67">
        <v>15</v>
      </c>
      <c r="K43" s="67">
        <v>22</v>
      </c>
      <c r="L43" s="67">
        <v>22</v>
      </c>
      <c r="M43" s="67">
        <v>22</v>
      </c>
      <c r="N43" s="67">
        <v>22</v>
      </c>
      <c r="O43" s="67">
        <v>22</v>
      </c>
      <c r="P43" s="67">
        <v>15.5</v>
      </c>
      <c r="Q43" s="67">
        <v>15.5</v>
      </c>
      <c r="R43" s="67">
        <v>15.5</v>
      </c>
      <c r="S43" s="67">
        <v>15.4</v>
      </c>
      <c r="T43" s="67">
        <v>15.5</v>
      </c>
      <c r="U43" s="67">
        <v>15.5</v>
      </c>
      <c r="V43" s="67">
        <v>15.5</v>
      </c>
      <c r="W43" s="67">
        <v>22.4</v>
      </c>
      <c r="X43" s="67">
        <v>22.4</v>
      </c>
      <c r="Y43" s="67">
        <v>22.4</v>
      </c>
      <c r="Z43" s="67">
        <v>22.4</v>
      </c>
      <c r="AA43" s="67">
        <v>22.4</v>
      </c>
      <c r="AB43" s="67">
        <v>22</v>
      </c>
      <c r="AC43" s="67">
        <v>22</v>
      </c>
      <c r="AD43" s="67">
        <v>22</v>
      </c>
      <c r="AE43" s="67">
        <v>22</v>
      </c>
      <c r="AF43" s="67">
        <v>22</v>
      </c>
      <c r="AG43" s="68">
        <v>22.1</v>
      </c>
      <c r="AH43" s="48">
        <f t="shared" si="2"/>
        <v>22.4</v>
      </c>
      <c r="AI43" s="49">
        <f t="shared" si="3"/>
        <v>15</v>
      </c>
      <c r="AK43" s="50"/>
    </row>
    <row r="44" spans="1:88" ht="15.75" thickBot="1" x14ac:dyDescent="0.3">
      <c r="A44" s="69" t="s">
        <v>52</v>
      </c>
      <c r="B44" s="61">
        <f t="shared" ref="B44" si="6">SUM(B41:B43)</f>
        <v>320</v>
      </c>
      <c r="C44" s="61">
        <f t="shared" ref="C44:AG44" si="7">SUM(C41:C43)</f>
        <v>305</v>
      </c>
      <c r="D44" s="61">
        <f t="shared" si="7"/>
        <v>305</v>
      </c>
      <c r="E44" s="61">
        <f t="shared" si="7"/>
        <v>305</v>
      </c>
      <c r="F44" s="61">
        <f t="shared" si="7"/>
        <v>295</v>
      </c>
      <c r="G44" s="61">
        <f t="shared" si="7"/>
        <v>295</v>
      </c>
      <c r="H44" s="61">
        <f t="shared" si="7"/>
        <v>295</v>
      </c>
      <c r="I44" s="61">
        <f t="shared" si="7"/>
        <v>295</v>
      </c>
      <c r="J44" s="61">
        <f t="shared" si="7"/>
        <v>275</v>
      </c>
      <c r="K44" s="61">
        <f t="shared" si="7"/>
        <v>282</v>
      </c>
      <c r="L44" s="61">
        <f t="shared" si="7"/>
        <v>282</v>
      </c>
      <c r="M44" s="61">
        <f t="shared" si="7"/>
        <v>282</v>
      </c>
      <c r="N44" s="61">
        <f t="shared" si="7"/>
        <v>302</v>
      </c>
      <c r="O44" s="61">
        <f t="shared" si="7"/>
        <v>302</v>
      </c>
      <c r="P44" s="61">
        <f t="shared" si="7"/>
        <v>275.5</v>
      </c>
      <c r="Q44" s="61">
        <f t="shared" si="7"/>
        <v>275.5</v>
      </c>
      <c r="R44" s="61">
        <f t="shared" si="7"/>
        <v>275.5</v>
      </c>
      <c r="S44" s="61">
        <f t="shared" si="7"/>
        <v>275.39999999999998</v>
      </c>
      <c r="T44" s="61">
        <f t="shared" si="7"/>
        <v>275.5</v>
      </c>
      <c r="U44" s="61">
        <f t="shared" si="7"/>
        <v>275.5</v>
      </c>
      <c r="V44" s="61">
        <f t="shared" si="7"/>
        <v>275.5</v>
      </c>
      <c r="W44" s="61">
        <f t="shared" si="7"/>
        <v>347.4</v>
      </c>
      <c r="X44" s="61">
        <f t="shared" si="7"/>
        <v>432.4</v>
      </c>
      <c r="Y44" s="61">
        <f t="shared" si="7"/>
        <v>482.4</v>
      </c>
      <c r="Z44" s="61">
        <f t="shared" si="7"/>
        <v>482.4</v>
      </c>
      <c r="AA44" s="61">
        <f t="shared" si="7"/>
        <v>482.4</v>
      </c>
      <c r="AB44" s="61">
        <f t="shared" si="7"/>
        <v>482</v>
      </c>
      <c r="AC44" s="61">
        <f t="shared" si="7"/>
        <v>452</v>
      </c>
      <c r="AD44" s="61">
        <f t="shared" si="7"/>
        <v>452</v>
      </c>
      <c r="AE44" s="61">
        <f t="shared" si="7"/>
        <v>352</v>
      </c>
      <c r="AF44" s="61">
        <f t="shared" si="7"/>
        <v>332</v>
      </c>
      <c r="AG44" s="62">
        <f t="shared" si="7"/>
        <v>538.1</v>
      </c>
      <c r="AH44" s="48">
        <f t="shared" si="2"/>
        <v>482.4</v>
      </c>
      <c r="AI44" s="49">
        <f t="shared" si="3"/>
        <v>275</v>
      </c>
      <c r="AK44" s="50"/>
    </row>
    <row r="45" spans="1:88" x14ac:dyDescent="0.25">
      <c r="A45" s="44" t="s">
        <v>53</v>
      </c>
      <c r="B45" s="45">
        <v>73</v>
      </c>
      <c r="C45" s="45">
        <v>73</v>
      </c>
      <c r="D45" s="45">
        <v>73</v>
      </c>
      <c r="E45" s="45">
        <v>94</v>
      </c>
      <c r="F45" s="45">
        <v>132</v>
      </c>
      <c r="G45" s="45">
        <v>121.3</v>
      </c>
      <c r="H45" s="45">
        <v>140</v>
      </c>
      <c r="I45" s="45">
        <v>130.80000000000001</v>
      </c>
      <c r="J45" s="45">
        <v>131.30000000000001</v>
      </c>
      <c r="K45" s="45">
        <v>131.5</v>
      </c>
      <c r="L45" s="45">
        <v>140.5</v>
      </c>
      <c r="M45" s="45">
        <v>140.5</v>
      </c>
      <c r="N45" s="45">
        <v>140.5</v>
      </c>
      <c r="O45" s="45">
        <v>140.5</v>
      </c>
      <c r="P45" s="45">
        <v>121.2</v>
      </c>
      <c r="Q45" s="45">
        <v>121.3</v>
      </c>
      <c r="R45" s="45">
        <v>109.2</v>
      </c>
      <c r="S45" s="45">
        <v>106.3</v>
      </c>
      <c r="T45" s="45">
        <v>106.1</v>
      </c>
      <c r="U45" s="45">
        <v>111.4</v>
      </c>
      <c r="V45" s="45">
        <v>144</v>
      </c>
      <c r="W45" s="45">
        <v>144</v>
      </c>
      <c r="X45" s="45">
        <v>144</v>
      </c>
      <c r="Y45" s="45">
        <v>145</v>
      </c>
      <c r="Z45" s="45">
        <v>145.1</v>
      </c>
      <c r="AA45" s="45">
        <v>144</v>
      </c>
      <c r="AB45" s="45">
        <v>145.80000000000001</v>
      </c>
      <c r="AC45" s="45">
        <v>145.80000000000001</v>
      </c>
      <c r="AD45" s="45">
        <v>131.30000000000001</v>
      </c>
      <c r="AE45" s="45">
        <v>104</v>
      </c>
      <c r="AF45" s="45">
        <v>92.1</v>
      </c>
      <c r="AG45" s="52">
        <v>144</v>
      </c>
      <c r="AH45" s="48">
        <f t="shared" si="2"/>
        <v>145.80000000000001</v>
      </c>
      <c r="AI45" s="49">
        <f t="shared" si="3"/>
        <v>73</v>
      </c>
      <c r="AK45" s="50"/>
    </row>
    <row r="46" spans="1:88" x14ac:dyDescent="0.25">
      <c r="A46" s="54" t="s">
        <v>54</v>
      </c>
      <c r="B46" s="65">
        <v>70.2</v>
      </c>
      <c r="C46" s="65">
        <v>72.400000000000006</v>
      </c>
      <c r="D46" s="65">
        <v>71</v>
      </c>
      <c r="E46" s="65">
        <v>71.7</v>
      </c>
      <c r="F46" s="65">
        <v>60.2</v>
      </c>
      <c r="G46" s="65">
        <v>60.3</v>
      </c>
      <c r="H46" s="65">
        <v>70.5</v>
      </c>
      <c r="I46" s="65">
        <v>70.2</v>
      </c>
      <c r="J46" s="65">
        <v>71.5</v>
      </c>
      <c r="K46" s="65">
        <v>72.3</v>
      </c>
      <c r="L46" s="65">
        <v>71.5</v>
      </c>
      <c r="M46" s="65">
        <v>71.5</v>
      </c>
      <c r="N46" s="65">
        <v>71.5</v>
      </c>
      <c r="O46" s="65">
        <v>71.5</v>
      </c>
      <c r="P46" s="65">
        <v>61.3</v>
      </c>
      <c r="Q46" s="45">
        <v>60.8</v>
      </c>
      <c r="R46" s="45">
        <v>52.4</v>
      </c>
      <c r="S46" s="65">
        <v>52.3</v>
      </c>
      <c r="T46" s="65">
        <v>53.2</v>
      </c>
      <c r="U46" s="65">
        <v>56.3</v>
      </c>
      <c r="V46" s="65">
        <v>72.599999999999994</v>
      </c>
      <c r="W46" s="65">
        <v>72.599999999999994</v>
      </c>
      <c r="X46" s="65">
        <v>72.599999999999994</v>
      </c>
      <c r="Y46" s="65">
        <v>72.599999999999994</v>
      </c>
      <c r="Z46" s="65">
        <v>72.2</v>
      </c>
      <c r="AA46" s="65">
        <v>72.900000000000006</v>
      </c>
      <c r="AB46" s="65">
        <v>72.5</v>
      </c>
      <c r="AC46" s="65">
        <v>72.5</v>
      </c>
      <c r="AD46" s="65">
        <v>59.4</v>
      </c>
      <c r="AE46" s="65">
        <v>50</v>
      </c>
      <c r="AF46" s="65">
        <v>50</v>
      </c>
      <c r="AG46" s="55">
        <v>70</v>
      </c>
      <c r="AH46" s="48">
        <f t="shared" si="2"/>
        <v>72.900000000000006</v>
      </c>
      <c r="AI46" s="49">
        <f t="shared" si="3"/>
        <v>50</v>
      </c>
      <c r="AK46" s="50"/>
    </row>
    <row r="47" spans="1:88" x14ac:dyDescent="0.25">
      <c r="A47" s="54" t="s">
        <v>55</v>
      </c>
      <c r="B47" s="65">
        <v>69.400000000000006</v>
      </c>
      <c r="C47" s="65">
        <v>69.400000000000006</v>
      </c>
      <c r="D47" s="65">
        <v>60</v>
      </c>
      <c r="E47" s="65">
        <v>68.5</v>
      </c>
      <c r="F47" s="65">
        <v>68.400000000000006</v>
      </c>
      <c r="G47" s="65">
        <v>69</v>
      </c>
      <c r="H47" s="65">
        <v>69.400000000000006</v>
      </c>
      <c r="I47" s="65">
        <v>62.2</v>
      </c>
      <c r="J47" s="65">
        <v>62</v>
      </c>
      <c r="K47" s="65">
        <v>68</v>
      </c>
      <c r="L47" s="65">
        <v>68.5</v>
      </c>
      <c r="M47" s="65">
        <v>62.8</v>
      </c>
      <c r="N47" s="65">
        <v>62.8</v>
      </c>
      <c r="O47" s="65">
        <v>62.8</v>
      </c>
      <c r="P47" s="65">
        <v>69.3</v>
      </c>
      <c r="Q47" s="45">
        <v>70</v>
      </c>
      <c r="R47" s="45">
        <v>52.6</v>
      </c>
      <c r="S47" s="65">
        <v>25.8</v>
      </c>
      <c r="T47" s="65">
        <v>62.2</v>
      </c>
      <c r="U47" s="65">
        <v>61.7</v>
      </c>
      <c r="V47" s="65">
        <v>69</v>
      </c>
      <c r="W47" s="65">
        <v>69</v>
      </c>
      <c r="X47" s="65">
        <v>69</v>
      </c>
      <c r="Y47" s="65">
        <v>69</v>
      </c>
      <c r="Z47" s="65">
        <v>70.099999999999994</v>
      </c>
      <c r="AA47" s="65">
        <v>69.900000000000006</v>
      </c>
      <c r="AB47" s="65">
        <v>70.5</v>
      </c>
      <c r="AC47" s="65">
        <v>70.5</v>
      </c>
      <c r="AD47" s="65">
        <v>54.8</v>
      </c>
      <c r="AE47" s="65">
        <v>51</v>
      </c>
      <c r="AF47" s="65">
        <v>51</v>
      </c>
      <c r="AG47" s="55">
        <v>69</v>
      </c>
      <c r="AH47" s="48">
        <f t="shared" si="2"/>
        <v>70.5</v>
      </c>
      <c r="AI47" s="49">
        <f t="shared" si="3"/>
        <v>25.8</v>
      </c>
      <c r="AK47" s="50"/>
    </row>
    <row r="48" spans="1:88" x14ac:dyDescent="0.25">
      <c r="A48" s="54" t="s">
        <v>56</v>
      </c>
      <c r="B48" s="57">
        <v>55</v>
      </c>
      <c r="C48" s="57">
        <v>61.2</v>
      </c>
      <c r="D48" s="57">
        <v>61.2</v>
      </c>
      <c r="E48" s="57">
        <v>61.2</v>
      </c>
      <c r="F48" s="57">
        <v>60.9</v>
      </c>
      <c r="G48" s="57">
        <v>60.9</v>
      </c>
      <c r="H48" s="57">
        <v>61.4</v>
      </c>
      <c r="I48" s="57">
        <v>49.9</v>
      </c>
      <c r="J48" s="57">
        <v>50.1</v>
      </c>
      <c r="K48" s="57">
        <v>50.1</v>
      </c>
      <c r="L48" s="57">
        <v>40.299999999999997</v>
      </c>
      <c r="M48" s="45">
        <v>60</v>
      </c>
      <c r="N48" s="45">
        <v>60</v>
      </c>
      <c r="O48" s="45">
        <v>60</v>
      </c>
      <c r="P48" s="45">
        <v>60</v>
      </c>
      <c r="Q48" s="45">
        <v>54</v>
      </c>
      <c r="R48" s="45">
        <v>40</v>
      </c>
      <c r="S48" s="45">
        <v>40</v>
      </c>
      <c r="T48" s="45">
        <v>39.299999999999997</v>
      </c>
      <c r="U48" s="45">
        <v>39.299999999999997</v>
      </c>
      <c r="V48" s="65">
        <v>60.7</v>
      </c>
      <c r="W48" s="65">
        <v>60.7</v>
      </c>
      <c r="X48" s="65">
        <v>60.7</v>
      </c>
      <c r="Y48" s="65">
        <v>60.7</v>
      </c>
      <c r="Z48" s="65">
        <v>61.2</v>
      </c>
      <c r="AA48" s="65">
        <v>61.2</v>
      </c>
      <c r="AB48" s="57">
        <v>61.2</v>
      </c>
      <c r="AC48" s="57">
        <v>61.2</v>
      </c>
      <c r="AD48" s="57">
        <v>61.2</v>
      </c>
      <c r="AE48" s="57">
        <v>42</v>
      </c>
      <c r="AF48" s="57">
        <v>42</v>
      </c>
      <c r="AG48" s="55">
        <v>60</v>
      </c>
      <c r="AH48" s="48">
        <f t="shared" si="2"/>
        <v>61.4</v>
      </c>
      <c r="AI48" s="49">
        <f t="shared" si="3"/>
        <v>39.299999999999997</v>
      </c>
      <c r="AK48" s="50"/>
    </row>
    <row r="49" spans="1:41" x14ac:dyDescent="0.25">
      <c r="A49" s="54" t="s">
        <v>57</v>
      </c>
      <c r="B49" s="57">
        <v>26.5</v>
      </c>
      <c r="C49" s="57">
        <v>29.9</v>
      </c>
      <c r="D49" s="57">
        <v>29.9</v>
      </c>
      <c r="E49" s="57">
        <v>29.9</v>
      </c>
      <c r="F49" s="57">
        <v>29.9</v>
      </c>
      <c r="G49" s="57">
        <v>29.9</v>
      </c>
      <c r="H49" s="57">
        <v>29.9</v>
      </c>
      <c r="I49" s="57">
        <v>29.9</v>
      </c>
      <c r="J49" s="57">
        <v>29.7</v>
      </c>
      <c r="K49" s="57">
        <v>26</v>
      </c>
      <c r="L49" s="57">
        <v>26.7</v>
      </c>
      <c r="M49" s="45">
        <v>29.8</v>
      </c>
      <c r="N49" s="45">
        <v>29.8</v>
      </c>
      <c r="O49" s="45">
        <v>27</v>
      </c>
      <c r="P49" s="45">
        <v>26.6</v>
      </c>
      <c r="Q49" s="45">
        <v>26.6</v>
      </c>
      <c r="R49" s="45">
        <v>26.6</v>
      </c>
      <c r="S49" s="45">
        <v>26.7</v>
      </c>
      <c r="T49" s="45">
        <v>26.7</v>
      </c>
      <c r="U49" s="45">
        <v>26.8</v>
      </c>
      <c r="V49" s="65">
        <v>30</v>
      </c>
      <c r="W49" s="65">
        <v>30</v>
      </c>
      <c r="X49" s="65">
        <v>30</v>
      </c>
      <c r="Y49" s="65">
        <v>30</v>
      </c>
      <c r="Z49" s="65">
        <v>30</v>
      </c>
      <c r="AA49" s="65">
        <v>30</v>
      </c>
      <c r="AB49" s="57">
        <v>30</v>
      </c>
      <c r="AC49" s="57">
        <v>30</v>
      </c>
      <c r="AD49" s="57">
        <v>30</v>
      </c>
      <c r="AE49" s="57">
        <v>30</v>
      </c>
      <c r="AF49" s="57">
        <v>26</v>
      </c>
      <c r="AG49" s="55">
        <v>30</v>
      </c>
      <c r="AH49" s="48">
        <f t="shared" si="2"/>
        <v>30</v>
      </c>
      <c r="AI49" s="49">
        <f t="shared" si="3"/>
        <v>26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6</v>
      </c>
      <c r="N50" s="65">
        <v>10</v>
      </c>
      <c r="O50" s="65">
        <v>12</v>
      </c>
      <c r="P50" s="65">
        <v>12</v>
      </c>
      <c r="Q50" s="65">
        <v>12</v>
      </c>
      <c r="R50" s="65">
        <v>12</v>
      </c>
      <c r="S50" s="45">
        <v>12</v>
      </c>
      <c r="T50" s="45">
        <v>10</v>
      </c>
      <c r="U50" s="45">
        <v>10</v>
      </c>
      <c r="V50" s="45">
        <v>0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  <c r="AG50" s="55">
        <v>25</v>
      </c>
      <c r="AH50" s="48">
        <f t="shared" si="2"/>
        <v>12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13.7</v>
      </c>
      <c r="C51" s="65">
        <v>13.7</v>
      </c>
      <c r="D51" s="65">
        <v>13.7</v>
      </c>
      <c r="E51" s="65">
        <v>13.7</v>
      </c>
      <c r="F51" s="65">
        <v>13.7</v>
      </c>
      <c r="G51" s="65">
        <v>13.7</v>
      </c>
      <c r="H51" s="65">
        <v>13.7</v>
      </c>
      <c r="I51" s="65">
        <v>13.7</v>
      </c>
      <c r="J51" s="65">
        <v>13.7</v>
      </c>
      <c r="K51" s="65">
        <v>13.7</v>
      </c>
      <c r="L51" s="65">
        <v>13.7</v>
      </c>
      <c r="M51" s="65">
        <v>16.5</v>
      </c>
      <c r="N51" s="65">
        <v>16.5</v>
      </c>
      <c r="O51" s="65">
        <v>16.5</v>
      </c>
      <c r="P51" s="65">
        <v>14.7</v>
      </c>
      <c r="Q51" s="65">
        <v>14.7</v>
      </c>
      <c r="R51" s="65">
        <v>14.7</v>
      </c>
      <c r="S51" s="45">
        <v>14.99</v>
      </c>
      <c r="T51" s="45">
        <v>14.9</v>
      </c>
      <c r="U51" s="45">
        <v>14.9</v>
      </c>
      <c r="V51" s="45">
        <v>15.4</v>
      </c>
      <c r="W51" s="45">
        <v>15.4</v>
      </c>
      <c r="X51" s="45">
        <v>15.4</v>
      </c>
      <c r="Y51" s="45">
        <v>15.4</v>
      </c>
      <c r="Z51" s="45">
        <v>15.4</v>
      </c>
      <c r="AA51" s="45">
        <v>15.4</v>
      </c>
      <c r="AB51" s="45">
        <v>15.4</v>
      </c>
      <c r="AC51" s="45">
        <v>15.4</v>
      </c>
      <c r="AD51" s="45">
        <v>15.4</v>
      </c>
      <c r="AE51" s="45">
        <v>15.4</v>
      </c>
      <c r="AF51" s="45">
        <v>15.4</v>
      </c>
      <c r="AG51" s="55">
        <v>24</v>
      </c>
      <c r="AH51" s="48">
        <f t="shared" si="2"/>
        <v>16.5</v>
      </c>
      <c r="AI51" s="49">
        <f t="shared" si="3"/>
        <v>13.7</v>
      </c>
      <c r="AK51" s="50"/>
    </row>
    <row r="52" spans="1:41" x14ac:dyDescent="0.25">
      <c r="A52" s="54" t="s">
        <v>60</v>
      </c>
      <c r="B52" s="65">
        <v>2</v>
      </c>
      <c r="C52" s="65">
        <v>2</v>
      </c>
      <c r="D52" s="65">
        <v>2</v>
      </c>
      <c r="E52" s="65">
        <v>2</v>
      </c>
      <c r="F52" s="65">
        <v>2</v>
      </c>
      <c r="G52" s="65">
        <v>2</v>
      </c>
      <c r="H52" s="65">
        <v>2</v>
      </c>
      <c r="I52" s="65">
        <v>2</v>
      </c>
      <c r="J52" s="65">
        <v>2</v>
      </c>
      <c r="K52" s="65">
        <v>2</v>
      </c>
      <c r="L52" s="65">
        <v>2</v>
      </c>
      <c r="M52" s="65">
        <v>3</v>
      </c>
      <c r="N52" s="65">
        <v>3</v>
      </c>
      <c r="O52" s="65">
        <v>3</v>
      </c>
      <c r="P52" s="65">
        <v>3</v>
      </c>
      <c r="Q52" s="65">
        <v>3</v>
      </c>
      <c r="R52" s="65">
        <v>3</v>
      </c>
      <c r="S52" s="65">
        <v>3</v>
      </c>
      <c r="T52" s="45">
        <v>3</v>
      </c>
      <c r="U52" s="45">
        <v>3</v>
      </c>
      <c r="V52" s="65">
        <v>3</v>
      </c>
      <c r="W52" s="65">
        <v>3</v>
      </c>
      <c r="X52" s="65">
        <v>3</v>
      </c>
      <c r="Y52" s="65">
        <v>3</v>
      </c>
      <c r="Z52" s="65">
        <v>3</v>
      </c>
      <c r="AA52" s="65">
        <v>3</v>
      </c>
      <c r="AB52" s="65">
        <v>3</v>
      </c>
      <c r="AC52" s="65">
        <v>3</v>
      </c>
      <c r="AD52" s="65">
        <v>3</v>
      </c>
      <c r="AE52" s="65">
        <v>3</v>
      </c>
      <c r="AF52" s="65">
        <v>3</v>
      </c>
      <c r="AG52" s="55">
        <v>15</v>
      </c>
      <c r="AH52" s="48">
        <f t="shared" si="2"/>
        <v>3</v>
      </c>
      <c r="AI52" s="49">
        <f t="shared" si="3"/>
        <v>2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10.3</v>
      </c>
      <c r="C53" s="65">
        <v>10.3</v>
      </c>
      <c r="D53" s="65">
        <v>10.3</v>
      </c>
      <c r="E53" s="65">
        <v>10.3</v>
      </c>
      <c r="F53" s="65">
        <v>10.3</v>
      </c>
      <c r="G53" s="65">
        <v>10.3</v>
      </c>
      <c r="H53" s="65">
        <v>10.3</v>
      </c>
      <c r="I53" s="65">
        <v>10.3</v>
      </c>
      <c r="J53" s="65">
        <v>10.3</v>
      </c>
      <c r="K53" s="65">
        <v>10.3</v>
      </c>
      <c r="L53" s="65">
        <v>10.3</v>
      </c>
      <c r="M53" s="65">
        <v>10.1</v>
      </c>
      <c r="N53" s="65">
        <v>10.1</v>
      </c>
      <c r="O53" s="65">
        <v>10.1</v>
      </c>
      <c r="P53" s="65">
        <v>10.1</v>
      </c>
      <c r="Q53" s="65">
        <v>10.9</v>
      </c>
      <c r="R53" s="65">
        <v>10.9</v>
      </c>
      <c r="S53" s="65">
        <v>11.3</v>
      </c>
      <c r="T53" s="45">
        <v>11</v>
      </c>
      <c r="U53" s="45">
        <v>11</v>
      </c>
      <c r="V53" s="65">
        <v>11</v>
      </c>
      <c r="W53" s="65">
        <v>11</v>
      </c>
      <c r="X53" s="65">
        <v>11</v>
      </c>
      <c r="Y53" s="65">
        <v>11</v>
      </c>
      <c r="Z53" s="65">
        <v>11</v>
      </c>
      <c r="AA53" s="65">
        <v>11</v>
      </c>
      <c r="AB53" s="65">
        <v>11</v>
      </c>
      <c r="AC53" s="65">
        <v>11</v>
      </c>
      <c r="AD53" s="65">
        <v>11</v>
      </c>
      <c r="AE53" s="65">
        <v>11</v>
      </c>
      <c r="AF53" s="65">
        <v>11</v>
      </c>
      <c r="AG53" s="55">
        <v>14.1</v>
      </c>
      <c r="AH53" s="48">
        <f t="shared" si="2"/>
        <v>11.3</v>
      </c>
      <c r="AI53" s="49">
        <f t="shared" si="3"/>
        <v>10.1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12</v>
      </c>
      <c r="C54" s="65">
        <v>12.2</v>
      </c>
      <c r="D54" s="65">
        <v>12.2</v>
      </c>
      <c r="E54" s="65">
        <v>12.2</v>
      </c>
      <c r="F54" s="65">
        <v>12.2</v>
      </c>
      <c r="G54" s="65">
        <v>12.2</v>
      </c>
      <c r="H54" s="65">
        <v>12.2</v>
      </c>
      <c r="I54" s="65">
        <v>12.2</v>
      </c>
      <c r="J54" s="65">
        <v>12.2</v>
      </c>
      <c r="K54" s="65">
        <v>12.2</v>
      </c>
      <c r="L54" s="65">
        <v>12.2</v>
      </c>
      <c r="M54" s="65">
        <v>14.4</v>
      </c>
      <c r="N54" s="65">
        <v>14.4</v>
      </c>
      <c r="O54" s="65">
        <v>14.4</v>
      </c>
      <c r="P54" s="65">
        <v>14.4</v>
      </c>
      <c r="Q54" s="65">
        <v>9.6999999999999993</v>
      </c>
      <c r="R54" s="65">
        <v>9.6999999999999993</v>
      </c>
      <c r="S54" s="65">
        <v>10</v>
      </c>
      <c r="T54" s="45">
        <v>9.9</v>
      </c>
      <c r="U54" s="45">
        <v>9.9</v>
      </c>
      <c r="V54" s="65">
        <v>9.9</v>
      </c>
      <c r="W54" s="65">
        <v>9.9</v>
      </c>
      <c r="X54" s="65">
        <v>9.9</v>
      </c>
      <c r="Y54" s="65">
        <v>9.9</v>
      </c>
      <c r="Z54" s="65">
        <v>9.9</v>
      </c>
      <c r="AA54" s="65">
        <v>9.9</v>
      </c>
      <c r="AB54" s="65">
        <v>9.9</v>
      </c>
      <c r="AC54" s="65">
        <v>9.9</v>
      </c>
      <c r="AD54" s="65">
        <v>9.9</v>
      </c>
      <c r="AE54" s="65">
        <v>9.9</v>
      </c>
      <c r="AF54" s="65">
        <v>9.9</v>
      </c>
      <c r="AG54" s="55">
        <v>14</v>
      </c>
      <c r="AH54" s="48">
        <f t="shared" si="2"/>
        <v>14.4</v>
      </c>
      <c r="AI54" s="49">
        <f t="shared" si="3"/>
        <v>9.6999999999999993</v>
      </c>
      <c r="AK54" s="50"/>
    </row>
    <row r="55" spans="1:41" x14ac:dyDescent="0.25">
      <c r="A55" s="54" t="s">
        <v>63</v>
      </c>
      <c r="B55" s="65">
        <v>9</v>
      </c>
      <c r="C55" s="65">
        <v>9</v>
      </c>
      <c r="D55" s="65">
        <v>9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9</v>
      </c>
      <c r="S55" s="65">
        <v>9</v>
      </c>
      <c r="T55" s="45">
        <v>9</v>
      </c>
      <c r="U55" s="45">
        <v>9</v>
      </c>
      <c r="V55" s="65">
        <v>9</v>
      </c>
      <c r="W55" s="65">
        <v>9</v>
      </c>
      <c r="X55" s="65">
        <v>9</v>
      </c>
      <c r="Y55" s="65">
        <v>9</v>
      </c>
      <c r="Z55" s="65">
        <v>9</v>
      </c>
      <c r="AA55" s="65">
        <v>9</v>
      </c>
      <c r="AB55" s="65">
        <v>9</v>
      </c>
      <c r="AC55" s="65">
        <v>9</v>
      </c>
      <c r="AD55" s="65">
        <v>9</v>
      </c>
      <c r="AE55" s="65">
        <v>9</v>
      </c>
      <c r="AF55" s="65">
        <v>9</v>
      </c>
      <c r="AG55" s="55">
        <v>10.050000000000001</v>
      </c>
      <c r="AH55" s="48">
        <f t="shared" si="2"/>
        <v>9</v>
      </c>
      <c r="AI55" s="49">
        <f t="shared" si="3"/>
        <v>9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45">
        <v>6.2</v>
      </c>
      <c r="U56" s="4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" si="8">SUM(B45:B57)</f>
        <v>350.84000000000003</v>
      </c>
      <c r="C58" s="61">
        <f t="shared" ref="C58:AG58" si="9">SUM(C45:C57)</f>
        <v>362.84</v>
      </c>
      <c r="D58" s="61">
        <f t="shared" si="9"/>
        <v>352.03999999999996</v>
      </c>
      <c r="E58" s="61">
        <f t="shared" si="9"/>
        <v>382.23999999999995</v>
      </c>
      <c r="F58" s="61">
        <f t="shared" si="9"/>
        <v>408.34</v>
      </c>
      <c r="G58" s="61">
        <f t="shared" si="9"/>
        <v>398.34</v>
      </c>
      <c r="H58" s="61">
        <f t="shared" si="9"/>
        <v>428.13999999999993</v>
      </c>
      <c r="I58" s="61">
        <f t="shared" si="9"/>
        <v>399.93999999999994</v>
      </c>
      <c r="J58" s="61">
        <f t="shared" si="9"/>
        <v>401.54</v>
      </c>
      <c r="K58" s="61">
        <f t="shared" si="9"/>
        <v>404.84000000000003</v>
      </c>
      <c r="L58" s="61">
        <f t="shared" si="9"/>
        <v>404.44</v>
      </c>
      <c r="M58" s="61">
        <f t="shared" si="9"/>
        <v>433.34000000000003</v>
      </c>
      <c r="N58" s="61">
        <f t="shared" si="9"/>
        <v>437.34000000000003</v>
      </c>
      <c r="O58" s="61">
        <f>SUM(O45:O57)</f>
        <v>436.54</v>
      </c>
      <c r="P58" s="61">
        <f t="shared" si="9"/>
        <v>411.34000000000003</v>
      </c>
      <c r="Q58" s="61">
        <f t="shared" si="9"/>
        <v>401.74</v>
      </c>
      <c r="R58" s="61">
        <f t="shared" si="9"/>
        <v>349.84</v>
      </c>
      <c r="S58" s="61">
        <f t="shared" si="9"/>
        <v>321.13000000000005</v>
      </c>
      <c r="T58" s="61">
        <f t="shared" si="9"/>
        <v>355.03999999999996</v>
      </c>
      <c r="U58" s="61">
        <f t="shared" si="9"/>
        <v>363.03999999999996</v>
      </c>
      <c r="V58" s="61">
        <f t="shared" si="9"/>
        <v>434.34</v>
      </c>
      <c r="W58" s="61">
        <f t="shared" si="9"/>
        <v>434.34</v>
      </c>
      <c r="X58" s="61">
        <f t="shared" si="9"/>
        <v>434.34</v>
      </c>
      <c r="Y58" s="61">
        <f t="shared" si="9"/>
        <v>435.34</v>
      </c>
      <c r="Z58" s="61">
        <f t="shared" si="9"/>
        <v>436.63999999999993</v>
      </c>
      <c r="AA58" s="61">
        <f t="shared" si="9"/>
        <v>436.03999999999996</v>
      </c>
      <c r="AB58" s="61">
        <f t="shared" si="9"/>
        <v>438.03999999999996</v>
      </c>
      <c r="AC58" s="61">
        <f t="shared" si="9"/>
        <v>438.03999999999996</v>
      </c>
      <c r="AD58" s="61">
        <f t="shared" si="9"/>
        <v>394.73999999999995</v>
      </c>
      <c r="AE58" s="61">
        <f t="shared" si="9"/>
        <v>335.03999999999996</v>
      </c>
      <c r="AF58" s="61">
        <f t="shared" si="9"/>
        <v>319.14</v>
      </c>
      <c r="AG58" s="62">
        <f t="shared" si="9"/>
        <v>489.91</v>
      </c>
      <c r="AH58" s="48">
        <f t="shared" si="2"/>
        <v>438.03999999999996</v>
      </c>
      <c r="AI58" s="49">
        <f t="shared" si="3"/>
        <v>319.14</v>
      </c>
      <c r="AK58" s="50"/>
    </row>
    <row r="59" spans="1:41" x14ac:dyDescent="0.25">
      <c r="A59" s="44" t="s">
        <v>67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67">
        <v>0</v>
      </c>
      <c r="AB61" s="67">
        <v>0</v>
      </c>
      <c r="AC61" s="67">
        <v>0</v>
      </c>
      <c r="AD61" s="67">
        <v>0</v>
      </c>
      <c r="AE61" s="67">
        <v>0</v>
      </c>
      <c r="AF61" s="67">
        <v>0</v>
      </c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" si="10">SUM(B59:B61)</f>
        <v>0</v>
      </c>
      <c r="C62" s="61">
        <f t="shared" ref="C62:AG62" si="11">SUM(C59:C61)</f>
        <v>0</v>
      </c>
      <c r="D62" s="61">
        <f t="shared" si="11"/>
        <v>0</v>
      </c>
      <c r="E62" s="61">
        <f t="shared" si="11"/>
        <v>0</v>
      </c>
      <c r="F62" s="61">
        <f t="shared" si="11"/>
        <v>0</v>
      </c>
      <c r="G62" s="61">
        <f t="shared" si="11"/>
        <v>0</v>
      </c>
      <c r="H62" s="61">
        <f t="shared" si="11"/>
        <v>0</v>
      </c>
      <c r="I62" s="61">
        <f t="shared" si="11"/>
        <v>0</v>
      </c>
      <c r="J62" s="61">
        <f t="shared" si="11"/>
        <v>0</v>
      </c>
      <c r="K62" s="61">
        <f t="shared" si="11"/>
        <v>0</v>
      </c>
      <c r="L62" s="61">
        <f t="shared" si="11"/>
        <v>0</v>
      </c>
      <c r="M62" s="61">
        <f t="shared" si="11"/>
        <v>0</v>
      </c>
      <c r="N62" s="61">
        <f t="shared" si="11"/>
        <v>0</v>
      </c>
      <c r="O62" s="61">
        <f t="shared" si="11"/>
        <v>0</v>
      </c>
      <c r="P62" s="61">
        <f t="shared" si="11"/>
        <v>0</v>
      </c>
      <c r="Q62" s="61">
        <f t="shared" si="11"/>
        <v>0</v>
      </c>
      <c r="R62" s="61">
        <f t="shared" si="11"/>
        <v>0</v>
      </c>
      <c r="S62" s="61">
        <f t="shared" si="11"/>
        <v>0</v>
      </c>
      <c r="T62" s="61">
        <f t="shared" si="11"/>
        <v>0</v>
      </c>
      <c r="U62" s="61">
        <f t="shared" si="11"/>
        <v>0</v>
      </c>
      <c r="V62" s="61">
        <f t="shared" si="11"/>
        <v>0</v>
      </c>
      <c r="W62" s="61">
        <f t="shared" si="11"/>
        <v>0</v>
      </c>
      <c r="X62" s="61">
        <f t="shared" si="11"/>
        <v>0</v>
      </c>
      <c r="Y62" s="61">
        <f t="shared" si="11"/>
        <v>0</v>
      </c>
      <c r="Z62" s="61">
        <f t="shared" si="11"/>
        <v>0</v>
      </c>
      <c r="AA62" s="61">
        <f t="shared" si="11"/>
        <v>0</v>
      </c>
      <c r="AB62" s="61">
        <f t="shared" si="11"/>
        <v>0</v>
      </c>
      <c r="AC62" s="61">
        <f t="shared" si="11"/>
        <v>0</v>
      </c>
      <c r="AD62" s="61">
        <f t="shared" si="11"/>
        <v>0</v>
      </c>
      <c r="AE62" s="61">
        <f t="shared" si="11"/>
        <v>0</v>
      </c>
      <c r="AF62" s="61">
        <f t="shared" si="11"/>
        <v>0</v>
      </c>
      <c r="AG62" s="62">
        <f t="shared" si="11"/>
        <v>106</v>
      </c>
      <c r="AH62" s="48">
        <f t="shared" si="2"/>
        <v>0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-389</v>
      </c>
      <c r="C65" s="65">
        <v>-386.5</v>
      </c>
      <c r="D65" s="65">
        <v>-365</v>
      </c>
      <c r="E65" s="65">
        <v>-374</v>
      </c>
      <c r="F65" s="65">
        <v>-392.2</v>
      </c>
      <c r="G65" s="65">
        <v>-412.1</v>
      </c>
      <c r="H65" s="65">
        <v>-392</v>
      </c>
      <c r="I65" s="65">
        <v>-429</v>
      </c>
      <c r="J65" s="65">
        <v>-412</v>
      </c>
      <c r="K65" s="65">
        <v>-414</v>
      </c>
      <c r="L65" s="65">
        <v>-385</v>
      </c>
      <c r="M65" s="65">
        <v>-374.8</v>
      </c>
      <c r="N65" s="65">
        <v>-406.7</v>
      </c>
      <c r="O65" s="65">
        <v>-423.2</v>
      </c>
      <c r="P65" s="65">
        <v>-423</v>
      </c>
      <c r="Q65" s="65">
        <v>-440</v>
      </c>
      <c r="R65" s="65">
        <v>-410</v>
      </c>
      <c r="S65" s="65">
        <v>-398</v>
      </c>
      <c r="T65" s="65">
        <v>-402</v>
      </c>
      <c r="U65" s="65">
        <v>-401</v>
      </c>
      <c r="V65" s="65">
        <v>-400</v>
      </c>
      <c r="W65" s="65">
        <v>-400</v>
      </c>
      <c r="X65" s="65">
        <v>-405</v>
      </c>
      <c r="Y65" s="65">
        <v>-385</v>
      </c>
      <c r="Z65" s="65">
        <v>-365</v>
      </c>
      <c r="AA65" s="65">
        <v>-367</v>
      </c>
      <c r="AB65" s="65">
        <v>-415</v>
      </c>
      <c r="AC65" s="65">
        <v>-410</v>
      </c>
      <c r="AD65" s="65">
        <v>-413</v>
      </c>
      <c r="AE65" s="65">
        <v>-382</v>
      </c>
      <c r="AF65" s="65">
        <v>-411</v>
      </c>
      <c r="AG65" s="75"/>
      <c r="AH65" s="48">
        <f t="shared" si="2"/>
        <v>-365</v>
      </c>
      <c r="AI65" s="49">
        <f t="shared" si="3"/>
        <v>-440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>
        <v>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7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7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9">
        <v>0</v>
      </c>
      <c r="C72" s="79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7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9">
        <v>0</v>
      </c>
      <c r="C73" s="79">
        <v>0</v>
      </c>
      <c r="D73" s="79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7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" si="12">SUMIF(B63:B73,"&gt;0")</f>
        <v>0</v>
      </c>
      <c r="C74" s="61">
        <f t="shared" ref="C74:AF74" si="13">SUMIF(C63:C73,"&gt;0")</f>
        <v>0</v>
      </c>
      <c r="D74" s="61">
        <f t="shared" si="13"/>
        <v>0</v>
      </c>
      <c r="E74" s="61">
        <f t="shared" si="13"/>
        <v>0</v>
      </c>
      <c r="F74" s="61">
        <f t="shared" si="13"/>
        <v>0</v>
      </c>
      <c r="G74" s="61">
        <f t="shared" si="13"/>
        <v>0</v>
      </c>
      <c r="H74" s="61">
        <f t="shared" si="13"/>
        <v>0</v>
      </c>
      <c r="I74" s="61">
        <f t="shared" si="13"/>
        <v>0</v>
      </c>
      <c r="J74" s="61">
        <f t="shared" si="13"/>
        <v>0</v>
      </c>
      <c r="K74" s="61">
        <f t="shared" si="13"/>
        <v>0</v>
      </c>
      <c r="L74" s="61">
        <f t="shared" si="13"/>
        <v>0</v>
      </c>
      <c r="M74" s="61">
        <f t="shared" si="13"/>
        <v>0</v>
      </c>
      <c r="N74" s="61">
        <f t="shared" si="13"/>
        <v>0</v>
      </c>
      <c r="O74" s="61">
        <f t="shared" si="13"/>
        <v>0</v>
      </c>
      <c r="P74" s="61">
        <f t="shared" si="13"/>
        <v>0</v>
      </c>
      <c r="Q74" s="61">
        <f t="shared" si="13"/>
        <v>0</v>
      </c>
      <c r="R74" s="61">
        <f t="shared" si="13"/>
        <v>0</v>
      </c>
      <c r="S74" s="61">
        <f t="shared" si="13"/>
        <v>0</v>
      </c>
      <c r="T74" s="61">
        <f t="shared" si="13"/>
        <v>0</v>
      </c>
      <c r="U74" s="61">
        <f t="shared" si="13"/>
        <v>0</v>
      </c>
      <c r="V74" s="61">
        <f t="shared" si="13"/>
        <v>0</v>
      </c>
      <c r="W74" s="61">
        <f t="shared" si="13"/>
        <v>0</v>
      </c>
      <c r="X74" s="61">
        <f t="shared" si="13"/>
        <v>0</v>
      </c>
      <c r="Y74" s="61">
        <f t="shared" si="13"/>
        <v>0</v>
      </c>
      <c r="Z74" s="61">
        <f t="shared" si="13"/>
        <v>0</v>
      </c>
      <c r="AA74" s="61">
        <f t="shared" si="13"/>
        <v>0</v>
      </c>
      <c r="AB74" s="61">
        <f t="shared" si="13"/>
        <v>0</v>
      </c>
      <c r="AC74" s="61">
        <f t="shared" si="13"/>
        <v>0</v>
      </c>
      <c r="AD74" s="61">
        <f t="shared" si="13"/>
        <v>0</v>
      </c>
      <c r="AE74" s="61">
        <f t="shared" si="13"/>
        <v>0</v>
      </c>
      <c r="AF74" s="61">
        <f t="shared" si="13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44" t="s">
        <v>83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/>
      <c r="S75" s="76">
        <v>0</v>
      </c>
      <c r="T75" s="76">
        <v>0</v>
      </c>
      <c r="U75" s="76"/>
      <c r="V75" s="76">
        <v>0</v>
      </c>
      <c r="W75" s="76">
        <v>0</v>
      </c>
      <c r="X75" s="76">
        <v>0</v>
      </c>
      <c r="Y75" s="76">
        <v>0</v>
      </c>
      <c r="Z75" s="76"/>
      <c r="AA75" s="76">
        <v>0</v>
      </c>
      <c r="AB75" s="76">
        <v>0</v>
      </c>
      <c r="AC75" s="76"/>
      <c r="AD75" s="76"/>
      <c r="AE75" s="76"/>
      <c r="AF75" s="76"/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/>
      <c r="S76" s="77">
        <v>0</v>
      </c>
      <c r="T76" s="77">
        <v>0</v>
      </c>
      <c r="U76" s="77"/>
      <c r="V76" s="77">
        <v>0</v>
      </c>
      <c r="W76" s="77">
        <v>0</v>
      </c>
      <c r="X76" s="77">
        <v>0</v>
      </c>
      <c r="Y76" s="77">
        <v>0</v>
      </c>
      <c r="Z76" s="77"/>
      <c r="AA76" s="77">
        <v>0</v>
      </c>
      <c r="AB76" s="77">
        <v>0</v>
      </c>
      <c r="AC76" s="77"/>
      <c r="AD76" s="77"/>
      <c r="AE76" s="77"/>
      <c r="AF76" s="77"/>
      <c r="AG76" s="75">
        <v>14.4</v>
      </c>
      <c r="AH76" s="48">
        <f t="shared" ref="AH76:AH109" si="14">MAX(B76:AF76)</f>
        <v>0</v>
      </c>
      <c r="AI76" s="49">
        <f t="shared" ref="AI76:AI109" si="15">MIN(B76:AF76)</f>
        <v>0</v>
      </c>
      <c r="AK76" s="50"/>
    </row>
    <row r="77" spans="1:37" ht="15.75" thickBot="1" x14ac:dyDescent="0.3">
      <c r="A77" s="78" t="s">
        <v>85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/>
      <c r="S77" s="79">
        <v>0</v>
      </c>
      <c r="T77" s="79">
        <v>0</v>
      </c>
      <c r="U77" s="79"/>
      <c r="V77" s="79">
        <v>0</v>
      </c>
      <c r="W77" s="79">
        <v>0</v>
      </c>
      <c r="X77" s="79">
        <v>0</v>
      </c>
      <c r="Y77" s="79">
        <v>0</v>
      </c>
      <c r="Z77" s="79"/>
      <c r="AA77" s="79">
        <v>0</v>
      </c>
      <c r="AB77" s="79">
        <v>0</v>
      </c>
      <c r="AC77" s="79"/>
      <c r="AD77" s="79"/>
      <c r="AE77" s="79"/>
      <c r="AF77" s="79"/>
      <c r="AG77" s="80">
        <v>2</v>
      </c>
      <c r="AH77" s="48">
        <f t="shared" si="14"/>
        <v>0</v>
      </c>
      <c r="AI77" s="49">
        <f t="shared" si="15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14"/>
        <v>0</v>
      </c>
      <c r="AI78" s="49">
        <f t="shared" si="15"/>
        <v>0</v>
      </c>
    </row>
    <row r="79" spans="1:37" ht="15.75" thickBot="1" x14ac:dyDescent="0.3">
      <c r="A79" s="74" t="s">
        <v>87</v>
      </c>
      <c r="B79" s="83">
        <f t="shared" ref="B79" si="16">B40+B44+B62+B58+B74+B78</f>
        <v>1318.54</v>
      </c>
      <c r="C79" s="83">
        <f t="shared" ref="C79:AG79" si="17">C40+C44+C62+C58+C74+C78</f>
        <v>1290.04</v>
      </c>
      <c r="D79" s="83">
        <f t="shared" si="17"/>
        <v>1261.24</v>
      </c>
      <c r="E79" s="83">
        <f t="shared" si="17"/>
        <v>1238.44</v>
      </c>
      <c r="F79" s="83">
        <f t="shared" si="17"/>
        <v>1254.54</v>
      </c>
      <c r="G79" s="83">
        <f t="shared" si="17"/>
        <v>1258.1399999999999</v>
      </c>
      <c r="H79" s="83">
        <f t="shared" si="17"/>
        <v>1293.9399999999998</v>
      </c>
      <c r="I79" s="83">
        <f t="shared" si="17"/>
        <v>1307.7399999999998</v>
      </c>
      <c r="J79" s="83">
        <f t="shared" si="17"/>
        <v>1289.3399999999999</v>
      </c>
      <c r="K79" s="83">
        <f t="shared" si="17"/>
        <v>1311.44</v>
      </c>
      <c r="L79" s="83">
        <f t="shared" si="17"/>
        <v>1311.04</v>
      </c>
      <c r="M79" s="83">
        <f t="shared" si="17"/>
        <v>1319.3400000000001</v>
      </c>
      <c r="N79" s="83">
        <f t="shared" si="17"/>
        <v>1323.3400000000001</v>
      </c>
      <c r="O79" s="83">
        <f t="shared" si="17"/>
        <v>1311.64</v>
      </c>
      <c r="P79" s="83">
        <f t="shared" si="17"/>
        <v>1259.94</v>
      </c>
      <c r="Q79" s="83">
        <f t="shared" si="17"/>
        <v>1241.44</v>
      </c>
      <c r="R79" s="83">
        <f t="shared" si="17"/>
        <v>1235.24</v>
      </c>
      <c r="S79" s="83">
        <f t="shared" si="17"/>
        <v>1195.73</v>
      </c>
      <c r="T79" s="83">
        <f t="shared" si="17"/>
        <v>1229.3399999999999</v>
      </c>
      <c r="U79" s="83">
        <f t="shared" si="17"/>
        <v>1237.3399999999999</v>
      </c>
      <c r="V79" s="83">
        <f t="shared" si="17"/>
        <v>1308.6399999999999</v>
      </c>
      <c r="W79" s="83">
        <f t="shared" si="17"/>
        <v>1385.34</v>
      </c>
      <c r="X79" s="83">
        <f t="shared" si="17"/>
        <v>1528.1399999999999</v>
      </c>
      <c r="Y79" s="83">
        <f t="shared" si="17"/>
        <v>1681.74</v>
      </c>
      <c r="Z79" s="83">
        <f t="shared" si="17"/>
        <v>1683.04</v>
      </c>
      <c r="AA79" s="83">
        <f t="shared" si="17"/>
        <v>1646.44</v>
      </c>
      <c r="AB79" s="83">
        <f t="shared" si="17"/>
        <v>1645.94</v>
      </c>
      <c r="AC79" s="83">
        <f t="shared" si="17"/>
        <v>1601.54</v>
      </c>
      <c r="AD79" s="83">
        <f t="shared" si="17"/>
        <v>1553.14</v>
      </c>
      <c r="AE79" s="83">
        <f t="shared" si="17"/>
        <v>1393.44</v>
      </c>
      <c r="AF79" s="83">
        <f t="shared" si="17"/>
        <v>1352.54</v>
      </c>
      <c r="AG79" s="62">
        <f t="shared" si="17"/>
        <v>1897.1900000000003</v>
      </c>
      <c r="AH79" s="48">
        <f t="shared" si="14"/>
        <v>1683.04</v>
      </c>
      <c r="AI79" s="49">
        <f t="shared" si="15"/>
        <v>1195.73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14"/>
        <v>0</v>
      </c>
      <c r="AI80" s="49">
        <f t="shared" si="15"/>
        <v>0</v>
      </c>
    </row>
    <row r="81" spans="1:37" ht="15.75" thickBot="1" x14ac:dyDescent="0.3">
      <c r="A81" s="74" t="s">
        <v>89</v>
      </c>
      <c r="B81" s="83">
        <f t="shared" ref="B81" si="18">B79+B80</f>
        <v>1318.54</v>
      </c>
      <c r="C81" s="83">
        <f t="shared" ref="C81:AF81" si="19">C79+C80</f>
        <v>1290.04</v>
      </c>
      <c r="D81" s="83">
        <f t="shared" si="19"/>
        <v>1261.24</v>
      </c>
      <c r="E81" s="83">
        <f t="shared" si="19"/>
        <v>1238.44</v>
      </c>
      <c r="F81" s="83">
        <f t="shared" si="19"/>
        <v>1254.54</v>
      </c>
      <c r="G81" s="83">
        <f t="shared" si="19"/>
        <v>1258.1399999999999</v>
      </c>
      <c r="H81" s="83">
        <f t="shared" si="19"/>
        <v>1293.9399999999998</v>
      </c>
      <c r="I81" s="83">
        <f t="shared" si="19"/>
        <v>1307.7399999999998</v>
      </c>
      <c r="J81" s="83">
        <f t="shared" si="19"/>
        <v>1289.3399999999999</v>
      </c>
      <c r="K81" s="83">
        <f t="shared" si="19"/>
        <v>1311.44</v>
      </c>
      <c r="L81" s="83">
        <f t="shared" si="19"/>
        <v>1311.04</v>
      </c>
      <c r="M81" s="83">
        <f t="shared" si="19"/>
        <v>1319.3400000000001</v>
      </c>
      <c r="N81" s="83">
        <f t="shared" si="19"/>
        <v>1323.3400000000001</v>
      </c>
      <c r="O81" s="83">
        <f t="shared" si="19"/>
        <v>1311.64</v>
      </c>
      <c r="P81" s="83">
        <f t="shared" si="19"/>
        <v>1259.94</v>
      </c>
      <c r="Q81" s="83">
        <f t="shared" si="19"/>
        <v>1241.44</v>
      </c>
      <c r="R81" s="83">
        <f t="shared" si="19"/>
        <v>1235.24</v>
      </c>
      <c r="S81" s="83">
        <f t="shared" si="19"/>
        <v>1195.73</v>
      </c>
      <c r="T81" s="83">
        <f t="shared" si="19"/>
        <v>1229.3399999999999</v>
      </c>
      <c r="U81" s="83">
        <f t="shared" si="19"/>
        <v>1237.3399999999999</v>
      </c>
      <c r="V81" s="83">
        <f t="shared" si="19"/>
        <v>1308.6399999999999</v>
      </c>
      <c r="W81" s="83">
        <f t="shared" si="19"/>
        <v>1385.34</v>
      </c>
      <c r="X81" s="83">
        <f t="shared" si="19"/>
        <v>1528.1399999999999</v>
      </c>
      <c r="Y81" s="83">
        <f t="shared" si="19"/>
        <v>1681.74</v>
      </c>
      <c r="Z81" s="83">
        <f t="shared" si="19"/>
        <v>1683.04</v>
      </c>
      <c r="AA81" s="83">
        <f t="shared" si="19"/>
        <v>1646.44</v>
      </c>
      <c r="AB81" s="83">
        <f t="shared" si="19"/>
        <v>1645.94</v>
      </c>
      <c r="AC81" s="83">
        <f t="shared" si="19"/>
        <v>1601.54</v>
      </c>
      <c r="AD81" s="83">
        <f t="shared" si="19"/>
        <v>1553.14</v>
      </c>
      <c r="AE81" s="83">
        <f t="shared" si="19"/>
        <v>1393.44</v>
      </c>
      <c r="AF81" s="83">
        <f t="shared" si="19"/>
        <v>1352.54</v>
      </c>
      <c r="AG81" s="81">
        <f>AG78+AG74+AG62+AG58+AG40+AG80</f>
        <v>1359.0900000000001</v>
      </c>
      <c r="AH81" s="48">
        <f t="shared" si="14"/>
        <v>1683.04</v>
      </c>
      <c r="AI81" s="49">
        <f t="shared" si="15"/>
        <v>1195.73</v>
      </c>
    </row>
    <row r="82" spans="1:37" ht="15.75" thickBot="1" x14ac:dyDescent="0.3">
      <c r="A82" s="74" t="s">
        <v>90</v>
      </c>
      <c r="B82" s="83">
        <f t="shared" ref="B82" si="20">B81-B89</f>
        <v>929.54</v>
      </c>
      <c r="C82" s="83">
        <f t="shared" ref="C82:AF82" si="21">C81-C89</f>
        <v>903.54</v>
      </c>
      <c r="D82" s="83">
        <f t="shared" si="21"/>
        <v>896.24</v>
      </c>
      <c r="E82" s="83">
        <f t="shared" si="21"/>
        <v>864.44</v>
      </c>
      <c r="F82" s="83">
        <f t="shared" si="21"/>
        <v>862.33999999999992</v>
      </c>
      <c r="G82" s="83">
        <f t="shared" si="21"/>
        <v>846.03999999999985</v>
      </c>
      <c r="H82" s="83">
        <f t="shared" si="21"/>
        <v>901.93999999999983</v>
      </c>
      <c r="I82" s="83">
        <f t="shared" si="21"/>
        <v>878.73999999999978</v>
      </c>
      <c r="J82" s="83">
        <f t="shared" si="21"/>
        <v>877.33999999999992</v>
      </c>
      <c r="K82" s="83">
        <f t="shared" si="21"/>
        <v>897.44</v>
      </c>
      <c r="L82" s="83">
        <f t="shared" si="21"/>
        <v>926.04</v>
      </c>
      <c r="M82" s="83">
        <f t="shared" si="21"/>
        <v>944.54000000000019</v>
      </c>
      <c r="N82" s="83">
        <f t="shared" si="21"/>
        <v>916.6400000000001</v>
      </c>
      <c r="O82" s="83">
        <f t="shared" si="21"/>
        <v>888.44</v>
      </c>
      <c r="P82" s="83">
        <f t="shared" si="21"/>
        <v>836.94</v>
      </c>
      <c r="Q82" s="83">
        <f t="shared" si="21"/>
        <v>801.44</v>
      </c>
      <c r="R82" s="83">
        <f t="shared" si="21"/>
        <v>825.24</v>
      </c>
      <c r="S82" s="83">
        <f t="shared" si="21"/>
        <v>797.73</v>
      </c>
      <c r="T82" s="83">
        <f t="shared" si="21"/>
        <v>827.33999999999992</v>
      </c>
      <c r="U82" s="83">
        <f t="shared" si="21"/>
        <v>836.33999999999992</v>
      </c>
      <c r="V82" s="83">
        <f t="shared" si="21"/>
        <v>908.63999999999987</v>
      </c>
      <c r="W82" s="83">
        <f t="shared" si="21"/>
        <v>985.33999999999992</v>
      </c>
      <c r="X82" s="83">
        <f t="shared" si="21"/>
        <v>1123.1399999999999</v>
      </c>
      <c r="Y82" s="83">
        <f t="shared" si="21"/>
        <v>1296.74</v>
      </c>
      <c r="Z82" s="83">
        <f t="shared" si="21"/>
        <v>1318.04</v>
      </c>
      <c r="AA82" s="83">
        <f t="shared" si="21"/>
        <v>1279.44</v>
      </c>
      <c r="AB82" s="83">
        <f t="shared" si="21"/>
        <v>1230.94</v>
      </c>
      <c r="AC82" s="83">
        <f t="shared" si="21"/>
        <v>1191.54</v>
      </c>
      <c r="AD82" s="83">
        <f t="shared" si="21"/>
        <v>1140.1400000000001</v>
      </c>
      <c r="AE82" s="83">
        <f t="shared" si="21"/>
        <v>1011.44</v>
      </c>
      <c r="AF82" s="83">
        <f t="shared" si="21"/>
        <v>941.54</v>
      </c>
      <c r="AG82" s="81"/>
      <c r="AH82" s="48">
        <f t="shared" si="14"/>
        <v>1318.04</v>
      </c>
      <c r="AI82" s="49">
        <f t="shared" si="15"/>
        <v>797.73</v>
      </c>
    </row>
    <row r="83" spans="1:37" x14ac:dyDescent="0.25">
      <c r="A83" s="44" t="s">
        <v>74</v>
      </c>
      <c r="B83" s="76">
        <f t="shared" ref="B83" si="22">IF(B66&lt;0,B66*-1,0)</f>
        <v>0</v>
      </c>
      <c r="C83" s="76">
        <f t="shared" ref="C83:AF83" si="23">IF(C66&lt;0,C66*-1,0)</f>
        <v>0</v>
      </c>
      <c r="D83" s="76">
        <f t="shared" si="23"/>
        <v>0</v>
      </c>
      <c r="E83" s="76">
        <f t="shared" si="23"/>
        <v>0</v>
      </c>
      <c r="F83" s="76">
        <f t="shared" si="23"/>
        <v>0</v>
      </c>
      <c r="G83" s="76">
        <f t="shared" si="23"/>
        <v>0</v>
      </c>
      <c r="H83" s="76">
        <f t="shared" si="23"/>
        <v>0</v>
      </c>
      <c r="I83" s="76">
        <f t="shared" si="23"/>
        <v>0</v>
      </c>
      <c r="J83" s="76">
        <f t="shared" si="23"/>
        <v>0</v>
      </c>
      <c r="K83" s="76">
        <f t="shared" si="23"/>
        <v>0</v>
      </c>
      <c r="L83" s="76">
        <f t="shared" si="23"/>
        <v>0</v>
      </c>
      <c r="M83" s="76">
        <f t="shared" si="23"/>
        <v>0</v>
      </c>
      <c r="N83" s="76">
        <f t="shared" si="23"/>
        <v>0</v>
      </c>
      <c r="O83" s="76">
        <f t="shared" si="23"/>
        <v>0</v>
      </c>
      <c r="P83" s="76">
        <f t="shared" si="23"/>
        <v>0</v>
      </c>
      <c r="Q83" s="76">
        <f t="shared" si="23"/>
        <v>0</v>
      </c>
      <c r="R83" s="76">
        <f t="shared" si="23"/>
        <v>0</v>
      </c>
      <c r="S83" s="76">
        <f t="shared" si="23"/>
        <v>0</v>
      </c>
      <c r="T83" s="76">
        <f t="shared" si="23"/>
        <v>0</v>
      </c>
      <c r="U83" s="76">
        <f t="shared" si="23"/>
        <v>0</v>
      </c>
      <c r="V83" s="76">
        <f t="shared" si="23"/>
        <v>0</v>
      </c>
      <c r="W83" s="76">
        <f t="shared" si="23"/>
        <v>0</v>
      </c>
      <c r="X83" s="76">
        <f t="shared" si="23"/>
        <v>0</v>
      </c>
      <c r="Y83" s="76">
        <f t="shared" si="23"/>
        <v>0</v>
      </c>
      <c r="Z83" s="76">
        <f t="shared" si="23"/>
        <v>0</v>
      </c>
      <c r="AA83" s="76">
        <f t="shared" si="23"/>
        <v>0</v>
      </c>
      <c r="AB83" s="76">
        <f t="shared" si="23"/>
        <v>0</v>
      </c>
      <c r="AC83" s="76">
        <f t="shared" si="23"/>
        <v>0</v>
      </c>
      <c r="AD83" s="76">
        <f t="shared" si="23"/>
        <v>0</v>
      </c>
      <c r="AE83" s="76">
        <f t="shared" si="23"/>
        <v>0</v>
      </c>
      <c r="AF83" s="76">
        <f t="shared" si="23"/>
        <v>0</v>
      </c>
      <c r="AG83" s="52"/>
      <c r="AH83" s="48">
        <f t="shared" si="14"/>
        <v>0</v>
      </c>
      <c r="AI83" s="49">
        <f t="shared" si="15"/>
        <v>0</v>
      </c>
    </row>
    <row r="84" spans="1:37" x14ac:dyDescent="0.25">
      <c r="A84" s="54" t="s">
        <v>72</v>
      </c>
      <c r="B84" s="76">
        <f t="shared" ref="B84" si="24">IF(B64&lt;0,B64*-1,0)</f>
        <v>0</v>
      </c>
      <c r="C84" s="76">
        <f t="shared" ref="C84:AF84" si="25">IF(C64&lt;0,C64*-1,0)</f>
        <v>0</v>
      </c>
      <c r="D84" s="76">
        <f t="shared" si="25"/>
        <v>0</v>
      </c>
      <c r="E84" s="76">
        <f t="shared" si="25"/>
        <v>0</v>
      </c>
      <c r="F84" s="76">
        <f t="shared" si="25"/>
        <v>0</v>
      </c>
      <c r="G84" s="76">
        <f t="shared" si="25"/>
        <v>0</v>
      </c>
      <c r="H84" s="76">
        <f t="shared" si="25"/>
        <v>0</v>
      </c>
      <c r="I84" s="76">
        <f t="shared" si="25"/>
        <v>0</v>
      </c>
      <c r="J84" s="76">
        <f t="shared" si="25"/>
        <v>0</v>
      </c>
      <c r="K84" s="76">
        <f t="shared" si="25"/>
        <v>0</v>
      </c>
      <c r="L84" s="76">
        <f t="shared" si="25"/>
        <v>0</v>
      </c>
      <c r="M84" s="76">
        <f t="shared" si="25"/>
        <v>0</v>
      </c>
      <c r="N84" s="76">
        <f t="shared" si="25"/>
        <v>0</v>
      </c>
      <c r="O84" s="76">
        <f t="shared" si="25"/>
        <v>0</v>
      </c>
      <c r="P84" s="76">
        <f t="shared" si="25"/>
        <v>0</v>
      </c>
      <c r="Q84" s="76">
        <f t="shared" si="25"/>
        <v>0</v>
      </c>
      <c r="R84" s="76">
        <f t="shared" si="25"/>
        <v>0</v>
      </c>
      <c r="S84" s="76">
        <f t="shared" si="25"/>
        <v>0</v>
      </c>
      <c r="T84" s="76">
        <f t="shared" si="25"/>
        <v>0</v>
      </c>
      <c r="U84" s="76">
        <f t="shared" si="25"/>
        <v>0</v>
      </c>
      <c r="V84" s="76">
        <f t="shared" si="25"/>
        <v>0</v>
      </c>
      <c r="W84" s="76">
        <f t="shared" si="25"/>
        <v>0</v>
      </c>
      <c r="X84" s="76">
        <f t="shared" si="25"/>
        <v>0</v>
      </c>
      <c r="Y84" s="76">
        <f t="shared" si="25"/>
        <v>0</v>
      </c>
      <c r="Z84" s="76">
        <f t="shared" si="25"/>
        <v>0</v>
      </c>
      <c r="AA84" s="76">
        <f t="shared" si="25"/>
        <v>0</v>
      </c>
      <c r="AB84" s="76">
        <f t="shared" si="25"/>
        <v>0</v>
      </c>
      <c r="AC84" s="76">
        <f t="shared" si="25"/>
        <v>0</v>
      </c>
      <c r="AD84" s="76">
        <f t="shared" si="25"/>
        <v>0</v>
      </c>
      <c r="AE84" s="76">
        <f t="shared" si="25"/>
        <v>0</v>
      </c>
      <c r="AF84" s="76">
        <f t="shared" si="25"/>
        <v>0</v>
      </c>
      <c r="AG84" s="55"/>
      <c r="AH84" s="48">
        <f t="shared" si="14"/>
        <v>0</v>
      </c>
      <c r="AI84" s="49">
        <f t="shared" si="15"/>
        <v>0</v>
      </c>
    </row>
    <row r="85" spans="1:37" x14ac:dyDescent="0.25">
      <c r="A85" s="78" t="s">
        <v>91</v>
      </c>
      <c r="B85" s="76">
        <f t="shared" ref="B85" si="26">IF(B67&lt;0,B67*-1,0)</f>
        <v>0</v>
      </c>
      <c r="C85" s="76">
        <f t="shared" ref="C85:AF85" si="27">IF(C67&lt;0,C67*-1,0)</f>
        <v>0</v>
      </c>
      <c r="D85" s="76">
        <f t="shared" si="27"/>
        <v>0</v>
      </c>
      <c r="E85" s="76">
        <f t="shared" si="27"/>
        <v>0</v>
      </c>
      <c r="F85" s="76">
        <f t="shared" si="27"/>
        <v>0</v>
      </c>
      <c r="G85" s="76">
        <f t="shared" si="27"/>
        <v>0</v>
      </c>
      <c r="H85" s="76">
        <f t="shared" si="27"/>
        <v>0</v>
      </c>
      <c r="I85" s="76">
        <f t="shared" si="27"/>
        <v>0</v>
      </c>
      <c r="J85" s="76">
        <f t="shared" si="27"/>
        <v>0</v>
      </c>
      <c r="K85" s="76">
        <f t="shared" si="27"/>
        <v>0</v>
      </c>
      <c r="L85" s="76">
        <f t="shared" si="27"/>
        <v>0</v>
      </c>
      <c r="M85" s="76">
        <f t="shared" si="27"/>
        <v>0</v>
      </c>
      <c r="N85" s="76">
        <f t="shared" si="27"/>
        <v>0</v>
      </c>
      <c r="O85" s="76">
        <f t="shared" si="27"/>
        <v>0</v>
      </c>
      <c r="P85" s="76">
        <f t="shared" si="27"/>
        <v>0</v>
      </c>
      <c r="Q85" s="76">
        <f t="shared" si="27"/>
        <v>0</v>
      </c>
      <c r="R85" s="76">
        <f t="shared" si="27"/>
        <v>0</v>
      </c>
      <c r="S85" s="76">
        <f t="shared" si="27"/>
        <v>0</v>
      </c>
      <c r="T85" s="76">
        <f t="shared" si="27"/>
        <v>0</v>
      </c>
      <c r="U85" s="76">
        <f t="shared" si="27"/>
        <v>0</v>
      </c>
      <c r="V85" s="76">
        <f t="shared" si="27"/>
        <v>0</v>
      </c>
      <c r="W85" s="76">
        <f t="shared" si="27"/>
        <v>0</v>
      </c>
      <c r="X85" s="76">
        <f t="shared" si="27"/>
        <v>0</v>
      </c>
      <c r="Y85" s="76">
        <f t="shared" si="27"/>
        <v>0</v>
      </c>
      <c r="Z85" s="76">
        <f t="shared" si="27"/>
        <v>0</v>
      </c>
      <c r="AA85" s="76">
        <f t="shared" si="27"/>
        <v>0</v>
      </c>
      <c r="AB85" s="76">
        <f t="shared" si="27"/>
        <v>0</v>
      </c>
      <c r="AC85" s="76">
        <f t="shared" si="27"/>
        <v>0</v>
      </c>
      <c r="AD85" s="76">
        <f t="shared" si="27"/>
        <v>0</v>
      </c>
      <c r="AE85" s="76">
        <f t="shared" si="27"/>
        <v>0</v>
      </c>
      <c r="AF85" s="76">
        <f t="shared" si="27"/>
        <v>0</v>
      </c>
      <c r="AG85" s="86"/>
      <c r="AH85" s="48">
        <f t="shared" si="14"/>
        <v>0</v>
      </c>
      <c r="AI85" s="49">
        <f t="shared" si="15"/>
        <v>0</v>
      </c>
    </row>
    <row r="86" spans="1:37" x14ac:dyDescent="0.25">
      <c r="A86" s="78" t="s">
        <v>92</v>
      </c>
      <c r="B86" s="76">
        <f t="shared" ref="B86" si="28">IF(B65&lt;0,B65*-1,0)</f>
        <v>389</v>
      </c>
      <c r="C86" s="76">
        <f t="shared" ref="C86:AF86" si="29">IF(C65&lt;0,C65*-1,0)</f>
        <v>386.5</v>
      </c>
      <c r="D86" s="76">
        <f t="shared" si="29"/>
        <v>365</v>
      </c>
      <c r="E86" s="76">
        <f t="shared" si="29"/>
        <v>374</v>
      </c>
      <c r="F86" s="76">
        <f t="shared" si="29"/>
        <v>392.2</v>
      </c>
      <c r="G86" s="76">
        <f t="shared" si="29"/>
        <v>412.1</v>
      </c>
      <c r="H86" s="76">
        <f t="shared" si="29"/>
        <v>392</v>
      </c>
      <c r="I86" s="76">
        <f t="shared" si="29"/>
        <v>429</v>
      </c>
      <c r="J86" s="76">
        <f t="shared" si="29"/>
        <v>412</v>
      </c>
      <c r="K86" s="76">
        <f t="shared" si="29"/>
        <v>414</v>
      </c>
      <c r="L86" s="76">
        <f t="shared" si="29"/>
        <v>385</v>
      </c>
      <c r="M86" s="76">
        <f t="shared" si="29"/>
        <v>374.8</v>
      </c>
      <c r="N86" s="76">
        <f t="shared" si="29"/>
        <v>406.7</v>
      </c>
      <c r="O86" s="76">
        <f t="shared" si="29"/>
        <v>423.2</v>
      </c>
      <c r="P86" s="76">
        <f t="shared" si="29"/>
        <v>423</v>
      </c>
      <c r="Q86" s="76">
        <f t="shared" si="29"/>
        <v>440</v>
      </c>
      <c r="R86" s="76">
        <f t="shared" si="29"/>
        <v>410</v>
      </c>
      <c r="S86" s="76">
        <f t="shared" si="29"/>
        <v>398</v>
      </c>
      <c r="T86" s="76">
        <f t="shared" si="29"/>
        <v>402</v>
      </c>
      <c r="U86" s="76">
        <f t="shared" si="29"/>
        <v>401</v>
      </c>
      <c r="V86" s="76">
        <f t="shared" si="29"/>
        <v>400</v>
      </c>
      <c r="W86" s="76">
        <f t="shared" si="29"/>
        <v>400</v>
      </c>
      <c r="X86" s="76">
        <f t="shared" si="29"/>
        <v>405</v>
      </c>
      <c r="Y86" s="76">
        <f t="shared" si="29"/>
        <v>385</v>
      </c>
      <c r="Z86" s="76">
        <f t="shared" si="29"/>
        <v>365</v>
      </c>
      <c r="AA86" s="76">
        <f t="shared" si="29"/>
        <v>367</v>
      </c>
      <c r="AB86" s="76">
        <f t="shared" si="29"/>
        <v>415</v>
      </c>
      <c r="AC86" s="76">
        <f t="shared" si="29"/>
        <v>410</v>
      </c>
      <c r="AD86" s="76">
        <f t="shared" si="29"/>
        <v>413</v>
      </c>
      <c r="AE86" s="76">
        <f t="shared" si="29"/>
        <v>382</v>
      </c>
      <c r="AF86" s="76">
        <f t="shared" si="29"/>
        <v>411</v>
      </c>
      <c r="AG86" s="86"/>
      <c r="AH86" s="48">
        <f t="shared" si="14"/>
        <v>440</v>
      </c>
      <c r="AI86" s="49">
        <f t="shared" si="15"/>
        <v>365</v>
      </c>
    </row>
    <row r="87" spans="1:37" x14ac:dyDescent="0.25">
      <c r="A87" s="78" t="s">
        <v>71</v>
      </c>
      <c r="B87" s="76">
        <f t="shared" ref="B87" si="30">IF(B63&lt;0,B63*-1,0)</f>
        <v>0</v>
      </c>
      <c r="C87" s="76">
        <f t="shared" ref="C87:AF87" si="31">IF(C63&lt;0,C63*-1,0)</f>
        <v>0</v>
      </c>
      <c r="D87" s="76">
        <f t="shared" si="31"/>
        <v>0</v>
      </c>
      <c r="E87" s="76">
        <f t="shared" si="31"/>
        <v>0</v>
      </c>
      <c r="F87" s="76">
        <f t="shared" si="31"/>
        <v>0</v>
      </c>
      <c r="G87" s="76">
        <f t="shared" si="31"/>
        <v>0</v>
      </c>
      <c r="H87" s="76">
        <f t="shared" si="31"/>
        <v>0</v>
      </c>
      <c r="I87" s="76">
        <f t="shared" si="31"/>
        <v>0</v>
      </c>
      <c r="J87" s="76">
        <f t="shared" si="31"/>
        <v>0</v>
      </c>
      <c r="K87" s="76">
        <f t="shared" si="31"/>
        <v>0</v>
      </c>
      <c r="L87" s="76">
        <f t="shared" si="31"/>
        <v>0</v>
      </c>
      <c r="M87" s="76">
        <f t="shared" si="31"/>
        <v>0</v>
      </c>
      <c r="N87" s="76">
        <f t="shared" si="31"/>
        <v>0</v>
      </c>
      <c r="O87" s="76">
        <f t="shared" si="31"/>
        <v>0</v>
      </c>
      <c r="P87" s="76">
        <f t="shared" si="31"/>
        <v>0</v>
      </c>
      <c r="Q87" s="76">
        <f t="shared" si="31"/>
        <v>0</v>
      </c>
      <c r="R87" s="76">
        <f t="shared" si="31"/>
        <v>0</v>
      </c>
      <c r="S87" s="76">
        <f t="shared" si="31"/>
        <v>0</v>
      </c>
      <c r="T87" s="76">
        <f t="shared" si="31"/>
        <v>0</v>
      </c>
      <c r="U87" s="76">
        <f t="shared" si="31"/>
        <v>0</v>
      </c>
      <c r="V87" s="76">
        <f t="shared" si="31"/>
        <v>0</v>
      </c>
      <c r="W87" s="76">
        <f t="shared" si="31"/>
        <v>0</v>
      </c>
      <c r="X87" s="76">
        <f t="shared" si="31"/>
        <v>0</v>
      </c>
      <c r="Y87" s="76">
        <f t="shared" si="31"/>
        <v>0</v>
      </c>
      <c r="Z87" s="76">
        <f t="shared" si="31"/>
        <v>0</v>
      </c>
      <c r="AA87" s="76">
        <f t="shared" si="31"/>
        <v>0</v>
      </c>
      <c r="AB87" s="76">
        <f t="shared" si="31"/>
        <v>0</v>
      </c>
      <c r="AC87" s="76">
        <f t="shared" si="31"/>
        <v>0</v>
      </c>
      <c r="AD87" s="76">
        <f t="shared" si="31"/>
        <v>0</v>
      </c>
      <c r="AE87" s="76">
        <f t="shared" si="31"/>
        <v>0</v>
      </c>
      <c r="AF87" s="76">
        <f t="shared" si="31"/>
        <v>0</v>
      </c>
      <c r="AG87" s="86"/>
      <c r="AH87" s="48">
        <f t="shared" si="14"/>
        <v>0</v>
      </c>
      <c r="AI87" s="49">
        <f t="shared" si="15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14"/>
        <v>0</v>
      </c>
      <c r="AI88" s="49">
        <f t="shared" si="15"/>
        <v>0</v>
      </c>
    </row>
    <row r="89" spans="1:37" ht="15.75" thickBot="1" x14ac:dyDescent="0.3">
      <c r="A89" s="87" t="s">
        <v>94</v>
      </c>
      <c r="B89" s="61">
        <f t="shared" ref="B89" si="32">SUM(B83:B88)</f>
        <v>389</v>
      </c>
      <c r="C89" s="61">
        <f t="shared" ref="C89:AF89" si="33">SUM(C83:C88)</f>
        <v>386.5</v>
      </c>
      <c r="D89" s="61">
        <f t="shared" si="33"/>
        <v>365</v>
      </c>
      <c r="E89" s="61">
        <f t="shared" si="33"/>
        <v>374</v>
      </c>
      <c r="F89" s="61">
        <f t="shared" si="33"/>
        <v>392.2</v>
      </c>
      <c r="G89" s="61">
        <f t="shared" si="33"/>
        <v>412.1</v>
      </c>
      <c r="H89" s="61">
        <f t="shared" si="33"/>
        <v>392</v>
      </c>
      <c r="I89" s="61">
        <f t="shared" si="33"/>
        <v>429</v>
      </c>
      <c r="J89" s="61">
        <f t="shared" si="33"/>
        <v>412</v>
      </c>
      <c r="K89" s="61">
        <f t="shared" si="33"/>
        <v>414</v>
      </c>
      <c r="L89" s="61">
        <f t="shared" si="33"/>
        <v>385</v>
      </c>
      <c r="M89" s="61">
        <f t="shared" si="33"/>
        <v>374.8</v>
      </c>
      <c r="N89" s="61">
        <f t="shared" si="33"/>
        <v>406.7</v>
      </c>
      <c r="O89" s="61">
        <f t="shared" si="33"/>
        <v>423.2</v>
      </c>
      <c r="P89" s="61">
        <f t="shared" si="33"/>
        <v>423</v>
      </c>
      <c r="Q89" s="61">
        <f t="shared" si="33"/>
        <v>440</v>
      </c>
      <c r="R89" s="61">
        <f t="shared" si="33"/>
        <v>410</v>
      </c>
      <c r="S89" s="61">
        <f t="shared" si="33"/>
        <v>398</v>
      </c>
      <c r="T89" s="61">
        <f t="shared" si="33"/>
        <v>402</v>
      </c>
      <c r="U89" s="61">
        <f t="shared" si="33"/>
        <v>401</v>
      </c>
      <c r="V89" s="61">
        <f t="shared" si="33"/>
        <v>400</v>
      </c>
      <c r="W89" s="61">
        <f t="shared" si="33"/>
        <v>400</v>
      </c>
      <c r="X89" s="61">
        <f t="shared" si="33"/>
        <v>405</v>
      </c>
      <c r="Y89" s="61">
        <f t="shared" si="33"/>
        <v>385</v>
      </c>
      <c r="Z89" s="61">
        <f t="shared" si="33"/>
        <v>365</v>
      </c>
      <c r="AA89" s="61">
        <f t="shared" si="33"/>
        <v>367</v>
      </c>
      <c r="AB89" s="61">
        <f t="shared" si="33"/>
        <v>415</v>
      </c>
      <c r="AC89" s="61">
        <f t="shared" si="33"/>
        <v>410</v>
      </c>
      <c r="AD89" s="61">
        <f t="shared" si="33"/>
        <v>413</v>
      </c>
      <c r="AE89" s="61">
        <f t="shared" si="33"/>
        <v>382</v>
      </c>
      <c r="AF89" s="61">
        <f t="shared" si="33"/>
        <v>411</v>
      </c>
      <c r="AG89" s="81"/>
      <c r="AH89" s="48">
        <f t="shared" si="14"/>
        <v>440</v>
      </c>
      <c r="AI89" s="49">
        <f t="shared" si="15"/>
        <v>365</v>
      </c>
      <c r="AK89" s="50"/>
    </row>
    <row r="90" spans="1:37" ht="15.75" thickBot="1" x14ac:dyDescent="0.3">
      <c r="A90" s="74" t="s">
        <v>95</v>
      </c>
      <c r="B90" s="61">
        <f t="shared" ref="B90:AF90" si="34">B74-B89</f>
        <v>-389</v>
      </c>
      <c r="C90" s="61">
        <f t="shared" si="34"/>
        <v>-386.5</v>
      </c>
      <c r="D90" s="61">
        <f t="shared" si="34"/>
        <v>-365</v>
      </c>
      <c r="E90" s="61">
        <f t="shared" si="34"/>
        <v>-374</v>
      </c>
      <c r="F90" s="61">
        <f t="shared" si="34"/>
        <v>-392.2</v>
      </c>
      <c r="G90" s="61">
        <f t="shared" si="34"/>
        <v>-412.1</v>
      </c>
      <c r="H90" s="61">
        <f t="shared" si="34"/>
        <v>-392</v>
      </c>
      <c r="I90" s="61">
        <f t="shared" si="34"/>
        <v>-429</v>
      </c>
      <c r="J90" s="61">
        <f t="shared" si="34"/>
        <v>-412</v>
      </c>
      <c r="K90" s="61">
        <f t="shared" si="34"/>
        <v>-414</v>
      </c>
      <c r="L90" s="61">
        <f t="shared" si="34"/>
        <v>-385</v>
      </c>
      <c r="M90" s="61">
        <f t="shared" si="34"/>
        <v>-374.8</v>
      </c>
      <c r="N90" s="61">
        <f t="shared" si="34"/>
        <v>-406.7</v>
      </c>
      <c r="O90" s="61">
        <f t="shared" si="34"/>
        <v>-423.2</v>
      </c>
      <c r="P90" s="61">
        <f t="shared" si="34"/>
        <v>-423</v>
      </c>
      <c r="Q90" s="61">
        <f t="shared" si="34"/>
        <v>-440</v>
      </c>
      <c r="R90" s="61">
        <f t="shared" si="34"/>
        <v>-410</v>
      </c>
      <c r="S90" s="61">
        <f t="shared" si="34"/>
        <v>-398</v>
      </c>
      <c r="T90" s="61">
        <f t="shared" si="34"/>
        <v>-402</v>
      </c>
      <c r="U90" s="61">
        <f t="shared" si="34"/>
        <v>-401</v>
      </c>
      <c r="V90" s="61">
        <f t="shared" si="34"/>
        <v>-400</v>
      </c>
      <c r="W90" s="61">
        <f t="shared" si="34"/>
        <v>-400</v>
      </c>
      <c r="X90" s="61">
        <f t="shared" si="34"/>
        <v>-405</v>
      </c>
      <c r="Y90" s="61">
        <f t="shared" si="34"/>
        <v>-385</v>
      </c>
      <c r="Z90" s="61">
        <f t="shared" si="34"/>
        <v>-365</v>
      </c>
      <c r="AA90" s="61">
        <f t="shared" si="34"/>
        <v>-367</v>
      </c>
      <c r="AB90" s="61">
        <f t="shared" si="34"/>
        <v>-415</v>
      </c>
      <c r="AC90" s="61">
        <f t="shared" si="34"/>
        <v>-410</v>
      </c>
      <c r="AD90" s="61">
        <f t="shared" si="34"/>
        <v>-413</v>
      </c>
      <c r="AE90" s="61">
        <f t="shared" si="34"/>
        <v>-382</v>
      </c>
      <c r="AF90" s="61">
        <f t="shared" si="34"/>
        <v>-411</v>
      </c>
      <c r="AG90" s="81"/>
      <c r="AH90" s="48">
        <f t="shared" si="14"/>
        <v>-365</v>
      </c>
      <c r="AI90" s="49">
        <f t="shared" si="15"/>
        <v>-440</v>
      </c>
    </row>
    <row r="91" spans="1:37" x14ac:dyDescent="0.25">
      <c r="A91" s="88" t="s">
        <v>96</v>
      </c>
      <c r="B91" s="89">
        <v>50.042000000000002</v>
      </c>
      <c r="C91" s="89">
        <v>50.000999999999998</v>
      </c>
      <c r="D91" s="89">
        <v>49.98</v>
      </c>
      <c r="E91" s="89">
        <v>50</v>
      </c>
      <c r="F91" s="89">
        <v>50.03</v>
      </c>
      <c r="G91" s="89">
        <v>50.034999999999997</v>
      </c>
      <c r="H91" s="89">
        <v>50.04</v>
      </c>
      <c r="I91" s="89">
        <v>50.021999999999998</v>
      </c>
      <c r="J91" s="89">
        <v>49.981999999999999</v>
      </c>
      <c r="K91" s="89">
        <v>49.945</v>
      </c>
      <c r="L91" s="89">
        <v>50.02</v>
      </c>
      <c r="M91" s="89">
        <v>50.107999999999997</v>
      </c>
      <c r="N91" s="89">
        <v>50.029000000000003</v>
      </c>
      <c r="O91" s="89">
        <v>49.981999999999999</v>
      </c>
      <c r="P91" s="89">
        <v>50.055</v>
      </c>
      <c r="Q91" s="89">
        <v>50.121000000000002</v>
      </c>
      <c r="R91" s="89">
        <v>50.140999999999998</v>
      </c>
      <c r="S91" s="89">
        <v>50.116</v>
      </c>
      <c r="T91" s="89">
        <v>50.04</v>
      </c>
      <c r="U91" s="89">
        <v>49.85</v>
      </c>
      <c r="V91" s="89">
        <v>50.048999999999999</v>
      </c>
      <c r="W91" s="89">
        <v>50.048999999999999</v>
      </c>
      <c r="X91" s="89">
        <v>50.048999999999999</v>
      </c>
      <c r="Y91" s="89">
        <v>50.048999999999999</v>
      </c>
      <c r="Z91" s="89">
        <v>50.067</v>
      </c>
      <c r="AA91" s="89">
        <v>50.058999999999997</v>
      </c>
      <c r="AB91" s="89">
        <v>50.034999999999997</v>
      </c>
      <c r="AC91" s="89">
        <v>49.972999999999999</v>
      </c>
      <c r="AD91" s="89">
        <v>50.042000000000002</v>
      </c>
      <c r="AE91" s="89">
        <v>50.023000000000003</v>
      </c>
      <c r="AF91" s="89">
        <v>49.997</v>
      </c>
      <c r="AG91" s="90"/>
      <c r="AH91" s="48">
        <f t="shared" si="14"/>
        <v>50.140999999999998</v>
      </c>
      <c r="AI91" s="49">
        <f t="shared" si="15"/>
        <v>49.85</v>
      </c>
    </row>
    <row r="92" spans="1:37" x14ac:dyDescent="0.25">
      <c r="A92" s="91" t="s">
        <v>97</v>
      </c>
      <c r="B92" s="65">
        <v>128.6</v>
      </c>
      <c r="C92" s="65">
        <v>128.19999999999999</v>
      </c>
      <c r="D92" s="65">
        <v>128.19999999999999</v>
      </c>
      <c r="E92" s="65">
        <v>128.6</v>
      </c>
      <c r="F92" s="65">
        <v>127.8</v>
      </c>
      <c r="G92" s="65">
        <v>128.4</v>
      </c>
      <c r="H92" s="65">
        <v>128.5</v>
      </c>
      <c r="I92" s="65">
        <v>127.8</v>
      </c>
      <c r="J92" s="65">
        <v>127.4</v>
      </c>
      <c r="K92" s="65">
        <v>126.2</v>
      </c>
      <c r="L92" s="65">
        <v>126.5</v>
      </c>
      <c r="M92" s="65">
        <v>127.3</v>
      </c>
      <c r="N92" s="65">
        <v>127</v>
      </c>
      <c r="O92" s="65">
        <v>127.4</v>
      </c>
      <c r="P92" s="65">
        <v>127.7</v>
      </c>
      <c r="Q92" s="65">
        <v>127.5</v>
      </c>
      <c r="R92" s="65">
        <v>129.30000000000001</v>
      </c>
      <c r="S92" s="65">
        <v>129.6</v>
      </c>
      <c r="T92" s="65">
        <v>128.5</v>
      </c>
      <c r="U92" s="65">
        <v>128.5</v>
      </c>
      <c r="V92" s="65">
        <v>128.5</v>
      </c>
      <c r="W92" s="65">
        <v>128.5</v>
      </c>
      <c r="X92" s="65">
        <v>128.5</v>
      </c>
      <c r="Y92" s="65">
        <v>128.5</v>
      </c>
      <c r="Z92" s="65">
        <v>127.9</v>
      </c>
      <c r="AA92" s="65">
        <v>128.19999999999999</v>
      </c>
      <c r="AB92" s="65">
        <v>127.7</v>
      </c>
      <c r="AC92" s="65">
        <v>127.7</v>
      </c>
      <c r="AD92" s="65">
        <v>129.4</v>
      </c>
      <c r="AE92" s="65">
        <v>129.5</v>
      </c>
      <c r="AF92" s="65">
        <v>129.4</v>
      </c>
      <c r="AG92" s="92"/>
      <c r="AH92" s="48">
        <f t="shared" si="14"/>
        <v>129.6</v>
      </c>
      <c r="AI92" s="49">
        <f t="shared" si="15"/>
        <v>126.2</v>
      </c>
    </row>
    <row r="93" spans="1:37" x14ac:dyDescent="0.25">
      <c r="A93" s="91" t="s">
        <v>98</v>
      </c>
      <c r="B93" s="65">
        <v>132.1</v>
      </c>
      <c r="C93" s="65">
        <v>131.9</v>
      </c>
      <c r="D93" s="65">
        <v>131.80000000000001</v>
      </c>
      <c r="E93" s="65">
        <v>132.19999999999999</v>
      </c>
      <c r="F93" s="65">
        <v>131.6</v>
      </c>
      <c r="G93" s="65">
        <v>131.80000000000001</v>
      </c>
      <c r="H93" s="65">
        <v>131.69999999999999</v>
      </c>
      <c r="I93" s="65">
        <v>131</v>
      </c>
      <c r="J93" s="65">
        <v>130.19999999999999</v>
      </c>
      <c r="K93" s="65">
        <v>129</v>
      </c>
      <c r="L93" s="65">
        <v>129.30000000000001</v>
      </c>
      <c r="M93" s="65">
        <v>129.6</v>
      </c>
      <c r="N93" s="65">
        <v>129.4</v>
      </c>
      <c r="O93" s="65">
        <v>129.9</v>
      </c>
      <c r="P93" s="65">
        <v>129.9</v>
      </c>
      <c r="Q93" s="65">
        <v>129.9</v>
      </c>
      <c r="R93" s="65">
        <v>131.1</v>
      </c>
      <c r="S93" s="65">
        <v>131.5</v>
      </c>
      <c r="T93" s="65">
        <v>130.9</v>
      </c>
      <c r="U93" s="65">
        <v>131</v>
      </c>
      <c r="V93" s="65">
        <v>131</v>
      </c>
      <c r="W93" s="65">
        <v>131</v>
      </c>
      <c r="X93" s="65">
        <v>131</v>
      </c>
      <c r="Y93" s="65">
        <v>131</v>
      </c>
      <c r="Z93" s="65">
        <v>129.69999999999999</v>
      </c>
      <c r="AA93" s="65">
        <v>129.9</v>
      </c>
      <c r="AB93" s="65">
        <v>129.69999999999999</v>
      </c>
      <c r="AC93" s="65">
        <v>129.9</v>
      </c>
      <c r="AD93" s="65">
        <v>131.6</v>
      </c>
      <c r="AE93" s="65">
        <v>132.4</v>
      </c>
      <c r="AF93" s="65">
        <v>132.5</v>
      </c>
      <c r="AG93" s="92"/>
      <c r="AH93" s="48">
        <f t="shared" si="14"/>
        <v>132.5</v>
      </c>
      <c r="AI93" s="49">
        <f t="shared" si="15"/>
        <v>129</v>
      </c>
    </row>
    <row r="94" spans="1:37" x14ac:dyDescent="0.25">
      <c r="A94" s="91" t="s">
        <v>99</v>
      </c>
      <c r="B94" s="65">
        <v>131.5</v>
      </c>
      <c r="C94" s="65">
        <v>131.19999999999999</v>
      </c>
      <c r="D94" s="65">
        <v>132.30000000000001</v>
      </c>
      <c r="E94" s="65">
        <v>132.80000000000001</v>
      </c>
      <c r="F94" s="65">
        <v>131.9</v>
      </c>
      <c r="G94" s="65">
        <v>131.80000000000001</v>
      </c>
      <c r="H94" s="65">
        <v>132</v>
      </c>
      <c r="I94" s="65">
        <v>131.4</v>
      </c>
      <c r="J94" s="65">
        <v>130.4</v>
      </c>
      <c r="K94" s="65">
        <v>129.1</v>
      </c>
      <c r="L94" s="65">
        <v>128.69999999999999</v>
      </c>
      <c r="M94" s="65">
        <v>129.6</v>
      </c>
      <c r="N94" s="65">
        <v>130.19999999999999</v>
      </c>
      <c r="O94" s="65">
        <v>129.69999999999999</v>
      </c>
      <c r="P94" s="65">
        <v>128.9</v>
      </c>
      <c r="Q94" s="65">
        <v>129.30000000000001</v>
      </c>
      <c r="R94" s="65">
        <v>131.30000000000001</v>
      </c>
      <c r="S94" s="65">
        <v>132.19999999999999</v>
      </c>
      <c r="T94" s="65">
        <v>132.4</v>
      </c>
      <c r="U94" s="65">
        <v>132.19999999999999</v>
      </c>
      <c r="V94" s="65">
        <v>132.19999999999999</v>
      </c>
      <c r="W94" s="65">
        <v>132.19999999999999</v>
      </c>
      <c r="X94" s="65">
        <v>132.19999999999999</v>
      </c>
      <c r="Y94" s="65">
        <v>132.19999999999999</v>
      </c>
      <c r="Z94" s="65">
        <v>130.69999999999999</v>
      </c>
      <c r="AA94" s="65">
        <v>131.19999999999999</v>
      </c>
      <c r="AB94" s="65">
        <v>131</v>
      </c>
      <c r="AC94" s="65">
        <v>131.1</v>
      </c>
      <c r="AD94" s="65">
        <v>132.1</v>
      </c>
      <c r="AE94" s="65">
        <v>131.19999999999999</v>
      </c>
      <c r="AF94" s="65">
        <v>131.5</v>
      </c>
      <c r="AG94" s="92"/>
      <c r="AH94" s="48">
        <f t="shared" si="14"/>
        <v>132.80000000000001</v>
      </c>
      <c r="AI94" s="49">
        <f t="shared" si="15"/>
        <v>128.69999999999999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14"/>
        <v>0</v>
      </c>
      <c r="AI95" s="49">
        <f t="shared" si="15"/>
        <v>0</v>
      </c>
    </row>
    <row r="96" spans="1:37" x14ac:dyDescent="0.25">
      <c r="A96" s="93" t="s">
        <v>101</v>
      </c>
      <c r="B96" s="94">
        <v>132.5</v>
      </c>
      <c r="C96" s="94">
        <v>133</v>
      </c>
      <c r="D96" s="94">
        <v>134.1</v>
      </c>
      <c r="E96" s="94">
        <v>135.19999999999999</v>
      </c>
      <c r="F96" s="94">
        <v>134</v>
      </c>
      <c r="G96" s="94">
        <v>134.5</v>
      </c>
      <c r="H96" s="94">
        <v>133.6</v>
      </c>
      <c r="I96" s="94">
        <v>131.9</v>
      </c>
      <c r="J96" s="94">
        <v>131.5</v>
      </c>
      <c r="K96" s="94">
        <v>131.4</v>
      </c>
      <c r="L96" s="94">
        <v>130.9</v>
      </c>
      <c r="M96" s="94">
        <v>133.4</v>
      </c>
      <c r="N96" s="94">
        <v>132.6</v>
      </c>
      <c r="O96" s="94">
        <v>133.80000000000001</v>
      </c>
      <c r="P96" s="94">
        <v>134.30000000000001</v>
      </c>
      <c r="Q96" s="94">
        <v>134.30000000000001</v>
      </c>
      <c r="R96" s="94">
        <v>135.6</v>
      </c>
      <c r="S96" s="94">
        <v>135.19999999999999</v>
      </c>
      <c r="T96" s="94">
        <v>134.69999999999999</v>
      </c>
      <c r="U96" s="94">
        <v>134.1</v>
      </c>
      <c r="V96" s="94">
        <v>134.1</v>
      </c>
      <c r="W96" s="94">
        <v>134.1</v>
      </c>
      <c r="X96" s="94">
        <v>134.1</v>
      </c>
      <c r="Y96" s="94">
        <v>134.1</v>
      </c>
      <c r="Z96" s="94">
        <v>134.6</v>
      </c>
      <c r="AA96" s="94">
        <v>134</v>
      </c>
      <c r="AB96" s="94">
        <v>133</v>
      </c>
      <c r="AC96" s="94">
        <v>134.19999999999999</v>
      </c>
      <c r="AD96" s="94">
        <v>135</v>
      </c>
      <c r="AE96" s="94">
        <v>135.5</v>
      </c>
      <c r="AF96" s="94">
        <v>135.1</v>
      </c>
      <c r="AG96" s="95"/>
      <c r="AH96" s="48">
        <f t="shared" si="14"/>
        <v>135.6</v>
      </c>
      <c r="AI96" s="49">
        <f t="shared" si="15"/>
        <v>130.9</v>
      </c>
    </row>
    <row r="97" spans="1:37" x14ac:dyDescent="0.25">
      <c r="A97" s="91" t="s">
        <v>102</v>
      </c>
      <c r="B97" s="65">
        <v>131.69999999999999</v>
      </c>
      <c r="C97" s="65">
        <v>133</v>
      </c>
      <c r="D97" s="65">
        <v>132.9</v>
      </c>
      <c r="E97" s="65">
        <v>131.19999999999999</v>
      </c>
      <c r="F97" s="65">
        <v>131</v>
      </c>
      <c r="G97" s="65">
        <v>131.4</v>
      </c>
      <c r="H97" s="65">
        <v>129.30000000000001</v>
      </c>
      <c r="I97" s="65">
        <v>128.5</v>
      </c>
      <c r="J97" s="65">
        <v>128.4</v>
      </c>
      <c r="K97" s="65">
        <v>129.6</v>
      </c>
      <c r="L97" s="65">
        <v>128.69999999999999</v>
      </c>
      <c r="M97" s="65">
        <v>131.6</v>
      </c>
      <c r="N97" s="65">
        <v>131.4</v>
      </c>
      <c r="O97" s="65">
        <v>132.5</v>
      </c>
      <c r="P97" s="65">
        <v>133.6</v>
      </c>
      <c r="Q97" s="65">
        <v>135</v>
      </c>
      <c r="R97" s="65">
        <v>135.69999999999999</v>
      </c>
      <c r="S97" s="65">
        <v>133.6</v>
      </c>
      <c r="T97" s="65">
        <v>133.5</v>
      </c>
      <c r="U97" s="65">
        <v>132.30000000000001</v>
      </c>
      <c r="V97" s="65">
        <v>132.30000000000001</v>
      </c>
      <c r="W97" s="65">
        <v>132.30000000000001</v>
      </c>
      <c r="X97" s="65">
        <v>132.30000000000001</v>
      </c>
      <c r="Y97" s="65">
        <v>132.30000000000001</v>
      </c>
      <c r="Z97" s="65">
        <v>134.30000000000001</v>
      </c>
      <c r="AA97" s="65">
        <v>134.5</v>
      </c>
      <c r="AB97" s="65">
        <v>133</v>
      </c>
      <c r="AC97" s="65">
        <v>134.30000000000001</v>
      </c>
      <c r="AD97" s="65">
        <v>132.80000000000001</v>
      </c>
      <c r="AE97" s="65">
        <v>132.9</v>
      </c>
      <c r="AF97" s="65">
        <v>133.5</v>
      </c>
      <c r="AG97" s="92"/>
      <c r="AH97" s="48">
        <f t="shared" si="14"/>
        <v>135.69999999999999</v>
      </c>
      <c r="AI97" s="49">
        <f t="shared" si="15"/>
        <v>128.4</v>
      </c>
    </row>
    <row r="98" spans="1:37" ht="15.75" thickBot="1" x14ac:dyDescent="0.3">
      <c r="A98" s="91" t="s">
        <v>103</v>
      </c>
      <c r="B98" s="96">
        <v>66.7</v>
      </c>
      <c r="C98" s="96">
        <v>66.8</v>
      </c>
      <c r="D98" s="96">
        <v>66.7</v>
      </c>
      <c r="E98" s="96">
        <v>67</v>
      </c>
      <c r="F98" s="96">
        <v>66.599999999999994</v>
      </c>
      <c r="G98" s="96">
        <v>66.7</v>
      </c>
      <c r="H98" s="96">
        <v>66.599999999999994</v>
      </c>
      <c r="I98" s="96">
        <v>66.2</v>
      </c>
      <c r="J98" s="96">
        <v>65.7</v>
      </c>
      <c r="K98" s="96">
        <v>65.099999999999994</v>
      </c>
      <c r="L98" s="96">
        <v>65.5</v>
      </c>
      <c r="M98" s="96">
        <v>65.5</v>
      </c>
      <c r="N98" s="96">
        <v>65.400000000000006</v>
      </c>
      <c r="O98" s="96">
        <v>65.5</v>
      </c>
      <c r="P98" s="96">
        <v>65.2</v>
      </c>
      <c r="Q98" s="96">
        <v>65.3</v>
      </c>
      <c r="R98" s="96">
        <v>65.900000000000006</v>
      </c>
      <c r="S98" s="96">
        <v>66.099999999999994</v>
      </c>
      <c r="T98" s="96">
        <v>66.2</v>
      </c>
      <c r="U98" s="96">
        <v>66.3</v>
      </c>
      <c r="V98" s="96">
        <v>66.3</v>
      </c>
      <c r="W98" s="96">
        <v>66.3</v>
      </c>
      <c r="X98" s="96">
        <v>66.3</v>
      </c>
      <c r="Y98" s="96">
        <v>66.3</v>
      </c>
      <c r="Z98" s="96">
        <v>65.5</v>
      </c>
      <c r="AA98" s="96">
        <v>65.7</v>
      </c>
      <c r="AB98" s="96">
        <v>65.400000000000006</v>
      </c>
      <c r="AC98" s="96">
        <v>65.5</v>
      </c>
      <c r="AD98" s="96">
        <v>66.599999999999994</v>
      </c>
      <c r="AE98" s="96">
        <v>66.900000000000006</v>
      </c>
      <c r="AF98" s="96">
        <v>67.099999999999994</v>
      </c>
      <c r="AG98" s="97"/>
      <c r="AH98" s="48">
        <f t="shared" si="14"/>
        <v>67.099999999999994</v>
      </c>
      <c r="AI98" s="49">
        <f t="shared" si="15"/>
        <v>65.099999999999994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14"/>
        <v>0</v>
      </c>
      <c r="AI99" s="49">
        <f t="shared" si="15"/>
        <v>0</v>
      </c>
    </row>
    <row r="100" spans="1:37" ht="15.75" thickBot="1" x14ac:dyDescent="0.3">
      <c r="A100" s="99" t="s">
        <v>104</v>
      </c>
      <c r="B100" s="100">
        <f t="shared" ref="B100:AF100" si="35">SUM(B15,B20,B22:B23,B48,B50:B51,B53,B55,B101:B105,B127,B133,B139,B148,B150,B162,B169,B172:B173,B180,B182,B184,B188:B190,B192:B194,B199,B205:B206,B208:B210,B218,B223)</f>
        <v>49.70000000000001</v>
      </c>
      <c r="C100" s="100">
        <f t="shared" si="35"/>
        <v>48.04000000000002</v>
      </c>
      <c r="D100" s="100">
        <f t="shared" si="35"/>
        <v>38.94</v>
      </c>
      <c r="E100" s="100">
        <f t="shared" si="35"/>
        <v>74.14</v>
      </c>
      <c r="F100" s="100">
        <f t="shared" si="35"/>
        <v>81.54000000000002</v>
      </c>
      <c r="G100" s="100">
        <f t="shared" si="35"/>
        <v>97.339999999999989</v>
      </c>
      <c r="H100" s="100">
        <f t="shared" si="35"/>
        <v>115.24</v>
      </c>
      <c r="I100" s="100">
        <f t="shared" si="35"/>
        <v>115.13999999999999</v>
      </c>
      <c r="J100" s="100">
        <f t="shared" si="35"/>
        <v>132.44</v>
      </c>
      <c r="K100" s="100">
        <f t="shared" si="35"/>
        <v>134.73999999999998</v>
      </c>
      <c r="L100" s="100">
        <f t="shared" si="35"/>
        <v>158.73999999999998</v>
      </c>
      <c r="M100" s="100">
        <f t="shared" si="35"/>
        <v>151.44</v>
      </c>
      <c r="N100" s="100">
        <f>SUM(N15,N20,N22:N23,N48,N50:N51,N53,N55,N101:N105,N127,N133,N139,N148,N150,N162,N169,N172:N173,N180,N182,N184,N188:N190,N192:N194,N199,N205:N206,N208:N210,N218,N223)</f>
        <v>142.13999999999999</v>
      </c>
      <c r="O100" s="100">
        <f>SUM(O15,O20,O22:O23,O48,O50:O51,O53,O55,O101:O105,O127,O133,O139,O148,O150,O162,O169,O172:O173,O180,O182,O184,O188:O190,O192:O194,O199,O205:O206,O208:O210,O218,O223)</f>
        <v>138.84</v>
      </c>
      <c r="P100" s="100">
        <f t="shared" si="35"/>
        <v>120.74000000000002</v>
      </c>
      <c r="Q100" s="100">
        <f t="shared" si="35"/>
        <v>104.60000000000002</v>
      </c>
      <c r="R100" s="100">
        <f t="shared" si="35"/>
        <v>126.40000000000002</v>
      </c>
      <c r="S100" s="100">
        <f t="shared" si="35"/>
        <v>129.08999999999997</v>
      </c>
      <c r="T100" s="100">
        <f t="shared" si="35"/>
        <v>130.4</v>
      </c>
      <c r="U100" s="100">
        <f t="shared" si="35"/>
        <v>130.20000000000002</v>
      </c>
      <c r="V100" s="100">
        <f t="shared" si="35"/>
        <v>142.50000000000003</v>
      </c>
      <c r="W100" s="100">
        <f t="shared" si="35"/>
        <v>142.50000000000003</v>
      </c>
      <c r="X100" s="100">
        <f t="shared" si="35"/>
        <v>210.19999999999996</v>
      </c>
      <c r="Y100" s="100">
        <f t="shared" si="35"/>
        <v>272.5</v>
      </c>
      <c r="Z100" s="100">
        <f t="shared" si="35"/>
        <v>270</v>
      </c>
      <c r="AA100" s="100">
        <f t="shared" si="35"/>
        <v>252.2</v>
      </c>
      <c r="AB100" s="100">
        <f t="shared" si="35"/>
        <v>231.79999999999998</v>
      </c>
      <c r="AC100" s="100">
        <f t="shared" si="35"/>
        <v>259.40000000000003</v>
      </c>
      <c r="AD100" s="100">
        <f t="shared" si="35"/>
        <v>202.70000000000002</v>
      </c>
      <c r="AE100" s="100">
        <f t="shared" si="35"/>
        <v>147.6</v>
      </c>
      <c r="AF100" s="100">
        <f t="shared" si="35"/>
        <v>116.4</v>
      </c>
      <c r="AG100" s="101"/>
      <c r="AH100" s="48">
        <f t="shared" si="14"/>
        <v>272.5</v>
      </c>
      <c r="AI100" s="49">
        <f t="shared" si="15"/>
        <v>38.94</v>
      </c>
    </row>
    <row r="101" spans="1:37" x14ac:dyDescent="0.25">
      <c r="A101" s="88" t="s">
        <v>105</v>
      </c>
      <c r="B101" s="102">
        <v>19.899999999999999</v>
      </c>
      <c r="C101" s="102">
        <v>25.2</v>
      </c>
      <c r="D101" s="102">
        <v>22.4</v>
      </c>
      <c r="E101" s="102">
        <v>29.5</v>
      </c>
      <c r="F101" s="102">
        <v>37.4</v>
      </c>
      <c r="G101" s="102">
        <v>40.799999999999997</v>
      </c>
      <c r="H101" s="102">
        <v>42.8</v>
      </c>
      <c r="I101" s="102">
        <v>41.8</v>
      </c>
      <c r="J101" s="102">
        <v>43.4</v>
      </c>
      <c r="K101" s="102">
        <v>43.5</v>
      </c>
      <c r="L101" s="102">
        <v>47.9</v>
      </c>
      <c r="M101" s="102">
        <v>35.5</v>
      </c>
      <c r="N101" s="102">
        <v>33.299999999999997</v>
      </c>
      <c r="O101" s="102">
        <v>33.9</v>
      </c>
      <c r="P101" s="102">
        <v>33.799999999999997</v>
      </c>
      <c r="Q101" s="102">
        <v>38</v>
      </c>
      <c r="R101" s="102">
        <v>38</v>
      </c>
      <c r="S101" s="102">
        <v>35.299999999999997</v>
      </c>
      <c r="T101" s="102">
        <v>39.9</v>
      </c>
      <c r="U101" s="102">
        <v>38.200000000000003</v>
      </c>
      <c r="V101" s="102">
        <v>47.7</v>
      </c>
      <c r="W101" s="102">
        <v>47.7</v>
      </c>
      <c r="X101" s="102">
        <v>52.1</v>
      </c>
      <c r="Y101" s="102">
        <v>44.9</v>
      </c>
      <c r="Z101" s="102">
        <v>43.1</v>
      </c>
      <c r="AA101" s="102">
        <v>41.3</v>
      </c>
      <c r="AB101" s="102">
        <v>46.7</v>
      </c>
      <c r="AC101" s="102">
        <v>50.2</v>
      </c>
      <c r="AD101" s="102">
        <v>40</v>
      </c>
      <c r="AE101" s="102">
        <v>36.6</v>
      </c>
      <c r="AF101" s="102">
        <v>33.1</v>
      </c>
      <c r="AG101" s="103">
        <v>75</v>
      </c>
      <c r="AH101" s="48">
        <f t="shared" si="14"/>
        <v>52.1</v>
      </c>
      <c r="AI101" s="49">
        <f t="shared" si="15"/>
        <v>19.899999999999999</v>
      </c>
    </row>
    <row r="102" spans="1:37" x14ac:dyDescent="0.25">
      <c r="A102" s="91" t="s">
        <v>106</v>
      </c>
      <c r="B102" s="104">
        <v>39.4</v>
      </c>
      <c r="C102" s="104">
        <v>46.2</v>
      </c>
      <c r="D102" s="104">
        <v>41.9</v>
      </c>
      <c r="E102" s="104">
        <v>51.5</v>
      </c>
      <c r="F102" s="104">
        <v>60.6</v>
      </c>
      <c r="G102" s="104">
        <v>61.9</v>
      </c>
      <c r="H102" s="104">
        <v>63.3</v>
      </c>
      <c r="I102" s="104">
        <v>62.1</v>
      </c>
      <c r="J102" s="104">
        <v>65.400000000000006</v>
      </c>
      <c r="K102" s="104">
        <v>65.3</v>
      </c>
      <c r="L102" s="104">
        <v>70</v>
      </c>
      <c r="M102" s="104">
        <v>50.2</v>
      </c>
      <c r="N102" s="104">
        <v>48.5</v>
      </c>
      <c r="O102" s="104">
        <v>48.4</v>
      </c>
      <c r="P102" s="104">
        <v>48.5</v>
      </c>
      <c r="Q102" s="104">
        <v>54</v>
      </c>
      <c r="R102" s="104">
        <v>58</v>
      </c>
      <c r="S102" s="104">
        <v>53.5</v>
      </c>
      <c r="T102" s="104">
        <v>59.7</v>
      </c>
      <c r="U102" s="104">
        <v>57.6</v>
      </c>
      <c r="V102" s="104">
        <v>67.8</v>
      </c>
      <c r="W102" s="104">
        <v>67.8</v>
      </c>
      <c r="X102" s="104">
        <v>74.3</v>
      </c>
      <c r="Y102" s="104">
        <v>61.7</v>
      </c>
      <c r="Z102" s="104">
        <v>58.8</v>
      </c>
      <c r="AA102" s="104">
        <v>56.3</v>
      </c>
      <c r="AB102" s="104">
        <v>64.2</v>
      </c>
      <c r="AC102" s="104">
        <v>69.2</v>
      </c>
      <c r="AD102" s="104">
        <v>56.2</v>
      </c>
      <c r="AE102" s="104">
        <v>54.4</v>
      </c>
      <c r="AF102" s="104">
        <v>54</v>
      </c>
      <c r="AG102" s="103">
        <v>240</v>
      </c>
      <c r="AH102" s="48">
        <f t="shared" si="14"/>
        <v>74.3</v>
      </c>
      <c r="AI102" s="49">
        <f t="shared" si="15"/>
        <v>39.4</v>
      </c>
    </row>
    <row r="103" spans="1:37" x14ac:dyDescent="0.25">
      <c r="A103" s="91" t="s">
        <v>107</v>
      </c>
      <c r="B103" s="104">
        <f>-65-68</f>
        <v>-133</v>
      </c>
      <c r="C103" s="104">
        <f>-66-70</f>
        <v>-136</v>
      </c>
      <c r="D103" s="104">
        <f>-64-68</f>
        <v>-132</v>
      </c>
      <c r="E103" s="104">
        <f>-57.9-60.8</f>
        <v>-118.69999999999999</v>
      </c>
      <c r="F103" s="104">
        <f>-61.4-65.3</f>
        <v>-126.69999999999999</v>
      </c>
      <c r="G103" s="104">
        <f>-57.1-59.8</f>
        <v>-116.9</v>
      </c>
      <c r="H103" s="104">
        <f>-50.7-54.2</f>
        <v>-104.9</v>
      </c>
      <c r="I103" s="104">
        <f>-51.2-54.9</f>
        <v>-106.1</v>
      </c>
      <c r="J103" s="104">
        <f>-45-49.5</f>
        <v>-94.5</v>
      </c>
      <c r="K103" s="104">
        <f>-45.7-48.8</f>
        <v>-94.5</v>
      </c>
      <c r="L103" s="104">
        <f>-35-37.6</f>
        <v>-72.599999999999994</v>
      </c>
      <c r="M103" s="104">
        <v>-75</v>
      </c>
      <c r="N103" s="104">
        <v>-85</v>
      </c>
      <c r="O103" s="104">
        <v>-89</v>
      </c>
      <c r="P103" s="104">
        <v>-115</v>
      </c>
      <c r="Q103" s="104">
        <v>-135</v>
      </c>
      <c r="R103" s="104">
        <v>-102</v>
      </c>
      <c r="S103" s="104">
        <v>-91.6</v>
      </c>
      <c r="T103" s="104">
        <f>-43.1-46.3</f>
        <v>-89.4</v>
      </c>
      <c r="U103" s="104">
        <f>-41.9-44.7</f>
        <v>-86.6</v>
      </c>
      <c r="V103" s="104">
        <v>-105</v>
      </c>
      <c r="W103" s="104">
        <v>-105</v>
      </c>
      <c r="X103" s="104">
        <v>-81.3</v>
      </c>
      <c r="Y103" s="104">
        <f>-11.9-13.8</f>
        <v>-25.700000000000003</v>
      </c>
      <c r="Z103" s="104">
        <v>-24</v>
      </c>
      <c r="AA103" s="104">
        <v>-22</v>
      </c>
      <c r="AB103" s="104">
        <v>-52.8</v>
      </c>
      <c r="AC103" s="104">
        <v>-31.7</v>
      </c>
      <c r="AD103" s="104">
        <f>-31.2-33.7</f>
        <v>-64.900000000000006</v>
      </c>
      <c r="AE103" s="104">
        <f>-46-49</f>
        <v>-95</v>
      </c>
      <c r="AF103" s="104">
        <f>-55-59</f>
        <v>-114</v>
      </c>
      <c r="AG103" s="103">
        <v>240</v>
      </c>
      <c r="AH103" s="48">
        <f t="shared" si="14"/>
        <v>-22</v>
      </c>
      <c r="AI103" s="49">
        <f t="shared" si="15"/>
        <v>-136</v>
      </c>
    </row>
    <row r="104" spans="1:37" x14ac:dyDescent="0.25">
      <c r="A104" s="91" t="s">
        <v>108</v>
      </c>
      <c r="B104" s="104">
        <v>-0.6</v>
      </c>
      <c r="C104" s="104">
        <v>-10.5</v>
      </c>
      <c r="D104" s="104">
        <v>-13.5</v>
      </c>
      <c r="E104" s="104">
        <v>-8.3000000000000007</v>
      </c>
      <c r="F104" s="104">
        <v>-9.6</v>
      </c>
      <c r="G104" s="104">
        <v>-8.3000000000000007</v>
      </c>
      <c r="H104" s="104">
        <v>-6.3</v>
      </c>
      <c r="I104" s="104">
        <v>3.5</v>
      </c>
      <c r="J104" s="104">
        <v>4.0999999999999996</v>
      </c>
      <c r="K104" s="104">
        <v>6.4</v>
      </c>
      <c r="L104" s="104">
        <v>9.1999999999999993</v>
      </c>
      <c r="M104" s="104">
        <v>8.1999999999999993</v>
      </c>
      <c r="N104" s="104">
        <v>8.8000000000000007</v>
      </c>
      <c r="O104" s="104">
        <v>7</v>
      </c>
      <c r="P104" s="104">
        <v>16.7</v>
      </c>
      <c r="Q104" s="104">
        <v>17</v>
      </c>
      <c r="R104" s="104">
        <v>15.8</v>
      </c>
      <c r="S104" s="104">
        <v>14.6</v>
      </c>
      <c r="T104" s="104">
        <v>6</v>
      </c>
      <c r="U104" s="104">
        <v>6.8</v>
      </c>
      <c r="V104" s="104">
        <v>5.9</v>
      </c>
      <c r="W104" s="104">
        <v>5.9</v>
      </c>
      <c r="X104" s="104">
        <v>9.6</v>
      </c>
      <c r="Y104" s="104">
        <v>16.5</v>
      </c>
      <c r="Z104" s="104">
        <v>16.5</v>
      </c>
      <c r="AA104" s="104">
        <v>16</v>
      </c>
      <c r="AB104" s="104">
        <v>13.1</v>
      </c>
      <c r="AC104" s="104">
        <v>11.1</v>
      </c>
      <c r="AD104" s="104">
        <v>10.8</v>
      </c>
      <c r="AE104" s="104">
        <v>5.0999999999999996</v>
      </c>
      <c r="AF104" s="104">
        <v>1.9</v>
      </c>
      <c r="AG104" s="103">
        <v>60</v>
      </c>
      <c r="AH104" s="48">
        <f t="shared" si="14"/>
        <v>17</v>
      </c>
      <c r="AI104" s="49">
        <f t="shared" si="15"/>
        <v>-13.5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0</v>
      </c>
      <c r="Y105" s="106">
        <v>0</v>
      </c>
      <c r="Z105" s="106">
        <v>0</v>
      </c>
      <c r="AA105" s="106">
        <v>0</v>
      </c>
      <c r="AB105" s="106">
        <v>0</v>
      </c>
      <c r="AC105" s="106">
        <v>0</v>
      </c>
      <c r="AD105" s="106">
        <v>0</v>
      </c>
      <c r="AE105" s="106">
        <v>5.0999999999999996</v>
      </c>
      <c r="AF105" s="106">
        <v>0</v>
      </c>
      <c r="AG105" s="107">
        <v>120</v>
      </c>
      <c r="AH105" s="48">
        <f t="shared" si="14"/>
        <v>5.0999999999999996</v>
      </c>
      <c r="AI105" s="49">
        <f t="shared" si="15"/>
        <v>0</v>
      </c>
    </row>
    <row r="106" spans="1:37" x14ac:dyDescent="0.25">
      <c r="A106" s="105" t="s">
        <v>110</v>
      </c>
      <c r="B106" s="106">
        <v>-15.5</v>
      </c>
      <c r="C106" s="106">
        <v>-21.9</v>
      </c>
      <c r="D106" s="106">
        <v>-6.1</v>
      </c>
      <c r="E106" s="106">
        <v>-10.1</v>
      </c>
      <c r="F106" s="106">
        <v>-20</v>
      </c>
      <c r="G106" s="106">
        <v>-26.8</v>
      </c>
      <c r="H106" s="106">
        <v>-17.100000000000001</v>
      </c>
      <c r="I106" s="106">
        <v>-31</v>
      </c>
      <c r="J106" s="106">
        <v>-28.4</v>
      </c>
      <c r="K106" s="106">
        <v>-26.2</v>
      </c>
      <c r="L106" s="106">
        <v>-15.4</v>
      </c>
      <c r="M106" s="106">
        <v>-15.7</v>
      </c>
      <c r="N106" s="106">
        <v>-21.2</v>
      </c>
      <c r="O106" s="106">
        <v>-27.6</v>
      </c>
      <c r="P106" s="106">
        <v>-40.9</v>
      </c>
      <c r="Q106" s="106">
        <v>-50</v>
      </c>
      <c r="R106" s="106">
        <v>-35</v>
      </c>
      <c r="S106" s="106">
        <v>-27.7</v>
      </c>
      <c r="T106" s="106">
        <v>-30.8</v>
      </c>
      <c r="U106" s="106">
        <v>-30.8</v>
      </c>
      <c r="V106" s="106">
        <v>-41.1</v>
      </c>
      <c r="W106" s="106">
        <v>-41.1</v>
      </c>
      <c r="X106" s="106">
        <v>-16.2</v>
      </c>
      <c r="Y106" s="106">
        <v>16.5</v>
      </c>
      <c r="Z106" s="106">
        <v>32</v>
      </c>
      <c r="AA106" s="106">
        <v>32.1</v>
      </c>
      <c r="AB106" s="106">
        <v>6.3</v>
      </c>
      <c r="AC106" s="106">
        <v>-1.3</v>
      </c>
      <c r="AD106" s="106">
        <v>0</v>
      </c>
      <c r="AE106" s="106">
        <v>-22.2</v>
      </c>
      <c r="AF106" s="106">
        <v>-38</v>
      </c>
      <c r="AG106" s="107"/>
      <c r="AH106" s="48">
        <f t="shared" si="14"/>
        <v>32.1</v>
      </c>
      <c r="AI106" s="49">
        <f t="shared" si="15"/>
        <v>-50</v>
      </c>
    </row>
    <row r="107" spans="1:37" x14ac:dyDescent="0.25">
      <c r="A107" s="105" t="s">
        <v>111</v>
      </c>
      <c r="B107" s="106">
        <v>35.4</v>
      </c>
      <c r="C107" s="106">
        <v>20.2</v>
      </c>
      <c r="D107" s="106">
        <v>29.3</v>
      </c>
      <c r="E107" s="106">
        <v>14.4</v>
      </c>
      <c r="F107" s="106">
        <v>-27</v>
      </c>
      <c r="G107" s="106">
        <v>-34.9</v>
      </c>
      <c r="H107" s="106">
        <v>-21</v>
      </c>
      <c r="I107" s="106">
        <v>-32.799999999999997</v>
      </c>
      <c r="J107" s="106">
        <v>-33.200000000000003</v>
      </c>
      <c r="K107" s="106">
        <v>-29.9</v>
      </c>
      <c r="L107" s="106">
        <v>-46.3</v>
      </c>
      <c r="M107" s="106">
        <v>-59.8</v>
      </c>
      <c r="N107" s="106">
        <v>-51.8</v>
      </c>
      <c r="O107" s="106">
        <v>-49.3</v>
      </c>
      <c r="P107" s="106">
        <v>-51.6</v>
      </c>
      <c r="Q107" s="106">
        <v>-70</v>
      </c>
      <c r="R107" s="106">
        <v>-45</v>
      </c>
      <c r="S107" s="106">
        <v>-27.8</v>
      </c>
      <c r="T107" s="106">
        <v>-39.799999999999997</v>
      </c>
      <c r="U107" s="106">
        <v>-31</v>
      </c>
      <c r="V107" s="106">
        <v>-42.9</v>
      </c>
      <c r="W107" s="106">
        <v>-42.9</v>
      </c>
      <c r="X107" s="106">
        <v>-37.6</v>
      </c>
      <c r="Y107" s="106">
        <v>-15.4</v>
      </c>
      <c r="Z107" s="106">
        <v>-17.399999999999999</v>
      </c>
      <c r="AA107" s="106">
        <v>-7.8</v>
      </c>
      <c r="AB107" s="106">
        <v>-34.1</v>
      </c>
      <c r="AC107" s="106">
        <v>-42.8</v>
      </c>
      <c r="AD107" s="106">
        <v>-37.799999999999997</v>
      </c>
      <c r="AE107" s="106">
        <v>-49.7</v>
      </c>
      <c r="AF107" s="106">
        <v>-51</v>
      </c>
      <c r="AG107" s="108"/>
      <c r="AH107" s="48">
        <f t="shared" si="14"/>
        <v>35.4</v>
      </c>
      <c r="AI107" s="49">
        <f t="shared" si="15"/>
        <v>-70</v>
      </c>
    </row>
    <row r="108" spans="1:37" x14ac:dyDescent="0.25">
      <c r="A108" s="109" t="s">
        <v>112</v>
      </c>
      <c r="B108" s="94">
        <v>108.3</v>
      </c>
      <c r="C108" s="94">
        <v>115.8</v>
      </c>
      <c r="D108" s="94">
        <v>116.2</v>
      </c>
      <c r="E108" s="94">
        <v>118.1</v>
      </c>
      <c r="F108" s="94">
        <v>117</v>
      </c>
      <c r="G108" s="94">
        <v>118.6</v>
      </c>
      <c r="H108" s="94">
        <v>117.1</v>
      </c>
      <c r="I108" s="94">
        <v>119.1</v>
      </c>
      <c r="J108" s="94">
        <v>118.1</v>
      </c>
      <c r="K108" s="94">
        <v>115.1</v>
      </c>
      <c r="L108" s="94">
        <v>112</v>
      </c>
      <c r="M108" s="94">
        <v>110.2</v>
      </c>
      <c r="N108" s="94">
        <v>112.5</v>
      </c>
      <c r="O108" s="94">
        <v>116.3</v>
      </c>
      <c r="P108" s="94">
        <v>124</v>
      </c>
      <c r="Q108" s="94">
        <v>119</v>
      </c>
      <c r="R108" s="94">
        <v>107</v>
      </c>
      <c r="S108" s="94">
        <v>105.1</v>
      </c>
      <c r="T108" s="94">
        <v>102.3</v>
      </c>
      <c r="U108" s="94">
        <v>100.8</v>
      </c>
      <c r="V108" s="94">
        <v>100</v>
      </c>
      <c r="W108" s="94">
        <v>100</v>
      </c>
      <c r="X108" s="94">
        <v>79</v>
      </c>
      <c r="Y108" s="94">
        <v>87.1</v>
      </c>
      <c r="Z108" s="94">
        <v>87.3</v>
      </c>
      <c r="AA108" s="94">
        <v>89.1</v>
      </c>
      <c r="AB108" s="94">
        <v>92.7</v>
      </c>
      <c r="AC108" s="94">
        <v>94.4</v>
      </c>
      <c r="AD108" s="94">
        <v>96.4</v>
      </c>
      <c r="AE108" s="94">
        <v>102.5</v>
      </c>
      <c r="AF108" s="94">
        <v>107</v>
      </c>
      <c r="AG108" s="108"/>
      <c r="AH108" s="48">
        <f t="shared" si="14"/>
        <v>124</v>
      </c>
      <c r="AI108" s="49">
        <f t="shared" si="15"/>
        <v>79</v>
      </c>
    </row>
    <row r="109" spans="1:37" ht="15.75" thickBot="1" x14ac:dyDescent="0.3">
      <c r="A109" s="109" t="s">
        <v>113</v>
      </c>
      <c r="B109" s="94">
        <v>92.5</v>
      </c>
      <c r="C109" s="94">
        <v>95.6</v>
      </c>
      <c r="D109" s="94">
        <v>85</v>
      </c>
      <c r="E109" s="94">
        <v>85.5</v>
      </c>
      <c r="F109" s="94">
        <v>93.4</v>
      </c>
      <c r="G109" s="94">
        <v>85.7</v>
      </c>
      <c r="H109" s="94">
        <v>83</v>
      </c>
      <c r="I109" s="94">
        <v>85.1</v>
      </c>
      <c r="J109" s="94">
        <v>82</v>
      </c>
      <c r="K109" s="94">
        <v>80</v>
      </c>
      <c r="L109" s="94">
        <v>63.6</v>
      </c>
      <c r="M109" s="94">
        <v>62.3</v>
      </c>
      <c r="N109" s="94">
        <v>67.2</v>
      </c>
      <c r="O109" s="94">
        <v>71</v>
      </c>
      <c r="P109" s="94">
        <v>83</v>
      </c>
      <c r="Q109" s="94">
        <v>87</v>
      </c>
      <c r="R109" s="94">
        <v>71</v>
      </c>
      <c r="S109" s="94">
        <v>60.8</v>
      </c>
      <c r="T109" s="94">
        <v>69.7</v>
      </c>
      <c r="U109" s="94">
        <v>66.900000000000006</v>
      </c>
      <c r="V109" s="94">
        <v>66.2</v>
      </c>
      <c r="W109" s="94">
        <v>66.2</v>
      </c>
      <c r="X109" s="94">
        <v>63.9</v>
      </c>
      <c r="Y109" s="94">
        <v>25</v>
      </c>
      <c r="Z109" s="94">
        <v>24.3</v>
      </c>
      <c r="AA109" s="94">
        <v>21.2</v>
      </c>
      <c r="AB109" s="94">
        <v>47.8</v>
      </c>
      <c r="AC109" s="94">
        <v>56.3</v>
      </c>
      <c r="AD109" s="94">
        <v>52.7</v>
      </c>
      <c r="AE109" s="94">
        <v>73.8</v>
      </c>
      <c r="AF109" s="94">
        <v>89</v>
      </c>
      <c r="AG109" s="108"/>
      <c r="AH109" s="48">
        <f t="shared" si="14"/>
        <v>95.6</v>
      </c>
      <c r="AI109" s="49">
        <f t="shared" si="15"/>
        <v>21.2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36">SUM(B111:B215)</f>
        <v>0</v>
      </c>
      <c r="C216" s="125">
        <f t="shared" si="36"/>
        <v>0</v>
      </c>
      <c r="D216" s="125">
        <f t="shared" si="36"/>
        <v>0</v>
      </c>
      <c r="E216" s="125">
        <f t="shared" si="36"/>
        <v>0</v>
      </c>
      <c r="F216" s="125">
        <f t="shared" si="36"/>
        <v>0</v>
      </c>
      <c r="G216" s="125">
        <f t="shared" si="36"/>
        <v>0</v>
      </c>
      <c r="H216" s="125">
        <f t="shared" si="36"/>
        <v>0</v>
      </c>
      <c r="I216" s="125">
        <f t="shared" si="36"/>
        <v>0</v>
      </c>
      <c r="J216" s="125">
        <f t="shared" si="36"/>
        <v>0</v>
      </c>
      <c r="K216" s="125">
        <f t="shared" si="36"/>
        <v>0</v>
      </c>
      <c r="L216" s="125">
        <f t="shared" si="36"/>
        <v>0</v>
      </c>
      <c r="M216" s="125">
        <f t="shared" si="36"/>
        <v>0</v>
      </c>
      <c r="N216" s="125">
        <f t="shared" si="36"/>
        <v>0</v>
      </c>
      <c r="O216" s="125">
        <f t="shared" si="36"/>
        <v>0</v>
      </c>
      <c r="P216" s="125">
        <f t="shared" si="36"/>
        <v>0</v>
      </c>
      <c r="Q216" s="125">
        <f t="shared" si="36"/>
        <v>0</v>
      </c>
      <c r="R216" s="125">
        <f t="shared" si="36"/>
        <v>0</v>
      </c>
      <c r="S216" s="125">
        <f t="shared" si="36"/>
        <v>0</v>
      </c>
      <c r="T216" s="125">
        <f t="shared" si="36"/>
        <v>0</v>
      </c>
      <c r="U216" s="125">
        <f t="shared" si="36"/>
        <v>0</v>
      </c>
      <c r="V216" s="125">
        <f t="shared" si="36"/>
        <v>0</v>
      </c>
      <c r="W216" s="125">
        <f t="shared" si="36"/>
        <v>0</v>
      </c>
      <c r="X216" s="125">
        <f t="shared" si="36"/>
        <v>0</v>
      </c>
      <c r="Y216" s="125">
        <f t="shared" si="36"/>
        <v>0</v>
      </c>
      <c r="Z216" s="125">
        <f t="shared" si="36"/>
        <v>0</v>
      </c>
      <c r="AA216" s="125">
        <f t="shared" si="36"/>
        <v>0</v>
      </c>
      <c r="AB216" s="125">
        <f t="shared" si="36"/>
        <v>0</v>
      </c>
      <c r="AC216" s="125">
        <f t="shared" si="36"/>
        <v>0</v>
      </c>
      <c r="AD216" s="125">
        <f t="shared" si="36"/>
        <v>0</v>
      </c>
      <c r="AE216" s="125">
        <f t="shared" si="36"/>
        <v>0</v>
      </c>
      <c r="AF216" s="126">
        <f t="shared" si="36"/>
        <v>0</v>
      </c>
      <c r="AG216" s="127">
        <f t="shared" si="36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37">AF218</f>
        <v>0</v>
      </c>
      <c r="C218" s="129">
        <v>0.3</v>
      </c>
      <c r="D218" s="129">
        <f t="shared" ref="D218:P223" si="38">C218</f>
        <v>0.3</v>
      </c>
      <c r="E218" s="129">
        <f t="shared" si="38"/>
        <v>0.3</v>
      </c>
      <c r="F218" s="129">
        <f t="shared" si="38"/>
        <v>0.3</v>
      </c>
      <c r="G218" s="129">
        <f t="shared" si="38"/>
        <v>0.3</v>
      </c>
      <c r="H218" s="129">
        <f t="shared" si="38"/>
        <v>0.3</v>
      </c>
      <c r="I218" s="129">
        <f t="shared" si="38"/>
        <v>0.3</v>
      </c>
      <c r="J218" s="129">
        <f t="shared" si="38"/>
        <v>0.3</v>
      </c>
      <c r="K218" s="129">
        <f t="shared" si="38"/>
        <v>0.3</v>
      </c>
      <c r="L218" s="129">
        <f t="shared" si="38"/>
        <v>0.3</v>
      </c>
      <c r="M218" s="129">
        <f t="shared" si="38"/>
        <v>0.3</v>
      </c>
      <c r="N218" s="129">
        <f t="shared" si="38"/>
        <v>0.3</v>
      </c>
      <c r="O218" s="129">
        <f t="shared" si="38"/>
        <v>0.3</v>
      </c>
      <c r="P218" s="129">
        <f t="shared" si="38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37"/>
        <v>0</v>
      </c>
      <c r="C219" s="117">
        <v>0.4</v>
      </c>
      <c r="D219" s="117">
        <f t="shared" si="38"/>
        <v>0.4</v>
      </c>
      <c r="E219" s="117">
        <f t="shared" si="38"/>
        <v>0.4</v>
      </c>
      <c r="F219" s="117">
        <f t="shared" si="38"/>
        <v>0.4</v>
      </c>
      <c r="G219" s="117">
        <f t="shared" si="38"/>
        <v>0.4</v>
      </c>
      <c r="H219" s="117">
        <f t="shared" si="38"/>
        <v>0.4</v>
      </c>
      <c r="I219" s="117">
        <f t="shared" si="38"/>
        <v>0.4</v>
      </c>
      <c r="J219" s="117">
        <f t="shared" si="38"/>
        <v>0.4</v>
      </c>
      <c r="K219" s="117">
        <f t="shared" si="38"/>
        <v>0.4</v>
      </c>
      <c r="L219" s="117">
        <f t="shared" si="38"/>
        <v>0.4</v>
      </c>
      <c r="M219" s="117">
        <f t="shared" si="38"/>
        <v>0.4</v>
      </c>
      <c r="N219" s="117">
        <f t="shared" si="38"/>
        <v>0.4</v>
      </c>
      <c r="O219" s="117">
        <f t="shared" si="38"/>
        <v>0.4</v>
      </c>
      <c r="P219" s="117">
        <f t="shared" si="38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37"/>
        <v>0</v>
      </c>
      <c r="C220" s="117">
        <v>1.5</v>
      </c>
      <c r="D220" s="117">
        <f t="shared" si="38"/>
        <v>1.5</v>
      </c>
      <c r="E220" s="117">
        <f t="shared" si="38"/>
        <v>1.5</v>
      </c>
      <c r="F220" s="117">
        <f t="shared" si="38"/>
        <v>1.5</v>
      </c>
      <c r="G220" s="117">
        <f t="shared" si="38"/>
        <v>1.5</v>
      </c>
      <c r="H220" s="117">
        <f t="shared" si="38"/>
        <v>1.5</v>
      </c>
      <c r="I220" s="117">
        <f t="shared" si="38"/>
        <v>1.5</v>
      </c>
      <c r="J220" s="117">
        <f t="shared" si="38"/>
        <v>1.5</v>
      </c>
      <c r="K220" s="117">
        <f t="shared" si="38"/>
        <v>1.5</v>
      </c>
      <c r="L220" s="117">
        <f t="shared" si="38"/>
        <v>1.5</v>
      </c>
      <c r="M220" s="117">
        <f t="shared" si="38"/>
        <v>1.5</v>
      </c>
      <c r="N220" s="117">
        <f t="shared" si="38"/>
        <v>1.5</v>
      </c>
      <c r="O220" s="117">
        <f t="shared" si="38"/>
        <v>1.5</v>
      </c>
      <c r="P220" s="117">
        <f t="shared" si="38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37"/>
        <v>0</v>
      </c>
      <c r="C221" s="117">
        <v>0.3</v>
      </c>
      <c r="D221" s="117">
        <f t="shared" si="38"/>
        <v>0.3</v>
      </c>
      <c r="E221" s="117">
        <f t="shared" si="38"/>
        <v>0.3</v>
      </c>
      <c r="F221" s="117">
        <f t="shared" si="38"/>
        <v>0.3</v>
      </c>
      <c r="G221" s="117">
        <f t="shared" si="38"/>
        <v>0.3</v>
      </c>
      <c r="H221" s="117">
        <f t="shared" si="38"/>
        <v>0.3</v>
      </c>
      <c r="I221" s="117">
        <f t="shared" si="38"/>
        <v>0.3</v>
      </c>
      <c r="J221" s="117">
        <f t="shared" si="38"/>
        <v>0.3</v>
      </c>
      <c r="K221" s="117">
        <f t="shared" si="38"/>
        <v>0.3</v>
      </c>
      <c r="L221" s="117">
        <f t="shared" si="38"/>
        <v>0.3</v>
      </c>
      <c r="M221" s="117">
        <f t="shared" si="38"/>
        <v>0.3</v>
      </c>
      <c r="N221" s="117">
        <f t="shared" si="38"/>
        <v>0.3</v>
      </c>
      <c r="O221" s="117">
        <f t="shared" si="38"/>
        <v>0.3</v>
      </c>
      <c r="P221" s="117">
        <f t="shared" si="38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37"/>
        <v>0</v>
      </c>
      <c r="C222" s="117">
        <v>0.4</v>
      </c>
      <c r="D222" s="117">
        <f t="shared" si="38"/>
        <v>0.4</v>
      </c>
      <c r="E222" s="117">
        <f t="shared" si="38"/>
        <v>0.4</v>
      </c>
      <c r="F222" s="117">
        <f t="shared" si="38"/>
        <v>0.4</v>
      </c>
      <c r="G222" s="117">
        <f t="shared" si="38"/>
        <v>0.4</v>
      </c>
      <c r="H222" s="117">
        <f t="shared" si="38"/>
        <v>0.4</v>
      </c>
      <c r="I222" s="117">
        <f t="shared" si="38"/>
        <v>0.4</v>
      </c>
      <c r="J222" s="117">
        <f t="shared" si="38"/>
        <v>0.4</v>
      </c>
      <c r="K222" s="117">
        <f t="shared" si="38"/>
        <v>0.4</v>
      </c>
      <c r="L222" s="117">
        <f t="shared" si="38"/>
        <v>0.4</v>
      </c>
      <c r="M222" s="117">
        <f t="shared" si="38"/>
        <v>0.4</v>
      </c>
      <c r="N222" s="117">
        <f t="shared" si="38"/>
        <v>0.4</v>
      </c>
      <c r="O222" s="117">
        <f t="shared" si="38"/>
        <v>0.4</v>
      </c>
      <c r="P222" s="117">
        <f t="shared" si="38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37"/>
        <v>0</v>
      </c>
      <c r="C223" s="121">
        <v>0.64</v>
      </c>
      <c r="D223" s="121">
        <f t="shared" si="38"/>
        <v>0.64</v>
      </c>
      <c r="E223" s="121">
        <f t="shared" si="38"/>
        <v>0.64</v>
      </c>
      <c r="F223" s="121">
        <f t="shared" si="38"/>
        <v>0.64</v>
      </c>
      <c r="G223" s="121">
        <f t="shared" si="38"/>
        <v>0.64</v>
      </c>
      <c r="H223" s="121">
        <f t="shared" si="38"/>
        <v>0.64</v>
      </c>
      <c r="I223" s="121">
        <f t="shared" si="38"/>
        <v>0.64</v>
      </c>
      <c r="J223" s="121">
        <f t="shared" si="38"/>
        <v>0.64</v>
      </c>
      <c r="K223" s="121">
        <f t="shared" si="38"/>
        <v>0.64</v>
      </c>
      <c r="L223" s="121">
        <f t="shared" si="38"/>
        <v>0.64</v>
      </c>
      <c r="M223" s="121">
        <f t="shared" si="38"/>
        <v>0.64</v>
      </c>
      <c r="N223" s="121">
        <f t="shared" si="38"/>
        <v>0.64</v>
      </c>
      <c r="O223" s="121">
        <f t="shared" si="38"/>
        <v>0.64</v>
      </c>
      <c r="P223" s="121">
        <f t="shared" si="38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39">SUM(B218:B223)</f>
        <v>0</v>
      </c>
      <c r="C224" s="125">
        <f t="shared" si="39"/>
        <v>3.54</v>
      </c>
      <c r="D224" s="125">
        <f t="shared" si="39"/>
        <v>3.54</v>
      </c>
      <c r="E224" s="125">
        <f t="shared" si="39"/>
        <v>3.54</v>
      </c>
      <c r="F224" s="125">
        <f t="shared" si="39"/>
        <v>3.54</v>
      </c>
      <c r="G224" s="125">
        <f t="shared" si="39"/>
        <v>3.54</v>
      </c>
      <c r="H224" s="125">
        <f t="shared" si="39"/>
        <v>3.54</v>
      </c>
      <c r="I224" s="125">
        <f t="shared" si="39"/>
        <v>3.54</v>
      </c>
      <c r="J224" s="125">
        <f t="shared" si="39"/>
        <v>3.54</v>
      </c>
      <c r="K224" s="125">
        <f t="shared" si="39"/>
        <v>3.54</v>
      </c>
      <c r="L224" s="125">
        <f t="shared" si="39"/>
        <v>3.54</v>
      </c>
      <c r="M224" s="125">
        <f t="shared" si="39"/>
        <v>3.54</v>
      </c>
      <c r="N224" s="125">
        <f t="shared" si="39"/>
        <v>3.54</v>
      </c>
      <c r="O224" s="125">
        <f t="shared" si="39"/>
        <v>3.54</v>
      </c>
      <c r="P224" s="125">
        <f t="shared" si="39"/>
        <v>3.54</v>
      </c>
      <c r="Q224" s="125">
        <f t="shared" si="39"/>
        <v>0</v>
      </c>
      <c r="R224" s="125">
        <f t="shared" si="39"/>
        <v>0</v>
      </c>
      <c r="S224" s="125">
        <f t="shared" si="39"/>
        <v>0</v>
      </c>
      <c r="T224" s="125">
        <f t="shared" si="39"/>
        <v>0</v>
      </c>
      <c r="U224" s="125">
        <f t="shared" si="39"/>
        <v>0</v>
      </c>
      <c r="V224" s="125">
        <f t="shared" si="39"/>
        <v>0</v>
      </c>
      <c r="W224" s="125">
        <f t="shared" si="39"/>
        <v>0</v>
      </c>
      <c r="X224" s="125">
        <f t="shared" si="39"/>
        <v>0</v>
      </c>
      <c r="Y224" s="125">
        <f t="shared" si="39"/>
        <v>0</v>
      </c>
      <c r="Z224" s="125">
        <f t="shared" si="39"/>
        <v>0</v>
      </c>
      <c r="AA224" s="125">
        <f t="shared" si="39"/>
        <v>0</v>
      </c>
      <c r="AB224" s="125">
        <f t="shared" si="39"/>
        <v>0</v>
      </c>
      <c r="AC224" s="125">
        <f t="shared" si="39"/>
        <v>0</v>
      </c>
      <c r="AD224" s="125">
        <f t="shared" si="39"/>
        <v>0</v>
      </c>
      <c r="AE224" s="125">
        <f t="shared" si="39"/>
        <v>0</v>
      </c>
      <c r="AF224" s="125">
        <f t="shared" si="39"/>
        <v>0</v>
      </c>
      <c r="AG224" s="134">
        <f t="shared" si="39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1323.3400000000001</v>
      </c>
      <c r="C233" s="150">
        <f>INDEX(G9:N9,1,MATCH(MAX(G81:N81),G81:N81,0))</f>
        <v>0.375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7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2079/06/7)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2079/06/7)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40">B81</f>
        <v>1318.54</v>
      </c>
      <c r="U238" s="159">
        <f t="shared" si="40"/>
        <v>1290.04</v>
      </c>
      <c r="V238" s="159">
        <f t="shared" si="40"/>
        <v>1261.24</v>
      </c>
      <c r="W238" s="159">
        <f t="shared" si="40"/>
        <v>1238.44</v>
      </c>
      <c r="X238" s="159">
        <f t="shared" si="40"/>
        <v>1254.54</v>
      </c>
      <c r="Y238" s="159">
        <f t="shared" si="40"/>
        <v>1258.1399999999999</v>
      </c>
      <c r="Z238" s="159">
        <f t="shared" si="40"/>
        <v>1293.9399999999998</v>
      </c>
      <c r="AA238" s="159">
        <f t="shared" si="40"/>
        <v>1307.7399999999998</v>
      </c>
      <c r="AB238" s="159">
        <f t="shared" si="40"/>
        <v>1289.3399999999999</v>
      </c>
      <c r="AC238" s="159">
        <f t="shared" si="40"/>
        <v>1311.44</v>
      </c>
      <c r="AD238" s="159">
        <f t="shared" si="40"/>
        <v>1311.04</v>
      </c>
      <c r="AE238" s="159">
        <f t="shared" si="40"/>
        <v>1319.3400000000001</v>
      </c>
      <c r="AF238" s="159">
        <f t="shared" si="40"/>
        <v>1323.3400000000001</v>
      </c>
      <c r="AG238" s="159">
        <f t="shared" si="40"/>
        <v>1311.64</v>
      </c>
      <c r="AH238" s="159">
        <f t="shared" si="40"/>
        <v>1259.94</v>
      </c>
      <c r="AI238" s="159">
        <f t="shared" si="40"/>
        <v>1241.44</v>
      </c>
      <c r="AJ238" s="159">
        <f t="shared" si="40"/>
        <v>1235.24</v>
      </c>
      <c r="AK238" s="159">
        <f t="shared" si="40"/>
        <v>1195.73</v>
      </c>
      <c r="AL238" s="159">
        <f t="shared" si="40"/>
        <v>1229.3399999999999</v>
      </c>
      <c r="AM238" s="159">
        <f t="shared" si="40"/>
        <v>1237.3399999999999</v>
      </c>
      <c r="AN238" s="159">
        <f t="shared" si="40"/>
        <v>1308.6399999999999</v>
      </c>
      <c r="AO238" s="159">
        <f t="shared" si="40"/>
        <v>1385.34</v>
      </c>
      <c r="AP238" s="159">
        <f t="shared" si="40"/>
        <v>1528.1399999999999</v>
      </c>
      <c r="AQ238" s="159">
        <f t="shared" si="40"/>
        <v>1681.74</v>
      </c>
      <c r="AR238" s="159">
        <f t="shared" si="40"/>
        <v>1683.04</v>
      </c>
      <c r="AS238" s="159">
        <f t="shared" si="40"/>
        <v>1646.44</v>
      </c>
      <c r="AT238" s="159">
        <f t="shared" si="40"/>
        <v>1645.94</v>
      </c>
      <c r="AU238" s="159">
        <f t="shared" si="40"/>
        <v>1601.54</v>
      </c>
      <c r="AV238" s="159">
        <f t="shared" si="40"/>
        <v>1553.14</v>
      </c>
      <c r="AW238" s="159">
        <f t="shared" si="40"/>
        <v>1393.44</v>
      </c>
      <c r="AX238" s="159">
        <f t="shared" si="40"/>
        <v>1352.54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41">C223</f>
        <v>0.64</v>
      </c>
      <c r="C259" s="162">
        <f t="shared" si="41"/>
        <v>0.64</v>
      </c>
      <c r="D259" s="162">
        <f t="shared" si="41"/>
        <v>0.64</v>
      </c>
      <c r="E259" s="162">
        <f t="shared" si="41"/>
        <v>0.64</v>
      </c>
      <c r="F259" s="162">
        <f t="shared" si="41"/>
        <v>0.64</v>
      </c>
      <c r="G259" s="162">
        <f t="shared" si="41"/>
        <v>0.64</v>
      </c>
      <c r="H259" s="162">
        <f t="shared" si="41"/>
        <v>0.64</v>
      </c>
      <c r="I259" s="162">
        <f t="shared" si="41"/>
        <v>0.64</v>
      </c>
      <c r="J259" s="162">
        <f t="shared" si="41"/>
        <v>0.64</v>
      </c>
      <c r="K259" s="162">
        <f t="shared" si="41"/>
        <v>0.64</v>
      </c>
      <c r="L259" s="162">
        <f t="shared" si="41"/>
        <v>0.64</v>
      </c>
      <c r="M259" s="162">
        <f t="shared" si="41"/>
        <v>0.64</v>
      </c>
      <c r="N259" s="162">
        <f t="shared" si="41"/>
        <v>0.64</v>
      </c>
      <c r="O259" s="162">
        <f t="shared" si="41"/>
        <v>0.64</v>
      </c>
      <c r="P259" s="162">
        <f t="shared" si="41"/>
        <v>0</v>
      </c>
      <c r="Q259" s="162">
        <f t="shared" si="41"/>
        <v>0</v>
      </c>
      <c r="R259" s="162">
        <f t="shared" si="41"/>
        <v>0</v>
      </c>
      <c r="S259" s="162">
        <f t="shared" si="41"/>
        <v>0</v>
      </c>
      <c r="T259" s="162">
        <f t="shared" si="41"/>
        <v>0</v>
      </c>
      <c r="U259" s="162">
        <f t="shared" si="41"/>
        <v>0</v>
      </c>
      <c r="V259" s="162">
        <f t="shared" si="41"/>
        <v>0</v>
      </c>
      <c r="W259" s="162">
        <f t="shared" si="41"/>
        <v>0</v>
      </c>
      <c r="X259" s="162">
        <f t="shared" si="41"/>
        <v>0</v>
      </c>
      <c r="Y259" s="162">
        <f t="shared" si="41"/>
        <v>0</v>
      </c>
      <c r="Z259" s="162">
        <f t="shared" si="41"/>
        <v>0</v>
      </c>
      <c r="AA259" s="162">
        <f t="shared" si="41"/>
        <v>0</v>
      </c>
      <c r="AB259" s="162">
        <f t="shared" si="41"/>
        <v>0</v>
      </c>
      <c r="AC259" s="162">
        <f t="shared" si="41"/>
        <v>0</v>
      </c>
      <c r="AD259" s="162">
        <f t="shared" si="41"/>
        <v>0</v>
      </c>
      <c r="AE259" s="162">
        <f t="shared" si="41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42">IF(B227&lt;100,"",B227-520)</f>
        <v/>
      </c>
      <c r="C260" s="163" t="str">
        <f t="shared" si="42"/>
        <v/>
      </c>
      <c r="D260" s="163" t="str">
        <f t="shared" si="42"/>
        <v/>
      </c>
      <c r="E260" s="163" t="str">
        <f t="shared" si="42"/>
        <v/>
      </c>
      <c r="F260" s="163" t="str">
        <f t="shared" si="42"/>
        <v/>
      </c>
      <c r="G260" s="163" t="str">
        <f t="shared" si="42"/>
        <v/>
      </c>
      <c r="H260" s="163" t="str">
        <f t="shared" si="42"/>
        <v/>
      </c>
      <c r="I260" s="163" t="str">
        <f t="shared" si="42"/>
        <v/>
      </c>
      <c r="J260" s="163" t="str">
        <f t="shared" si="42"/>
        <v/>
      </c>
      <c r="K260" s="163" t="str">
        <f t="shared" si="42"/>
        <v/>
      </c>
      <c r="L260" s="163" t="str">
        <f t="shared" si="42"/>
        <v/>
      </c>
      <c r="M260" s="163" t="str">
        <f t="shared" si="42"/>
        <v/>
      </c>
      <c r="N260" s="163" t="str">
        <f t="shared" si="42"/>
        <v/>
      </c>
      <c r="O260" s="163" t="str">
        <f t="shared" si="42"/>
        <v/>
      </c>
      <c r="P260" s="163" t="str">
        <f t="shared" si="42"/>
        <v/>
      </c>
      <c r="Q260" s="163" t="str">
        <f t="shared" si="42"/>
        <v/>
      </c>
      <c r="R260" s="163" t="str">
        <f t="shared" si="42"/>
        <v/>
      </c>
      <c r="S260" s="163" t="str">
        <f t="shared" si="42"/>
        <v/>
      </c>
      <c r="T260" s="163" t="str">
        <f t="shared" si="42"/>
        <v/>
      </c>
      <c r="U260" s="163" t="str">
        <f t="shared" si="42"/>
        <v/>
      </c>
      <c r="V260" s="163" t="str">
        <f t="shared" si="42"/>
        <v/>
      </c>
      <c r="W260" s="163" t="str">
        <f t="shared" si="42"/>
        <v/>
      </c>
      <c r="X260" s="163" t="str">
        <f t="shared" si="42"/>
        <v/>
      </c>
      <c r="Y260" s="163" t="str">
        <f t="shared" si="42"/>
        <v/>
      </c>
      <c r="Z260" s="163" t="str">
        <f t="shared" si="42"/>
        <v/>
      </c>
      <c r="AA260" s="163" t="str">
        <f t="shared" si="42"/>
        <v/>
      </c>
      <c r="AB260" s="163" t="str">
        <f t="shared" si="42"/>
        <v/>
      </c>
      <c r="AC260" s="163" t="str">
        <f t="shared" si="42"/>
        <v/>
      </c>
      <c r="AD260" s="163" t="str">
        <f t="shared" si="42"/>
        <v/>
      </c>
      <c r="AE260" s="163" t="str">
        <f t="shared" si="42"/>
        <v/>
      </c>
      <c r="AF260" s="163" t="str">
        <f t="shared" si="42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43">IF(B228&lt;100,"",B228-620)</f>
        <v/>
      </c>
      <c r="C261" s="163" t="str">
        <f t="shared" si="43"/>
        <v/>
      </c>
      <c r="D261" s="163" t="str">
        <f t="shared" si="43"/>
        <v/>
      </c>
      <c r="E261" s="163" t="str">
        <f t="shared" si="43"/>
        <v/>
      </c>
      <c r="F261" s="163" t="str">
        <f t="shared" si="43"/>
        <v/>
      </c>
      <c r="G261" s="163" t="str">
        <f t="shared" si="43"/>
        <v/>
      </c>
      <c r="H261" s="163" t="str">
        <f t="shared" si="43"/>
        <v/>
      </c>
      <c r="I261" s="163" t="str">
        <f t="shared" si="43"/>
        <v/>
      </c>
      <c r="J261" s="163" t="str">
        <f t="shared" si="43"/>
        <v/>
      </c>
      <c r="K261" s="163" t="str">
        <f t="shared" si="43"/>
        <v/>
      </c>
      <c r="L261" s="163" t="str">
        <f t="shared" si="43"/>
        <v/>
      </c>
      <c r="M261" s="163" t="str">
        <f t="shared" si="43"/>
        <v/>
      </c>
      <c r="N261" s="163" t="str">
        <f t="shared" si="43"/>
        <v/>
      </c>
      <c r="O261" s="163" t="str">
        <f t="shared" si="43"/>
        <v/>
      </c>
      <c r="P261" s="163" t="str">
        <f t="shared" si="43"/>
        <v/>
      </c>
      <c r="Q261" s="163" t="str">
        <f t="shared" si="43"/>
        <v/>
      </c>
      <c r="R261" s="163" t="str">
        <f t="shared" si="43"/>
        <v/>
      </c>
      <c r="S261" s="163" t="str">
        <f t="shared" si="43"/>
        <v/>
      </c>
      <c r="T261" s="163" t="str">
        <f t="shared" si="43"/>
        <v/>
      </c>
      <c r="U261" s="163" t="str">
        <f t="shared" si="43"/>
        <v/>
      </c>
      <c r="V261" s="163" t="str">
        <f t="shared" si="43"/>
        <v/>
      </c>
      <c r="W261" s="163" t="str">
        <f t="shared" si="43"/>
        <v/>
      </c>
      <c r="X261" s="163" t="str">
        <f t="shared" si="43"/>
        <v/>
      </c>
      <c r="Y261" s="163" t="str">
        <f t="shared" si="43"/>
        <v/>
      </c>
      <c r="Z261" s="163" t="str">
        <f t="shared" si="43"/>
        <v/>
      </c>
      <c r="AA261" s="163" t="str">
        <f t="shared" si="43"/>
        <v/>
      </c>
      <c r="AB261" s="163" t="str">
        <f t="shared" si="43"/>
        <v/>
      </c>
      <c r="AC261" s="163" t="str">
        <f t="shared" si="43"/>
        <v/>
      </c>
      <c r="AD261" s="163" t="str">
        <f t="shared" si="43"/>
        <v/>
      </c>
      <c r="AE261" s="163" t="str">
        <f t="shared" si="43"/>
        <v/>
      </c>
      <c r="AF261" s="163" t="str">
        <f t="shared" si="43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44">IF(B229&lt;100,"",B229-330)</f>
        <v/>
      </c>
      <c r="C262" s="163" t="str">
        <f t="shared" si="44"/>
        <v/>
      </c>
      <c r="D262" s="163" t="str">
        <f t="shared" si="44"/>
        <v/>
      </c>
      <c r="E262" s="163" t="str">
        <f t="shared" si="44"/>
        <v/>
      </c>
      <c r="F262" s="163" t="str">
        <f t="shared" si="44"/>
        <v/>
      </c>
      <c r="G262" s="163" t="str">
        <f t="shared" si="44"/>
        <v/>
      </c>
      <c r="H262" s="163" t="str">
        <f t="shared" si="44"/>
        <v/>
      </c>
      <c r="I262" s="163" t="str">
        <f t="shared" si="44"/>
        <v/>
      </c>
      <c r="J262" s="163" t="str">
        <f t="shared" si="44"/>
        <v/>
      </c>
      <c r="K262" s="163" t="str">
        <f t="shared" si="44"/>
        <v/>
      </c>
      <c r="L262" s="163" t="str">
        <f t="shared" si="44"/>
        <v/>
      </c>
      <c r="M262" s="163" t="str">
        <f t="shared" si="44"/>
        <v/>
      </c>
      <c r="N262" s="163" t="str">
        <f t="shared" si="44"/>
        <v/>
      </c>
      <c r="O262" s="163" t="str">
        <f t="shared" si="44"/>
        <v/>
      </c>
      <c r="P262" s="163" t="str">
        <f t="shared" si="44"/>
        <v/>
      </c>
      <c r="Q262" s="163" t="str">
        <f t="shared" si="44"/>
        <v/>
      </c>
      <c r="R262" s="163" t="str">
        <f t="shared" si="44"/>
        <v/>
      </c>
      <c r="S262" s="163" t="str">
        <f t="shared" si="44"/>
        <v/>
      </c>
      <c r="T262" s="163" t="str">
        <f t="shared" si="44"/>
        <v/>
      </c>
      <c r="U262" s="163" t="str">
        <f t="shared" si="44"/>
        <v/>
      </c>
      <c r="V262" s="163" t="str">
        <f t="shared" si="44"/>
        <v/>
      </c>
      <c r="W262" s="163" t="str">
        <f t="shared" si="44"/>
        <v/>
      </c>
      <c r="X262" s="163" t="str">
        <f t="shared" si="44"/>
        <v/>
      </c>
      <c r="Y262" s="163" t="str">
        <f t="shared" si="44"/>
        <v/>
      </c>
      <c r="Z262" s="163" t="str">
        <f t="shared" si="44"/>
        <v/>
      </c>
      <c r="AA262" s="163" t="str">
        <f t="shared" si="44"/>
        <v/>
      </c>
      <c r="AB262" s="163" t="str">
        <f t="shared" si="44"/>
        <v/>
      </c>
      <c r="AC262" s="163" t="str">
        <f t="shared" si="44"/>
        <v/>
      </c>
      <c r="AD262" s="163" t="str">
        <f t="shared" si="44"/>
        <v/>
      </c>
      <c r="AE262" s="163" t="str">
        <f t="shared" si="44"/>
        <v/>
      </c>
      <c r="AF262" s="163" t="str">
        <f t="shared" si="44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45">IF(B230&lt;100,"",B230-1500)</f>
        <v/>
      </c>
      <c r="C263" s="163" t="str">
        <f t="shared" si="45"/>
        <v/>
      </c>
      <c r="D263" s="163" t="str">
        <f t="shared" si="45"/>
        <v/>
      </c>
      <c r="E263" s="163" t="str">
        <f t="shared" si="45"/>
        <v/>
      </c>
      <c r="F263" s="163" t="str">
        <f t="shared" si="45"/>
        <v/>
      </c>
      <c r="G263" s="163" t="str">
        <f t="shared" si="45"/>
        <v/>
      </c>
      <c r="H263" s="163" t="str">
        <f t="shared" si="45"/>
        <v/>
      </c>
      <c r="I263" s="163" t="str">
        <f t="shared" si="45"/>
        <v/>
      </c>
      <c r="J263" s="163" t="str">
        <f t="shared" si="45"/>
        <v/>
      </c>
      <c r="K263" s="163" t="str">
        <f t="shared" si="45"/>
        <v/>
      </c>
      <c r="L263" s="163" t="str">
        <f t="shared" si="45"/>
        <v/>
      </c>
      <c r="M263" s="163" t="str">
        <f t="shared" si="45"/>
        <v/>
      </c>
      <c r="N263" s="163" t="str">
        <f t="shared" si="45"/>
        <v/>
      </c>
      <c r="O263" s="163" t="str">
        <f t="shared" si="45"/>
        <v/>
      </c>
      <c r="P263" s="163" t="str">
        <f t="shared" si="45"/>
        <v/>
      </c>
      <c r="Q263" s="163" t="str">
        <f t="shared" si="45"/>
        <v/>
      </c>
      <c r="R263" s="163" t="str">
        <f t="shared" si="45"/>
        <v/>
      </c>
      <c r="S263" s="163" t="str">
        <f t="shared" si="45"/>
        <v/>
      </c>
      <c r="T263" s="163" t="str">
        <f t="shared" si="45"/>
        <v/>
      </c>
      <c r="U263" s="163" t="str">
        <f t="shared" si="45"/>
        <v/>
      </c>
      <c r="V263" s="163" t="str">
        <f t="shared" si="45"/>
        <v/>
      </c>
      <c r="W263" s="163" t="str">
        <f t="shared" si="45"/>
        <v/>
      </c>
      <c r="X263" s="163" t="str">
        <f t="shared" si="45"/>
        <v/>
      </c>
      <c r="Y263" s="163" t="str">
        <f t="shared" si="45"/>
        <v/>
      </c>
      <c r="Z263" s="163" t="str">
        <f t="shared" si="45"/>
        <v/>
      </c>
      <c r="AA263" s="163" t="str">
        <f t="shared" si="45"/>
        <v/>
      </c>
      <c r="AB263" s="163" t="str">
        <f t="shared" si="45"/>
        <v/>
      </c>
      <c r="AC263" s="163" t="str">
        <f t="shared" si="45"/>
        <v/>
      </c>
      <c r="AD263" s="163" t="str">
        <f t="shared" si="45"/>
        <v/>
      </c>
      <c r="AE263" s="163" t="str">
        <f t="shared" si="45"/>
        <v/>
      </c>
      <c r="AF263" s="163" t="str">
        <f t="shared" si="45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A11:A225">
    <cfRule type="expression" dxfId="1451" priority="21">
      <formula>$AH11=0</formula>
    </cfRule>
  </conditionalFormatting>
  <conditionalFormatting sqref="B8 M8 S8 AB8">
    <cfRule type="expression" dxfId="1450" priority="253">
      <formula>C$9&lt;8/24</formula>
    </cfRule>
    <cfRule type="expression" dxfId="1449" priority="252">
      <formula>AND(C$9&gt;=8/24,C$9&lt;14/24)</formula>
    </cfRule>
    <cfRule type="expression" dxfId="1448" priority="251">
      <formula>AND(C$9&gt;=14/24,C$9&lt;20/24)</formula>
    </cfRule>
  </conditionalFormatting>
  <conditionalFormatting sqref="B11:R11">
    <cfRule type="expression" dxfId="1447" priority="146">
      <formula>B$9&gt;=20/24</formula>
    </cfRule>
    <cfRule type="expression" dxfId="1446" priority="149">
      <formula>B$9&lt;8/24</formula>
    </cfRule>
    <cfRule type="expression" dxfId="1445" priority="148">
      <formula>AND(B$9&gt;=8/24,B$9&lt;14/24)</formula>
    </cfRule>
    <cfRule type="expression" dxfId="1444" priority="147">
      <formula>AND(B$9&gt;=14/24,B$9&lt;20/24)</formula>
    </cfRule>
  </conditionalFormatting>
  <conditionalFormatting sqref="B11:R16">
    <cfRule type="expression" dxfId="1443" priority="141">
      <formula>B11&gt;$AG11</formula>
    </cfRule>
  </conditionalFormatting>
  <conditionalFormatting sqref="B12:R15">
    <cfRule type="expression" dxfId="1442" priority="114">
      <formula>B$9&lt;8/24</formula>
    </cfRule>
    <cfRule type="expression" dxfId="1441" priority="113">
      <formula>AND(B$9&gt;=8/24,B$9&lt;14/24)</formula>
    </cfRule>
    <cfRule type="expression" dxfId="1440" priority="112">
      <formula>AND(B$9&gt;=14/24,B$9&lt;20/24)</formula>
    </cfRule>
    <cfRule type="expression" dxfId="1439" priority="111">
      <formula>B$9&gt;=20/24</formula>
    </cfRule>
  </conditionalFormatting>
  <conditionalFormatting sqref="B50:T56">
    <cfRule type="expression" dxfId="1438" priority="103">
      <formula>AND(B$9&gt;=14/24,B$9&lt;20/24)</formula>
    </cfRule>
    <cfRule type="expression" dxfId="1437" priority="102">
      <formula>B$9&gt;=20/24</formula>
    </cfRule>
    <cfRule type="expression" dxfId="1436" priority="105">
      <formula>B$9&lt;8/24</formula>
    </cfRule>
    <cfRule type="expression" dxfId="1435" priority="104">
      <formula>AND(B$9&gt;=8/24,B$9&lt;14/24)</formula>
    </cfRule>
  </conditionalFormatting>
  <conditionalFormatting sqref="B31:V37">
    <cfRule type="expression" dxfId="1434" priority="109">
      <formula>AND(B$9&gt;=8/24,B$9&lt;14/24)</formula>
    </cfRule>
    <cfRule type="expression" dxfId="1433" priority="110">
      <formula>B$9&lt;8/24</formula>
    </cfRule>
    <cfRule type="expression" dxfId="1432" priority="107">
      <formula>B$9&gt;=20/24</formula>
    </cfRule>
    <cfRule type="expression" dxfId="1431" priority="108">
      <formula>AND(B$9&gt;=14/24,B$9&lt;20/24)</formula>
    </cfRule>
  </conditionalFormatting>
  <conditionalFormatting sqref="B38:V38">
    <cfRule type="expression" dxfId="1430" priority="134">
      <formula>AND(B$9&gt;=14/24,B$9&lt;20/24)</formula>
    </cfRule>
    <cfRule type="expression" dxfId="1429" priority="133">
      <formula>B$9&gt;=20/24</formula>
    </cfRule>
    <cfRule type="expression" dxfId="1428" priority="136">
      <formula>B$9&lt;8/24</formula>
    </cfRule>
    <cfRule type="expression" dxfId="1427" priority="135">
      <formula>AND(B$9&gt;=8/24,B$9&lt;14/24)</formula>
    </cfRule>
  </conditionalFormatting>
  <conditionalFormatting sqref="B9:AF10 V11:AF11 B16:AF16 B216:AF216 B218:B224 D218:AF224 U237:AF237">
    <cfRule type="expression" dxfId="1426" priority="245">
      <formula>AND(B$9&gt;=14/24,B$9&lt;20/24)</formula>
    </cfRule>
    <cfRule type="expression" dxfId="1425" priority="246">
      <formula>AND(B$9&gt;=8/24,B$9&lt;14/24)</formula>
    </cfRule>
    <cfRule type="expression" dxfId="1424" priority="247">
      <formula>B$9&lt;8/24</formula>
    </cfRule>
  </conditionalFormatting>
  <conditionalFormatting sqref="B17:AF18">
    <cfRule type="expression" dxfId="1423" priority="26">
      <formula>B$9&lt;8/24</formula>
    </cfRule>
    <cfRule type="expression" dxfId="1422" priority="25">
      <formula>AND(B$9&gt;=8/24,B$9&lt;14/24)</formula>
    </cfRule>
    <cfRule type="expression" dxfId="1421" priority="24">
      <formula>AND(B$9&gt;=14/24,B$9&lt;20/24)</formula>
    </cfRule>
    <cfRule type="expression" dxfId="1420" priority="23">
      <formula>B$9&gt;=20/24</formula>
    </cfRule>
  </conditionalFormatting>
  <conditionalFormatting sqref="B17:AF24">
    <cfRule type="expression" dxfId="1419" priority="32">
      <formula>B17&gt;$AG17</formula>
    </cfRule>
  </conditionalFormatting>
  <conditionalFormatting sqref="B19:AF24">
    <cfRule type="expression" dxfId="1418" priority="95">
      <formula>AND(B$9&gt;=8/24,B$9&lt;14/24)</formula>
    </cfRule>
    <cfRule type="expression" dxfId="1417" priority="96">
      <formula>B$9&lt;8/24</formula>
    </cfRule>
    <cfRule type="expression" dxfId="1416" priority="94">
      <formula>AND(B$9&gt;=14/24,B$9&lt;20/24)</formula>
    </cfRule>
    <cfRule type="expression" dxfId="1415" priority="93">
      <formula>B$9&gt;=20/24</formula>
    </cfRule>
  </conditionalFormatting>
  <conditionalFormatting sqref="B25:AF27 B29:AF29 C59:AF61 B59:B62 C62:AG62 B75:B79 C79:AG79 B80:AF81">
    <cfRule type="expression" dxfId="1414" priority="124">
      <formula>B$9&gt;=20/24</formula>
    </cfRule>
    <cfRule type="expression" dxfId="1413" priority="126">
      <formula>AND(B$9&gt;=8/24,B$9&lt;14/24)</formula>
    </cfRule>
    <cfRule type="expression" dxfId="1412" priority="125">
      <formula>AND(B$9&gt;=14/24,B$9&lt;20/24)</formula>
    </cfRule>
    <cfRule type="expression" dxfId="1411" priority="127">
      <formula>B$9&lt;8/24</formula>
    </cfRule>
  </conditionalFormatting>
  <conditionalFormatting sqref="B25:AF29 B40:AG40 C57:AG58 B57:B62 C59:AF61 C62:AG62">
    <cfRule type="expression" dxfId="1410" priority="119">
      <formula>B25&gt;$AG25</formula>
    </cfRule>
  </conditionalFormatting>
  <conditionalFormatting sqref="B28:AF28">
    <cfRule type="expression" dxfId="1409" priority="98">
      <formula>AND(B$9&gt;=14/24,B$9&lt;20/24)</formula>
    </cfRule>
    <cfRule type="expression" dxfId="1408" priority="99">
      <formula>AND(B$9&gt;=8/24,B$9&lt;14/24)</formula>
    </cfRule>
    <cfRule type="expression" dxfId="1407" priority="100">
      <formula>B$9&lt;8/24</formula>
    </cfRule>
    <cfRule type="expression" dxfId="1406" priority="97">
      <formula>B$9&gt;=20/24</formula>
    </cfRule>
  </conditionalFormatting>
  <conditionalFormatting sqref="B30:AF30">
    <cfRule type="expression" dxfId="1405" priority="9">
      <formula>AND(B$9&gt;=8/24,B$9&lt;14/24)</formula>
    </cfRule>
    <cfRule type="expression" dxfId="1404" priority="7">
      <formula>B$9&gt;=20/24</formula>
    </cfRule>
    <cfRule type="expression" dxfId="1403" priority="8">
      <formula>AND(B$9&gt;=14/24,B$9&lt;20/24)</formula>
    </cfRule>
    <cfRule type="expression" dxfId="1402" priority="10">
      <formula>B$9&lt;8/24</formula>
    </cfRule>
  </conditionalFormatting>
  <conditionalFormatting sqref="B30:AF36">
    <cfRule type="expression" dxfId="1401" priority="6">
      <formula>B30&gt;$AG30</formula>
    </cfRule>
  </conditionalFormatting>
  <conditionalFormatting sqref="B38:AF39">
    <cfRule type="expression" dxfId="1400" priority="128">
      <formula>B38&gt;$AG38</formula>
    </cfRule>
  </conditionalFormatting>
  <conditionalFormatting sqref="B39:AF39">
    <cfRule type="expression" dxfId="1399" priority="142">
      <formula>B$9&gt;=20/24</formula>
    </cfRule>
    <cfRule type="expression" dxfId="1398" priority="143">
      <formula>AND(B$9&gt;=14/24,B$9&lt;20/24)</formula>
    </cfRule>
    <cfRule type="expression" dxfId="1397" priority="144">
      <formula>AND(B$9&gt;=8/24,B$9&lt;14/24)</formula>
    </cfRule>
    <cfRule type="expression" dxfId="1396" priority="145">
      <formula>B$9&lt;8/24</formula>
    </cfRule>
  </conditionalFormatting>
  <conditionalFormatting sqref="B45:AF47">
    <cfRule type="expression" dxfId="1395" priority="132">
      <formula>B$9&lt;8/24</formula>
    </cfRule>
    <cfRule type="expression" dxfId="1394" priority="131">
      <formula>AND(B$9&gt;=8/24,B$9&lt;14/24)</formula>
    </cfRule>
    <cfRule type="expression" dxfId="1393" priority="130">
      <formula>AND(B$9&gt;=14/24,B$9&lt;20/24)</formula>
    </cfRule>
    <cfRule type="expression" dxfId="1392" priority="129">
      <formula>B$9&gt;=20/24</formula>
    </cfRule>
  </conditionalFormatting>
  <conditionalFormatting sqref="B45:AF56">
    <cfRule type="expression" dxfId="1391" priority="1">
      <formula>B45&gt;$AG45</formula>
    </cfRule>
  </conditionalFormatting>
  <conditionalFormatting sqref="B63:AF74">
    <cfRule type="expression" dxfId="1390" priority="87">
      <formula>B$9&gt;=20/24</formula>
    </cfRule>
    <cfRule type="expression" dxfId="1389" priority="88">
      <formula>AND(B$9&gt;=14/24,B$9&lt;20/24)</formula>
    </cfRule>
    <cfRule type="expression" dxfId="1388" priority="89">
      <formula>AND(B$9&gt;=8/24,B$9&lt;14/24)</formula>
    </cfRule>
    <cfRule type="expression" dxfId="1387" priority="90">
      <formula>B$9&lt;8/24</formula>
    </cfRule>
  </conditionalFormatting>
  <conditionalFormatting sqref="B83:AF99">
    <cfRule type="expression" dxfId="1382" priority="66">
      <formula>AND(B$9&gt;=14/24,B$9&lt;20/24)</formula>
    </cfRule>
    <cfRule type="expression" dxfId="1381" priority="65">
      <formula>B$9&gt;=20/24</formula>
    </cfRule>
    <cfRule type="expression" dxfId="1380" priority="67">
      <formula>AND(B$9&gt;=8/24,B$9&lt;14/24)</formula>
    </cfRule>
    <cfRule type="expression" dxfId="1379" priority="68">
      <formula>B$9&lt;8/24</formula>
    </cfRule>
  </conditionalFormatting>
  <conditionalFormatting sqref="B101:AF108">
    <cfRule type="expression" dxfId="1378" priority="42">
      <formula>B$9&lt;8/24</formula>
    </cfRule>
    <cfRule type="expression" dxfId="1377" priority="41">
      <formula>AND(B$9&gt;=8/24,B$9&lt;14/24)</formula>
    </cfRule>
    <cfRule type="expression" dxfId="1376" priority="40">
      <formula>AND(B$9&gt;=14/24,B$9&lt;20/24)</formula>
    </cfRule>
    <cfRule type="expression" dxfId="1375" priority="39">
      <formula>B$9&gt;=20/24</formula>
    </cfRule>
  </conditionalFormatting>
  <conditionalFormatting sqref="C41:AF43 B41:B44 C44:AG44">
    <cfRule type="expression" dxfId="1370" priority="77">
      <formula>B$9&lt;8/24</formula>
    </cfRule>
    <cfRule type="expression" dxfId="1369" priority="76">
      <formula>AND(B$9&gt;=8/24,B$9&lt;14/24)</formula>
    </cfRule>
    <cfRule type="expression" dxfId="1368" priority="75">
      <formula>AND(B$9&gt;=14/24,B$9&lt;20/24)</formula>
    </cfRule>
    <cfRule type="expression" dxfId="1367" priority="74">
      <formula>B$9&gt;=20/24</formula>
    </cfRule>
    <cfRule type="expression" dxfId="1366" priority="73">
      <formula>B41&gt;$AG41</formula>
    </cfRule>
  </conditionalFormatting>
  <conditionalFormatting sqref="M48:T49">
    <cfRule type="expression" dxfId="1365" priority="3">
      <formula>AND(M$9&gt;=14/24,M$9&lt;20/24)</formula>
    </cfRule>
    <cfRule type="expression" dxfId="1364" priority="4">
      <formula>AND(M$9&gt;=8/24,M$9&lt;14/24)</formula>
    </cfRule>
    <cfRule type="expression" dxfId="1363" priority="2">
      <formula>M$9&gt;=20/24</formula>
    </cfRule>
    <cfRule type="expression" dxfId="1362" priority="5">
      <formula>M$9&lt;8/24</formula>
    </cfRule>
  </conditionalFormatting>
  <conditionalFormatting sqref="O3:P3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361" priority="250">
      <formula>C$9&gt;=20/24</formula>
    </cfRule>
  </conditionalFormatting>
  <conditionalFormatting sqref="S8">
    <cfRule type="expression" dxfId="1360" priority="220">
      <formula>AND(U$9&gt;=14/24,U$9&lt;20/24)</formula>
    </cfRule>
    <cfRule type="expression" dxfId="1359" priority="221">
      <formula>AND(U$9&gt;=8/24,U$9&lt;14/24)</formula>
    </cfRule>
    <cfRule type="expression" dxfId="1358" priority="222">
      <formula>U$9&lt;8/24</formula>
    </cfRule>
    <cfRule type="expression" dxfId="1357" priority="219">
      <formula>U$9&gt;=20/24</formula>
    </cfRule>
  </conditionalFormatting>
  <conditionalFormatting sqref="S11:U11">
    <cfRule type="expression" dxfId="1356" priority="196">
      <formula>S11&gt;$AG11</formula>
    </cfRule>
  </conditionalFormatting>
  <conditionalFormatting sqref="S11:U14 V12:AF14 C75:AF78">
    <cfRule type="expression" dxfId="1355" priority="204">
      <formula>C$9&lt;8/24</formula>
    </cfRule>
    <cfRule type="expression" dxfId="1354" priority="201">
      <formula>C$9&gt;=20/24</formula>
    </cfRule>
    <cfRule type="expression" dxfId="1353" priority="202">
      <formula>AND(C$9&gt;=14/24,C$9&lt;20/24)</formula>
    </cfRule>
    <cfRule type="expression" dxfId="1352" priority="203">
      <formula>AND(C$9&gt;=8/24,C$9&lt;14/24)</formula>
    </cfRule>
  </conditionalFormatting>
  <conditionalFormatting sqref="S11:AF16 B37:AF37">
    <cfRule type="expression" dxfId="1351" priority="238">
      <formula>B11&gt;$AG11</formula>
    </cfRule>
  </conditionalFormatting>
  <conditionalFormatting sqref="S15:AF15">
    <cfRule type="expression" dxfId="1350" priority="191">
      <formula>S$9&lt;8/24</formula>
    </cfRule>
    <cfRule type="expression" dxfId="1349" priority="188">
      <formula>S$9&gt;=20/24</formula>
    </cfRule>
    <cfRule type="expression" dxfId="1348" priority="189">
      <formula>AND(S$9&gt;=14/24,S$9&lt;20/24)</formula>
    </cfRule>
    <cfRule type="expression" dxfId="1347" priority="190">
      <formula>AND(S$9&gt;=8/24,S$9&lt;14/24)</formula>
    </cfRule>
  </conditionalFormatting>
  <conditionalFormatting sqref="T237">
    <cfRule type="expression" dxfId="1346" priority="264">
      <formula>AND(AX$9&gt;=14/24,AX$9&lt;20/24)</formula>
    </cfRule>
    <cfRule type="expression" dxfId="1345" priority="265">
      <formula>AND(AX$9&gt;=8/24,AX$9&lt;14/24)</formula>
    </cfRule>
    <cfRule type="expression" dxfId="1344" priority="266">
      <formula>AX$9&lt;8/24</formula>
    </cfRule>
    <cfRule type="expression" dxfId="1343" priority="263">
      <formula>AX$9&gt;=20/24</formula>
    </cfRule>
  </conditionalFormatting>
  <conditionalFormatting sqref="V3 AB3">
    <cfRule type="iconSet" priority="249">
      <iconSet iconSet="3TrafficLights2" reverse="1">
        <cfvo type="percent" val="0"/>
        <cfvo type="num" val="1"/>
        <cfvo type="num" val="1"/>
      </iconSet>
    </cfRule>
  </conditionalFormatting>
  <conditionalFormatting sqref="V48:AA50 U48:U56">
    <cfRule type="expression" dxfId="1342" priority="174">
      <formula>U$9&gt;=20/24</formula>
    </cfRule>
    <cfRule type="expression" dxfId="1341" priority="175">
      <formula>AND(U$9&gt;=14/24,U$9&lt;20/24)</formula>
    </cfRule>
    <cfRule type="expression" dxfId="1340" priority="177">
      <formula>U$9&lt;8/24</formula>
    </cfRule>
    <cfRule type="expression" dxfId="1339" priority="176">
      <formula>AND(U$9&gt;=8/24,U$9&lt;14/24)</formula>
    </cfRule>
  </conditionalFormatting>
  <conditionalFormatting sqref="V11:AF11 B16:AF16 B9:AF10 B216:AF216 B218:B224 D218:AF224 U237:AF237">
    <cfRule type="expression" dxfId="1338" priority="244">
      <formula>B$9&gt;=20/24</formula>
    </cfRule>
  </conditionalFormatting>
  <conditionalFormatting sqref="V51:AF56">
    <cfRule type="expression" dxfId="1337" priority="38">
      <formula>V$9&lt;8/24</formula>
    </cfRule>
    <cfRule type="expression" dxfId="1336" priority="37">
      <formula>AND(V$9&gt;=8/24,V$9&lt;14/24)</formula>
    </cfRule>
    <cfRule type="expression" dxfId="1335" priority="35">
      <formula>V$9&gt;=20/24</formula>
    </cfRule>
    <cfRule type="expression" dxfId="1334" priority="36">
      <formula>AND(V$9&gt;=14/24,V$9&lt;20/24)</formula>
    </cfRule>
  </conditionalFormatting>
  <conditionalFormatting sqref="W31:AF38">
    <cfRule type="expression" dxfId="1333" priority="187">
      <formula>W$9&lt;8/24</formula>
    </cfRule>
    <cfRule type="expression" dxfId="1332" priority="185">
      <formula>AND(W$9&gt;=14/24,W$9&lt;20/24)</formula>
    </cfRule>
    <cfRule type="expression" dxfId="1331" priority="184">
      <formula>W$9&gt;=20/24</formula>
    </cfRule>
    <cfRule type="expression" dxfId="1330" priority="186">
      <formula>AND(W$9&gt;=8/24,W$9&lt;14/24)</formula>
    </cfRule>
  </conditionalFormatting>
  <conditionalFormatting sqref="AB8">
    <cfRule type="expression" dxfId="1329" priority="218">
      <formula>AD$9&lt;8/24</formula>
    </cfRule>
    <cfRule type="expression" dxfId="1328" priority="217">
      <formula>AND(AD$9&gt;=8/24,AD$9&lt;14/24)</formula>
    </cfRule>
    <cfRule type="expression" dxfId="1327" priority="215">
      <formula>AD$9&gt;=20/24</formula>
    </cfRule>
    <cfRule type="expression" dxfId="1326" priority="216">
      <formula>AND(AD$9&gt;=14/24,AD$9&lt;20/24)</formula>
    </cfRule>
  </conditionalFormatting>
  <conditionalFormatting sqref="AB50:AF50">
    <cfRule type="expression" dxfId="1325" priority="179">
      <formula>AB$9&gt;=20/24</formula>
    </cfRule>
    <cfRule type="expression" dxfId="1324" priority="180">
      <formula>AND(AB$9&gt;=14/24,AB$9&lt;20/24)</formula>
    </cfRule>
    <cfRule type="expression" dxfId="1323" priority="181">
      <formula>AND(AB$9&gt;=8/24,AB$9&lt;14/24)</formula>
    </cfRule>
    <cfRule type="expression" dxfId="1322" priority="182">
      <formula>AB$9&lt;8/24</formula>
    </cfRule>
  </conditionalFormatting>
  <conditionalFormatting sqref="AG237">
    <cfRule type="expression" dxfId="1321" priority="255">
      <formula>B$9&gt;=20/24</formula>
    </cfRule>
    <cfRule type="expression" dxfId="1320" priority="256">
      <formula>AND(B$9&gt;=14/24,B$9&lt;20/24)</formula>
    </cfRule>
    <cfRule type="expression" dxfId="1319" priority="257">
      <formula>AND(B$9&gt;=8/24,B$9&lt;14/24)</formula>
    </cfRule>
    <cfRule type="expression" dxfId="1318" priority="258">
      <formula>B$9&lt;8/24</formula>
    </cfRule>
  </conditionalFormatting>
  <conditionalFormatting sqref="AH237:AX237">
    <cfRule type="expression" dxfId="1317" priority="261">
      <formula>AND(AG$9&gt;=8/24,AG$9&lt;14/24)</formula>
    </cfRule>
    <cfRule type="expression" dxfId="1316" priority="259">
      <formula>AG$9&gt;=20/24</formula>
    </cfRule>
    <cfRule type="expression" dxfId="1315" priority="260">
      <formula>AND(AG$9&gt;=14/24,AG$9&lt;20/24)</formula>
    </cfRule>
    <cfRule type="expression" dxfId="1314" priority="262">
      <formula>AG$9&lt;8/24</formula>
    </cfRule>
  </conditionalFormatting>
  <conditionalFormatting sqref="AL4:AL6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AL17">
    <cfRule type="iconSet" priority="33">
      <iconSet iconSet="3TrafficLights2" reverse="1">
        <cfvo type="percent" val="0"/>
        <cfvo type="num" val="1"/>
        <cfvo type="num" val="1"/>
      </iconSet>
    </cfRule>
  </conditionalFormatting>
  <conditionalFormatting sqref="AL30">
    <cfRule type="iconSet" priority="2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64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AL36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AL37 AL34 AL18:AL29 AL7:AL16 AL31:AL32">
    <cfRule type="iconSet" priority="26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id="{2194F4CC-916B-4250-B531-9B2BCFBA751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62" id="{C1204CCB-D7C6-4B11-A54A-E0541D6BD5B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1" id="{0196C812-A0D4-41D4-9070-1BAE710E589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0" id="{9E28740C-8954-482A-8DB3-531C72D26B4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51" id="{5133C591-987B-4E60-9B1C-B612D66A3EF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2" id="{7237DB32-AD98-4AEB-9079-9C3914190BA9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50" id="{D6BB5F3A-E3B0-41CE-B3D8-A069C58AEAC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9" id="{8704CFDD-5257-4DEF-B6A4-B114A3EBD4B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m:sqref>B109:AF109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270"/>
  <sheetViews>
    <sheetView zoomScale="90" zoomScaleNormal="90" workbookViewId="0">
      <pane xSplit="1" ySplit="10" topLeftCell="J23" activePane="bottomRight" state="frozen"/>
      <selection activeCell="AF88" sqref="AF88"/>
      <selection pane="topRight" activeCell="AF88" sqref="AF88"/>
      <selection pane="bottomLeft" activeCell="AF88" sqref="AF88"/>
      <selection pane="bottomRight" activeCell="AM44" sqref="AM44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20.28515625" style="1" bestFit="1" customWidth="1"/>
    <col min="37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J3" s="170">
        <v>104.83</v>
      </c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2079/06/8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J4" s="170">
        <v>100.07</v>
      </c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13.6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1163MW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Load=1047</v>
      </c>
      <c r="B7" s="35">
        <f t="shared" ref="B7:AF7" si="1">B81</f>
        <v>1361.8400000000001</v>
      </c>
      <c r="C7" s="35">
        <f t="shared" si="1"/>
        <v>1059.74</v>
      </c>
      <c r="D7" s="35">
        <f t="shared" si="1"/>
        <v>1067.04</v>
      </c>
      <c r="E7" s="35">
        <f t="shared" si="1"/>
        <v>1059.1399999999999</v>
      </c>
      <c r="F7" s="35">
        <f t="shared" si="1"/>
        <v>1054.94</v>
      </c>
      <c r="G7" s="35">
        <f t="shared" si="1"/>
        <v>1081.44</v>
      </c>
      <c r="H7" s="35">
        <f t="shared" si="1"/>
        <v>1110.8399999999999</v>
      </c>
      <c r="I7" s="35">
        <f t="shared" si="1"/>
        <v>1107.8399999999999</v>
      </c>
      <c r="J7" s="35">
        <f t="shared" si="1"/>
        <v>1099.1399999999999</v>
      </c>
      <c r="K7" s="35">
        <f t="shared" si="1"/>
        <v>1119.1399999999999</v>
      </c>
      <c r="L7" s="35">
        <f t="shared" si="1"/>
        <v>1130.04</v>
      </c>
      <c r="M7" s="35">
        <f t="shared" si="1"/>
        <v>1162.7860000000001</v>
      </c>
      <c r="N7" s="35">
        <f t="shared" si="1"/>
        <v>1159.04</v>
      </c>
      <c r="O7" s="35">
        <f t="shared" si="1"/>
        <v>1127.6399999999999</v>
      </c>
      <c r="P7" s="35">
        <f t="shared" si="1"/>
        <v>1094.3399999999999</v>
      </c>
      <c r="Q7" s="35">
        <f t="shared" si="1"/>
        <v>1061.74</v>
      </c>
      <c r="R7" s="35">
        <f t="shared" si="1"/>
        <v>1047.3399999999999</v>
      </c>
      <c r="S7" s="35">
        <f t="shared" si="1"/>
        <v>1072.54</v>
      </c>
      <c r="T7" s="35">
        <f t="shared" si="1"/>
        <v>1072.6399999999999</v>
      </c>
      <c r="U7" s="35">
        <f>U81</f>
        <v>1072.7399999999998</v>
      </c>
      <c r="V7" s="35">
        <f t="shared" si="1"/>
        <v>1072.7399999999998</v>
      </c>
      <c r="W7" s="35">
        <f t="shared" si="1"/>
        <v>1176.54</v>
      </c>
      <c r="X7" s="35">
        <f t="shared" si="1"/>
        <v>1400.34</v>
      </c>
      <c r="Y7" s="35">
        <f t="shared" si="1"/>
        <v>1399.94</v>
      </c>
      <c r="Z7" s="35">
        <f t="shared" si="1"/>
        <v>1377.94</v>
      </c>
      <c r="AA7" s="35">
        <f t="shared" si="1"/>
        <v>1340.1399999999999</v>
      </c>
      <c r="AB7" s="35">
        <f t="shared" si="1"/>
        <v>1278.94</v>
      </c>
      <c r="AC7" s="35">
        <f t="shared" si="1"/>
        <v>1256.7399999999998</v>
      </c>
      <c r="AD7" s="35">
        <f t="shared" si="1"/>
        <v>1242.7399999999998</v>
      </c>
      <c r="AE7" s="35">
        <f t="shared" si="1"/>
        <v>1124.7399999999998</v>
      </c>
      <c r="AF7" s="35">
        <f t="shared" si="1"/>
        <v>1103.8399999999999</v>
      </c>
      <c r="AG7" s="36"/>
      <c r="AI7" s="37"/>
      <c r="AJ7" s="10">
        <f>1425*24-(B7+C7+D7+E7+F7+G7+I7+K7+M7+N7+O7+P7+Q7+R7+S7+T7+U7+V7+X7+Z7+AB7+AD7+AE7+AF7)</f>
        <v>6816.7940000000053</v>
      </c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J8" s="48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51.4</v>
      </c>
      <c r="C11" s="45">
        <v>51.4</v>
      </c>
      <c r="D11" s="45">
        <v>51.4</v>
      </c>
      <c r="E11" s="45">
        <v>51.4</v>
      </c>
      <c r="F11" s="45">
        <v>51.4</v>
      </c>
      <c r="G11" s="45">
        <v>51.4</v>
      </c>
      <c r="H11" s="45">
        <v>51.4</v>
      </c>
      <c r="I11" s="45">
        <v>51.4</v>
      </c>
      <c r="J11" s="45">
        <v>51.4</v>
      </c>
      <c r="K11" s="45">
        <v>51.4</v>
      </c>
      <c r="L11" s="45">
        <v>51.4</v>
      </c>
      <c r="M11" s="45">
        <v>51.4</v>
      </c>
      <c r="N11" s="45">
        <v>52.7</v>
      </c>
      <c r="O11" s="45">
        <v>52.8</v>
      </c>
      <c r="P11" s="45">
        <v>52.8</v>
      </c>
      <c r="Q11" s="45">
        <v>40.299999999999997</v>
      </c>
      <c r="R11" s="45">
        <v>30.6</v>
      </c>
      <c r="S11" s="45">
        <v>51.4</v>
      </c>
      <c r="T11" s="46">
        <v>51.4</v>
      </c>
      <c r="U11" s="46">
        <v>51.4</v>
      </c>
      <c r="V11" s="46">
        <v>51.4</v>
      </c>
      <c r="W11" s="46">
        <v>51.4</v>
      </c>
      <c r="X11" s="46">
        <v>51.4</v>
      </c>
      <c r="Y11" s="46">
        <v>51.4</v>
      </c>
      <c r="Z11" s="46">
        <v>51.4</v>
      </c>
      <c r="AA11" s="46">
        <v>51.4</v>
      </c>
      <c r="AB11" s="46">
        <v>51.4</v>
      </c>
      <c r="AC11" s="46">
        <v>51.4</v>
      </c>
      <c r="AD11" s="46">
        <v>51.4</v>
      </c>
      <c r="AE11" s="46">
        <v>51.4</v>
      </c>
      <c r="AF11" s="46">
        <v>51.4</v>
      </c>
      <c r="AG11" s="47">
        <v>52.4</v>
      </c>
      <c r="AH11" s="48">
        <f>MAX(B11:AF11)</f>
        <v>52.8</v>
      </c>
      <c r="AI11" s="49">
        <f>MIN(B11:AF11)</f>
        <v>30.6</v>
      </c>
      <c r="AK11" s="46">
        <v>52.4</v>
      </c>
      <c r="AL11" s="28"/>
      <c r="AM11" s="46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50.5</v>
      </c>
      <c r="C12" s="45">
        <v>50.5</v>
      </c>
      <c r="D12" s="45">
        <v>50.5</v>
      </c>
      <c r="E12" s="45">
        <v>50.5</v>
      </c>
      <c r="F12" s="45">
        <v>50.5</v>
      </c>
      <c r="G12" s="45">
        <v>50.5</v>
      </c>
      <c r="H12" s="45">
        <v>50.5</v>
      </c>
      <c r="I12" s="45">
        <v>50.5</v>
      </c>
      <c r="J12" s="45">
        <v>50.5</v>
      </c>
      <c r="K12" s="45">
        <v>50.5</v>
      </c>
      <c r="L12" s="45">
        <v>50.5</v>
      </c>
      <c r="M12" s="45">
        <v>50.5</v>
      </c>
      <c r="N12" s="45">
        <v>50.3</v>
      </c>
      <c r="O12" s="45">
        <v>50.2</v>
      </c>
      <c r="P12" s="45">
        <v>50.2</v>
      </c>
      <c r="Q12" s="45">
        <v>50.2</v>
      </c>
      <c r="R12" s="45">
        <v>50.4</v>
      </c>
      <c r="S12" s="45">
        <v>50.3</v>
      </c>
      <c r="T12" s="45">
        <v>50.3</v>
      </c>
      <c r="U12" s="45">
        <v>50.3</v>
      </c>
      <c r="V12" s="45">
        <v>50.3</v>
      </c>
      <c r="W12" s="45">
        <v>50.3</v>
      </c>
      <c r="X12" s="45">
        <v>50.3</v>
      </c>
      <c r="Y12" s="45">
        <v>50.3</v>
      </c>
      <c r="Z12" s="45">
        <v>50.3</v>
      </c>
      <c r="AA12" s="45">
        <v>50.3</v>
      </c>
      <c r="AB12" s="45">
        <v>50.3</v>
      </c>
      <c r="AC12" s="45">
        <v>50.3</v>
      </c>
      <c r="AD12" s="45">
        <v>50.3</v>
      </c>
      <c r="AE12" s="45">
        <v>50.3</v>
      </c>
      <c r="AF12" s="45">
        <v>50.3</v>
      </c>
      <c r="AG12" s="51">
        <v>50</v>
      </c>
      <c r="AH12" s="48">
        <f>MAX(B12:AF12)</f>
        <v>50.5</v>
      </c>
      <c r="AI12" s="49">
        <f t="shared" ref="AI12:AI75" si="2">MIN(B12:AF12)</f>
        <v>50.2</v>
      </c>
      <c r="AK12" s="45">
        <v>50</v>
      </c>
      <c r="AL12" s="28"/>
      <c r="AM12" s="45"/>
      <c r="AN12" s="59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36</v>
      </c>
      <c r="C13" s="45">
        <v>36</v>
      </c>
      <c r="D13" s="45">
        <v>36</v>
      </c>
      <c r="E13" s="45">
        <v>36</v>
      </c>
      <c r="F13" s="45">
        <v>36</v>
      </c>
      <c r="G13" s="45">
        <v>36</v>
      </c>
      <c r="H13" s="45">
        <v>36</v>
      </c>
      <c r="I13" s="45">
        <v>36</v>
      </c>
      <c r="J13" s="45">
        <v>36</v>
      </c>
      <c r="K13" s="45">
        <v>36</v>
      </c>
      <c r="L13" s="45">
        <v>36</v>
      </c>
      <c r="M13" s="45">
        <v>36</v>
      </c>
      <c r="N13" s="45">
        <v>36.6</v>
      </c>
      <c r="O13" s="45">
        <v>36.700000000000003</v>
      </c>
      <c r="P13" s="45">
        <v>36.700000000000003</v>
      </c>
      <c r="Q13" s="45">
        <v>26.7</v>
      </c>
      <c r="R13" s="45">
        <v>26.7</v>
      </c>
      <c r="S13" s="45">
        <v>26.6</v>
      </c>
      <c r="T13" s="45">
        <v>26.6</v>
      </c>
      <c r="U13" s="45">
        <v>26.6</v>
      </c>
      <c r="V13" s="45">
        <v>26.6</v>
      </c>
      <c r="W13" s="45">
        <v>26.6</v>
      </c>
      <c r="X13" s="45">
        <v>46</v>
      </c>
      <c r="Y13" s="45">
        <v>46</v>
      </c>
      <c r="Z13" s="45">
        <v>46</v>
      </c>
      <c r="AA13" s="45">
        <v>46</v>
      </c>
      <c r="AB13" s="45">
        <v>46</v>
      </c>
      <c r="AC13" s="45">
        <v>46</v>
      </c>
      <c r="AD13" s="45">
        <v>46</v>
      </c>
      <c r="AE13" s="45">
        <v>36</v>
      </c>
      <c r="AF13" s="45">
        <v>36</v>
      </c>
      <c r="AG13" s="51">
        <v>45</v>
      </c>
      <c r="AH13" s="48">
        <f t="shared" ref="AH13:AH75" si="3">MAX(B13:AF13)</f>
        <v>46</v>
      </c>
      <c r="AI13" s="49">
        <f t="shared" si="2"/>
        <v>26.6</v>
      </c>
      <c r="AK13" s="45">
        <v>45</v>
      </c>
      <c r="AL13" s="28"/>
      <c r="AM13" s="45"/>
      <c r="AN13" s="59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20</v>
      </c>
      <c r="C14" s="45">
        <v>20</v>
      </c>
      <c r="D14" s="45">
        <v>20</v>
      </c>
      <c r="E14" s="45">
        <v>20</v>
      </c>
      <c r="F14" s="45">
        <v>20</v>
      </c>
      <c r="G14" s="45">
        <v>20</v>
      </c>
      <c r="H14" s="45">
        <v>20</v>
      </c>
      <c r="I14" s="45">
        <v>20</v>
      </c>
      <c r="J14" s="45">
        <v>20</v>
      </c>
      <c r="K14" s="45">
        <v>20</v>
      </c>
      <c r="L14" s="45">
        <v>20</v>
      </c>
      <c r="M14" s="45">
        <v>20</v>
      </c>
      <c r="N14" s="45">
        <v>21</v>
      </c>
      <c r="O14" s="45">
        <v>21</v>
      </c>
      <c r="P14" s="45">
        <v>21</v>
      </c>
      <c r="Q14" s="45">
        <v>15</v>
      </c>
      <c r="R14" s="45">
        <v>11</v>
      </c>
      <c r="S14" s="45">
        <v>14</v>
      </c>
      <c r="T14" s="45">
        <v>14</v>
      </c>
      <c r="U14" s="45">
        <v>14</v>
      </c>
      <c r="V14" s="45">
        <v>14</v>
      </c>
      <c r="W14" s="45">
        <v>14</v>
      </c>
      <c r="X14" s="45">
        <v>40.799999999999997</v>
      </c>
      <c r="Y14" s="45">
        <v>40.799999999999997</v>
      </c>
      <c r="Z14" s="45">
        <v>40.799999999999997</v>
      </c>
      <c r="AA14" s="45">
        <v>30</v>
      </c>
      <c r="AB14" s="45">
        <v>28.5</v>
      </c>
      <c r="AC14" s="45">
        <v>20</v>
      </c>
      <c r="AD14" s="45">
        <v>20</v>
      </c>
      <c r="AE14" s="45">
        <v>20</v>
      </c>
      <c r="AF14" s="45">
        <v>20</v>
      </c>
      <c r="AG14" s="51">
        <v>42</v>
      </c>
      <c r="AH14" s="48">
        <f t="shared" si="3"/>
        <v>40.799999999999997</v>
      </c>
      <c r="AI14" s="49">
        <f t="shared" si="2"/>
        <v>11</v>
      </c>
      <c r="AK14" s="45">
        <v>42</v>
      </c>
      <c r="AL14" s="28"/>
      <c r="AM14" s="45"/>
      <c r="AN14" s="59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30</v>
      </c>
      <c r="Y15" s="45">
        <v>30</v>
      </c>
      <c r="Z15" s="45">
        <v>20</v>
      </c>
      <c r="AA15" s="45">
        <v>10.5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52">
        <v>30</v>
      </c>
      <c r="AH15" s="48">
        <f t="shared" si="3"/>
        <v>30</v>
      </c>
      <c r="AI15" s="49">
        <f t="shared" si="2"/>
        <v>0</v>
      </c>
      <c r="AK15" s="45">
        <v>30</v>
      </c>
      <c r="AL15" s="28"/>
      <c r="AM15" s="45">
        <v>30</v>
      </c>
      <c r="AN15" s="59">
        <v>30</v>
      </c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15.3</v>
      </c>
      <c r="C16" s="45">
        <v>15.3</v>
      </c>
      <c r="D16" s="45">
        <v>15.3</v>
      </c>
      <c r="E16" s="45">
        <v>15.3</v>
      </c>
      <c r="F16" s="45">
        <v>15.3</v>
      </c>
      <c r="G16" s="45">
        <v>15.3</v>
      </c>
      <c r="H16" s="45">
        <v>15.3</v>
      </c>
      <c r="I16" s="45">
        <v>15.3</v>
      </c>
      <c r="J16" s="45">
        <v>17.5</v>
      </c>
      <c r="K16" s="45">
        <v>17.5</v>
      </c>
      <c r="L16" s="45">
        <v>17.5</v>
      </c>
      <c r="M16" s="45">
        <v>17.5</v>
      </c>
      <c r="N16" s="45">
        <v>17.5</v>
      </c>
      <c r="O16" s="45">
        <v>17.5</v>
      </c>
      <c r="P16" s="45">
        <v>17.5</v>
      </c>
      <c r="Q16" s="45">
        <v>17.5</v>
      </c>
      <c r="R16" s="45">
        <v>17.5</v>
      </c>
      <c r="S16" s="45">
        <v>17.5</v>
      </c>
      <c r="T16" s="45">
        <v>17.5</v>
      </c>
      <c r="U16" s="45">
        <v>17.5</v>
      </c>
      <c r="V16" s="45">
        <v>17.5</v>
      </c>
      <c r="W16" s="45">
        <v>17.5</v>
      </c>
      <c r="X16" s="45">
        <v>20</v>
      </c>
      <c r="Y16" s="45">
        <v>33.200000000000003</v>
      </c>
      <c r="Z16" s="45">
        <v>33.200000000000003</v>
      </c>
      <c r="AA16" s="45">
        <v>14.6</v>
      </c>
      <c r="AB16" s="45">
        <v>14.6</v>
      </c>
      <c r="AC16" s="45">
        <v>14.6</v>
      </c>
      <c r="AD16" s="45">
        <v>14.6</v>
      </c>
      <c r="AE16" s="45">
        <v>14.6</v>
      </c>
      <c r="AF16" s="45">
        <v>14.6</v>
      </c>
      <c r="AG16" s="51">
        <v>24.2</v>
      </c>
      <c r="AH16" s="48">
        <f t="shared" si="3"/>
        <v>33.200000000000003</v>
      </c>
      <c r="AI16" s="49">
        <f t="shared" si="2"/>
        <v>14.6</v>
      </c>
      <c r="AK16" s="45">
        <v>29</v>
      </c>
      <c r="AL16" s="28"/>
      <c r="AM16" s="45"/>
      <c r="AN16" s="59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27</v>
      </c>
      <c r="Y17" s="45">
        <v>27</v>
      </c>
      <c r="Z17" s="45">
        <v>15</v>
      </c>
      <c r="AA17" s="45">
        <v>15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52">
        <v>30</v>
      </c>
      <c r="AH17" s="48">
        <f t="shared" si="3"/>
        <v>27</v>
      </c>
      <c r="AI17" s="49">
        <f t="shared" si="2"/>
        <v>0</v>
      </c>
      <c r="AK17" s="45">
        <v>27</v>
      </c>
      <c r="AL17" s="28"/>
      <c r="AM17" s="45">
        <v>27</v>
      </c>
      <c r="AN17" s="59">
        <v>27</v>
      </c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15</v>
      </c>
      <c r="C18" s="45">
        <v>15</v>
      </c>
      <c r="D18" s="45">
        <v>15</v>
      </c>
      <c r="E18" s="45">
        <v>15</v>
      </c>
      <c r="F18" s="45">
        <v>15</v>
      </c>
      <c r="G18" s="45">
        <v>15</v>
      </c>
      <c r="H18" s="45">
        <v>15</v>
      </c>
      <c r="I18" s="45">
        <v>15</v>
      </c>
      <c r="J18" s="45">
        <v>15</v>
      </c>
      <c r="K18" s="45">
        <v>15</v>
      </c>
      <c r="L18" s="45">
        <v>15</v>
      </c>
      <c r="M18" s="45">
        <v>15</v>
      </c>
      <c r="N18" s="45">
        <v>16.7</v>
      </c>
      <c r="O18" s="45">
        <v>16.8</v>
      </c>
      <c r="P18" s="45">
        <v>16.8</v>
      </c>
      <c r="Q18" s="45">
        <v>16.8</v>
      </c>
      <c r="R18" s="45">
        <v>16.8</v>
      </c>
      <c r="S18" s="45">
        <v>16.8</v>
      </c>
      <c r="T18" s="45">
        <v>16.899999999999999</v>
      </c>
      <c r="U18" s="45">
        <v>16.899999999999999</v>
      </c>
      <c r="V18" s="45">
        <v>16.899999999999999</v>
      </c>
      <c r="W18" s="45">
        <v>16.899999999999999</v>
      </c>
      <c r="X18" s="45">
        <v>25.1</v>
      </c>
      <c r="Y18" s="45">
        <v>25.1</v>
      </c>
      <c r="Z18" s="45">
        <v>25.1</v>
      </c>
      <c r="AA18" s="45">
        <v>25.1</v>
      </c>
      <c r="AB18" s="45">
        <v>20</v>
      </c>
      <c r="AC18" s="45">
        <v>20</v>
      </c>
      <c r="AD18" s="45">
        <v>20</v>
      </c>
      <c r="AE18" s="45">
        <v>20</v>
      </c>
      <c r="AF18" s="45">
        <v>20</v>
      </c>
      <c r="AG18" s="51">
        <v>25</v>
      </c>
      <c r="AH18" s="48">
        <f t="shared" si="3"/>
        <v>25.1</v>
      </c>
      <c r="AI18" s="49">
        <f t="shared" si="2"/>
        <v>15</v>
      </c>
      <c r="AK18" s="45">
        <v>25</v>
      </c>
      <c r="AL18" s="28"/>
      <c r="AM18" s="45"/>
      <c r="AN18" s="59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25</v>
      </c>
      <c r="C19" s="45">
        <v>25</v>
      </c>
      <c r="D19" s="45">
        <v>25</v>
      </c>
      <c r="E19" s="45">
        <v>25</v>
      </c>
      <c r="F19" s="45">
        <v>25</v>
      </c>
      <c r="G19" s="45">
        <v>25</v>
      </c>
      <c r="H19" s="45">
        <v>25</v>
      </c>
      <c r="I19" s="45">
        <v>25</v>
      </c>
      <c r="J19" s="45">
        <v>25</v>
      </c>
      <c r="K19" s="45">
        <v>25</v>
      </c>
      <c r="L19" s="45">
        <v>25</v>
      </c>
      <c r="M19" s="45">
        <v>25</v>
      </c>
      <c r="N19" s="45">
        <v>25</v>
      </c>
      <c r="O19" s="45">
        <v>25</v>
      </c>
      <c r="P19" s="45">
        <v>20</v>
      </c>
      <c r="Q19" s="45">
        <v>25</v>
      </c>
      <c r="R19" s="45">
        <v>25</v>
      </c>
      <c r="S19" s="45">
        <v>25</v>
      </c>
      <c r="T19" s="45">
        <v>25</v>
      </c>
      <c r="U19" s="45">
        <v>25</v>
      </c>
      <c r="V19" s="45">
        <v>25</v>
      </c>
      <c r="W19" s="45">
        <v>25</v>
      </c>
      <c r="X19" s="45">
        <v>25</v>
      </c>
      <c r="Y19" s="45">
        <v>25</v>
      </c>
      <c r="Z19" s="45">
        <v>25</v>
      </c>
      <c r="AA19" s="45">
        <v>25</v>
      </c>
      <c r="AB19" s="45">
        <v>25</v>
      </c>
      <c r="AC19" s="45">
        <v>25</v>
      </c>
      <c r="AD19" s="45">
        <v>25</v>
      </c>
      <c r="AE19" s="45">
        <v>25</v>
      </c>
      <c r="AF19" s="45">
        <v>25</v>
      </c>
      <c r="AG19" s="51">
        <v>25</v>
      </c>
      <c r="AH19" s="48">
        <f t="shared" si="3"/>
        <v>25</v>
      </c>
      <c r="AI19" s="49">
        <f t="shared" si="2"/>
        <v>20</v>
      </c>
      <c r="AK19" s="45">
        <v>25</v>
      </c>
      <c r="AL19" s="28"/>
      <c r="AM19" s="45"/>
      <c r="AN19" s="59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15</v>
      </c>
      <c r="C20" s="45">
        <v>15</v>
      </c>
      <c r="D20" s="45">
        <v>15</v>
      </c>
      <c r="E20" s="45">
        <v>15</v>
      </c>
      <c r="F20" s="45">
        <v>15</v>
      </c>
      <c r="G20" s="45">
        <v>15</v>
      </c>
      <c r="H20" s="45">
        <v>15</v>
      </c>
      <c r="I20" s="45">
        <v>15</v>
      </c>
      <c r="J20" s="45">
        <v>15</v>
      </c>
      <c r="K20" s="45">
        <v>15</v>
      </c>
      <c r="L20" s="45">
        <v>15</v>
      </c>
      <c r="M20" s="45">
        <v>15</v>
      </c>
      <c r="N20" s="45">
        <v>15</v>
      </c>
      <c r="O20" s="45">
        <v>15</v>
      </c>
      <c r="P20" s="45">
        <v>15</v>
      </c>
      <c r="Q20" s="45">
        <v>15</v>
      </c>
      <c r="R20" s="45">
        <v>15</v>
      </c>
      <c r="S20" s="45">
        <v>15</v>
      </c>
      <c r="T20" s="45">
        <v>15</v>
      </c>
      <c r="U20" s="45">
        <v>15</v>
      </c>
      <c r="V20" s="45">
        <v>15</v>
      </c>
      <c r="W20" s="45">
        <v>15</v>
      </c>
      <c r="X20" s="45">
        <v>25</v>
      </c>
      <c r="Y20" s="45">
        <v>25</v>
      </c>
      <c r="Z20" s="45">
        <v>25</v>
      </c>
      <c r="AA20" s="45">
        <v>25</v>
      </c>
      <c r="AB20" s="45">
        <v>25</v>
      </c>
      <c r="AC20" s="45">
        <v>25</v>
      </c>
      <c r="AD20" s="45">
        <v>25</v>
      </c>
      <c r="AE20" s="45">
        <v>15</v>
      </c>
      <c r="AF20" s="45">
        <v>15</v>
      </c>
      <c r="AG20" s="51">
        <v>25</v>
      </c>
      <c r="AH20" s="48">
        <f t="shared" si="3"/>
        <v>25</v>
      </c>
      <c r="AI20" s="49">
        <f t="shared" si="2"/>
        <v>15</v>
      </c>
      <c r="AK20" s="45">
        <v>25</v>
      </c>
      <c r="AL20" s="28"/>
      <c r="AM20" s="45"/>
      <c r="AN20" s="59">
        <f>15646/24</f>
        <v>651.91666666666663</v>
      </c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16</v>
      </c>
      <c r="C21" s="45">
        <v>16</v>
      </c>
      <c r="D21" s="45">
        <v>22.9</v>
      </c>
      <c r="E21" s="45">
        <v>22.9</v>
      </c>
      <c r="F21" s="45">
        <v>23.2</v>
      </c>
      <c r="G21" s="45">
        <v>23.2</v>
      </c>
      <c r="H21" s="45">
        <v>23.2</v>
      </c>
      <c r="I21" s="45">
        <v>23.2</v>
      </c>
      <c r="J21" s="45">
        <v>23.2</v>
      </c>
      <c r="K21" s="45">
        <v>23.2</v>
      </c>
      <c r="L21" s="45">
        <v>23.2</v>
      </c>
      <c r="M21" s="45">
        <v>23.2</v>
      </c>
      <c r="N21" s="45">
        <v>23.2</v>
      </c>
      <c r="O21" s="45">
        <v>23.2</v>
      </c>
      <c r="P21" s="45">
        <v>23.2</v>
      </c>
      <c r="Q21" s="45">
        <v>23.2</v>
      </c>
      <c r="R21" s="45">
        <v>23.2</v>
      </c>
      <c r="S21" s="45">
        <v>12.2</v>
      </c>
      <c r="T21" s="45">
        <v>12.2</v>
      </c>
      <c r="U21" s="45">
        <v>12.2</v>
      </c>
      <c r="V21" s="45">
        <v>12.2</v>
      </c>
      <c r="W21" s="45">
        <v>12.2</v>
      </c>
      <c r="X21" s="45">
        <v>23</v>
      </c>
      <c r="Y21" s="45">
        <v>23</v>
      </c>
      <c r="Z21" s="45">
        <v>23</v>
      </c>
      <c r="AA21" s="45">
        <v>23</v>
      </c>
      <c r="AB21" s="45">
        <v>23</v>
      </c>
      <c r="AC21" s="45">
        <v>23</v>
      </c>
      <c r="AD21" s="45">
        <v>23</v>
      </c>
      <c r="AE21" s="45">
        <v>23</v>
      </c>
      <c r="AF21" s="45">
        <v>23</v>
      </c>
      <c r="AG21" s="51">
        <v>23.5</v>
      </c>
      <c r="AH21" s="48">
        <f t="shared" si="3"/>
        <v>23.2</v>
      </c>
      <c r="AI21" s="49">
        <f t="shared" si="2"/>
        <v>12.2</v>
      </c>
      <c r="AK21" s="45">
        <v>23.5</v>
      </c>
      <c r="AL21" s="28"/>
      <c r="AM21" s="45"/>
      <c r="AN21" s="59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17</v>
      </c>
      <c r="C22" s="45">
        <v>17</v>
      </c>
      <c r="D22" s="45">
        <v>17</v>
      </c>
      <c r="E22" s="45">
        <v>17</v>
      </c>
      <c r="F22" s="45">
        <v>17</v>
      </c>
      <c r="G22" s="45">
        <v>17</v>
      </c>
      <c r="H22" s="45">
        <v>17</v>
      </c>
      <c r="I22" s="45">
        <v>17</v>
      </c>
      <c r="J22" s="45">
        <v>17</v>
      </c>
      <c r="K22" s="45">
        <v>17</v>
      </c>
      <c r="L22" s="45">
        <v>17</v>
      </c>
      <c r="M22" s="45">
        <v>17</v>
      </c>
      <c r="N22" s="45">
        <v>17</v>
      </c>
      <c r="O22" s="45">
        <v>17</v>
      </c>
      <c r="P22" s="45">
        <v>17</v>
      </c>
      <c r="Q22" s="45">
        <v>17</v>
      </c>
      <c r="R22" s="45">
        <v>17</v>
      </c>
      <c r="S22" s="45">
        <v>17</v>
      </c>
      <c r="T22" s="45">
        <v>17</v>
      </c>
      <c r="U22" s="45">
        <v>17</v>
      </c>
      <c r="V22" s="45">
        <v>17</v>
      </c>
      <c r="W22" s="45">
        <v>17</v>
      </c>
      <c r="X22" s="45">
        <v>17</v>
      </c>
      <c r="Y22" s="45">
        <v>17</v>
      </c>
      <c r="Z22" s="45">
        <v>17</v>
      </c>
      <c r="AA22" s="45">
        <v>17</v>
      </c>
      <c r="AB22" s="45">
        <v>17</v>
      </c>
      <c r="AC22" s="45">
        <v>17</v>
      </c>
      <c r="AD22" s="45">
        <v>17</v>
      </c>
      <c r="AE22" s="45">
        <v>12</v>
      </c>
      <c r="AF22" s="45">
        <v>12</v>
      </c>
      <c r="AG22" s="51">
        <v>22.2</v>
      </c>
      <c r="AH22" s="48">
        <f t="shared" si="3"/>
        <v>17</v>
      </c>
      <c r="AI22" s="49">
        <f t="shared" si="2"/>
        <v>12</v>
      </c>
      <c r="AK22" s="45">
        <v>22.2</v>
      </c>
      <c r="AL22" s="28"/>
      <c r="AM22" s="45"/>
      <c r="AN22" s="59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22</v>
      </c>
      <c r="C23" s="45">
        <v>22</v>
      </c>
      <c r="D23" s="45">
        <v>22</v>
      </c>
      <c r="E23" s="45">
        <v>22</v>
      </c>
      <c r="F23" s="45">
        <v>22</v>
      </c>
      <c r="G23" s="45">
        <v>22</v>
      </c>
      <c r="H23" s="45">
        <v>22</v>
      </c>
      <c r="I23" s="45">
        <v>22</v>
      </c>
      <c r="J23" s="45">
        <v>22</v>
      </c>
      <c r="K23" s="45">
        <v>22</v>
      </c>
      <c r="L23" s="45">
        <v>22</v>
      </c>
      <c r="M23" s="45">
        <v>22</v>
      </c>
      <c r="N23" s="45">
        <v>22</v>
      </c>
      <c r="O23" s="45">
        <v>22</v>
      </c>
      <c r="P23" s="45">
        <v>22</v>
      </c>
      <c r="Q23" s="45">
        <v>22</v>
      </c>
      <c r="R23" s="45">
        <v>22</v>
      </c>
      <c r="S23" s="45">
        <v>22</v>
      </c>
      <c r="T23" s="45">
        <v>22</v>
      </c>
      <c r="U23" s="45">
        <v>22</v>
      </c>
      <c r="V23" s="45">
        <v>22</v>
      </c>
      <c r="W23" s="45">
        <v>22</v>
      </c>
      <c r="X23" s="45">
        <v>22</v>
      </c>
      <c r="Y23" s="45">
        <v>22</v>
      </c>
      <c r="Z23" s="45">
        <v>22</v>
      </c>
      <c r="AA23" s="45">
        <v>22</v>
      </c>
      <c r="AB23" s="45">
        <v>22</v>
      </c>
      <c r="AC23" s="45">
        <v>22</v>
      </c>
      <c r="AD23" s="45">
        <v>22</v>
      </c>
      <c r="AE23" s="45">
        <v>22</v>
      </c>
      <c r="AF23" s="45">
        <v>22</v>
      </c>
      <c r="AG23" s="51">
        <v>22.1</v>
      </c>
      <c r="AH23" s="48">
        <f t="shared" si="3"/>
        <v>22</v>
      </c>
      <c r="AI23" s="49">
        <f t="shared" si="2"/>
        <v>22</v>
      </c>
      <c r="AK23" s="45">
        <v>22.1</v>
      </c>
      <c r="AL23" s="28"/>
      <c r="AM23" s="45"/>
      <c r="AN23" s="59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22</v>
      </c>
      <c r="C24" s="45">
        <v>22</v>
      </c>
      <c r="D24" s="45">
        <v>22</v>
      </c>
      <c r="E24" s="45">
        <v>22</v>
      </c>
      <c r="F24" s="45">
        <v>22</v>
      </c>
      <c r="G24" s="45">
        <v>22</v>
      </c>
      <c r="H24" s="45">
        <v>22</v>
      </c>
      <c r="I24" s="45">
        <v>22</v>
      </c>
      <c r="J24" s="45">
        <v>22</v>
      </c>
      <c r="K24" s="45">
        <v>22</v>
      </c>
      <c r="L24" s="45">
        <v>22</v>
      </c>
      <c r="M24" s="45">
        <v>22</v>
      </c>
      <c r="N24" s="45">
        <v>22</v>
      </c>
      <c r="O24" s="45">
        <v>22</v>
      </c>
      <c r="P24" s="45">
        <v>22</v>
      </c>
      <c r="Q24" s="45">
        <v>22</v>
      </c>
      <c r="R24" s="45">
        <v>22</v>
      </c>
      <c r="S24" s="45">
        <v>22</v>
      </c>
      <c r="T24" s="45">
        <v>22</v>
      </c>
      <c r="U24" s="45">
        <v>22</v>
      </c>
      <c r="V24" s="45">
        <v>22</v>
      </c>
      <c r="W24" s="45">
        <v>22</v>
      </c>
      <c r="X24" s="45">
        <v>22</v>
      </c>
      <c r="Y24" s="45">
        <v>22</v>
      </c>
      <c r="Z24" s="45">
        <v>22</v>
      </c>
      <c r="AA24" s="45">
        <v>22</v>
      </c>
      <c r="AB24" s="45">
        <v>22</v>
      </c>
      <c r="AC24" s="45">
        <v>22</v>
      </c>
      <c r="AD24" s="45">
        <v>22</v>
      </c>
      <c r="AE24" s="45">
        <v>22</v>
      </c>
      <c r="AF24" s="45">
        <v>22</v>
      </c>
      <c r="AG24" s="51">
        <v>22</v>
      </c>
      <c r="AH24" s="48">
        <f t="shared" si="3"/>
        <v>22</v>
      </c>
      <c r="AI24" s="49">
        <f t="shared" si="2"/>
        <v>22</v>
      </c>
      <c r="AK24" s="45">
        <v>22</v>
      </c>
      <c r="AL24" s="28"/>
      <c r="AM24" s="45"/>
      <c r="AN24" s="59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13</v>
      </c>
      <c r="C25" s="45">
        <v>13</v>
      </c>
      <c r="D25" s="45">
        <v>13</v>
      </c>
      <c r="E25" s="45">
        <v>13</v>
      </c>
      <c r="F25" s="45">
        <v>13</v>
      </c>
      <c r="G25" s="45">
        <v>13</v>
      </c>
      <c r="H25" s="45">
        <v>13</v>
      </c>
      <c r="I25" s="45">
        <v>13</v>
      </c>
      <c r="J25" s="45">
        <v>13</v>
      </c>
      <c r="K25" s="45">
        <v>13</v>
      </c>
      <c r="L25" s="45">
        <v>13</v>
      </c>
      <c r="M25" s="45">
        <v>13</v>
      </c>
      <c r="N25" s="45">
        <v>13</v>
      </c>
      <c r="O25" s="45">
        <v>13</v>
      </c>
      <c r="P25" s="45">
        <v>13</v>
      </c>
      <c r="Q25" s="45">
        <v>13</v>
      </c>
      <c r="R25" s="45">
        <v>13</v>
      </c>
      <c r="S25" s="45">
        <v>14</v>
      </c>
      <c r="T25" s="45">
        <v>14</v>
      </c>
      <c r="U25" s="45">
        <v>14</v>
      </c>
      <c r="V25" s="45">
        <v>14</v>
      </c>
      <c r="W25" s="45">
        <v>14</v>
      </c>
      <c r="X25" s="45">
        <v>22</v>
      </c>
      <c r="Y25" s="45">
        <v>22</v>
      </c>
      <c r="Z25" s="45">
        <v>22</v>
      </c>
      <c r="AA25" s="45">
        <v>22</v>
      </c>
      <c r="AB25" s="45">
        <v>22</v>
      </c>
      <c r="AC25" s="45">
        <v>22</v>
      </c>
      <c r="AD25" s="45">
        <v>22</v>
      </c>
      <c r="AE25" s="45">
        <v>15</v>
      </c>
      <c r="AF25" s="45">
        <v>15</v>
      </c>
      <c r="AG25" s="51">
        <v>22</v>
      </c>
      <c r="AH25" s="48">
        <f t="shared" si="3"/>
        <v>22</v>
      </c>
      <c r="AI25" s="49">
        <f t="shared" si="2"/>
        <v>13</v>
      </c>
      <c r="AK25" s="45">
        <v>22</v>
      </c>
      <c r="AL25" s="28"/>
      <c r="AM25" s="45"/>
      <c r="AN25" s="59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10</v>
      </c>
      <c r="Y26" s="45">
        <v>10</v>
      </c>
      <c r="Z26" s="45">
        <v>10</v>
      </c>
      <c r="AA26" s="45">
        <v>10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51">
        <v>20</v>
      </c>
      <c r="AH26" s="48">
        <f t="shared" si="3"/>
        <v>10</v>
      </c>
      <c r="AI26" s="49">
        <f t="shared" si="2"/>
        <v>0</v>
      </c>
      <c r="AK26" s="45">
        <v>20</v>
      </c>
      <c r="AL26" s="28"/>
      <c r="AM26" s="45"/>
      <c r="AN26" s="59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14.9</v>
      </c>
      <c r="C27" s="45">
        <v>14.9</v>
      </c>
      <c r="D27" s="45">
        <v>14.9</v>
      </c>
      <c r="E27" s="45">
        <v>14.9</v>
      </c>
      <c r="F27" s="45">
        <v>14.9</v>
      </c>
      <c r="G27" s="45">
        <v>14.9</v>
      </c>
      <c r="H27" s="45">
        <v>14.9</v>
      </c>
      <c r="I27" s="45">
        <v>14.9</v>
      </c>
      <c r="J27" s="45">
        <v>14.9</v>
      </c>
      <c r="K27" s="45">
        <v>14.9</v>
      </c>
      <c r="L27" s="45">
        <v>14.9</v>
      </c>
      <c r="M27" s="45">
        <v>14.9</v>
      </c>
      <c r="N27" s="45">
        <v>14.9</v>
      </c>
      <c r="O27" s="45">
        <v>14.9</v>
      </c>
      <c r="P27" s="45">
        <v>14.9</v>
      </c>
      <c r="Q27" s="45">
        <v>14.9</v>
      </c>
      <c r="R27" s="45">
        <v>14.9</v>
      </c>
      <c r="S27" s="45">
        <v>14.9</v>
      </c>
      <c r="T27" s="45">
        <v>14.9</v>
      </c>
      <c r="U27" s="45">
        <v>14.9</v>
      </c>
      <c r="V27" s="45">
        <v>14.9</v>
      </c>
      <c r="W27" s="45">
        <v>14.9</v>
      </c>
      <c r="X27" s="45">
        <v>14.9</v>
      </c>
      <c r="Y27" s="45">
        <v>14.9</v>
      </c>
      <c r="Z27" s="45">
        <v>14.9</v>
      </c>
      <c r="AA27" s="45">
        <v>14.9</v>
      </c>
      <c r="AB27" s="45">
        <v>14.9</v>
      </c>
      <c r="AC27" s="45">
        <v>14.9</v>
      </c>
      <c r="AD27" s="45">
        <v>14.9</v>
      </c>
      <c r="AE27" s="45">
        <v>14.9</v>
      </c>
      <c r="AF27" s="45">
        <v>14.9</v>
      </c>
      <c r="AG27" s="51">
        <v>14.9</v>
      </c>
      <c r="AH27" s="48">
        <f t="shared" si="3"/>
        <v>14.9</v>
      </c>
      <c r="AI27" s="49">
        <f t="shared" si="2"/>
        <v>14.9</v>
      </c>
      <c r="AK27" s="45">
        <v>14.9</v>
      </c>
      <c r="AL27" s="28"/>
      <c r="AM27" s="45"/>
      <c r="AN27" s="59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6.8</v>
      </c>
      <c r="C28" s="45">
        <v>6.8</v>
      </c>
      <c r="D28" s="45">
        <v>6.8</v>
      </c>
      <c r="E28" s="45">
        <v>6.8</v>
      </c>
      <c r="F28" s="45">
        <v>6.8</v>
      </c>
      <c r="G28" s="45">
        <v>6.8</v>
      </c>
      <c r="H28" s="45">
        <v>6.8</v>
      </c>
      <c r="I28" s="45">
        <v>6.8</v>
      </c>
      <c r="J28" s="45">
        <v>6.8</v>
      </c>
      <c r="K28" s="45">
        <v>6.8</v>
      </c>
      <c r="L28" s="45">
        <v>6.8</v>
      </c>
      <c r="M28" s="45">
        <v>6.8</v>
      </c>
      <c r="N28" s="45">
        <v>6.8</v>
      </c>
      <c r="O28" s="45">
        <v>6.8</v>
      </c>
      <c r="P28" s="45">
        <v>6.8</v>
      </c>
      <c r="Q28" s="45">
        <v>6.8</v>
      </c>
      <c r="R28" s="45">
        <v>6.8</v>
      </c>
      <c r="S28" s="45">
        <v>6.8</v>
      </c>
      <c r="T28" s="45">
        <v>6.8</v>
      </c>
      <c r="U28" s="45">
        <v>6.8</v>
      </c>
      <c r="V28" s="45">
        <v>6.8</v>
      </c>
      <c r="W28" s="45">
        <v>6.8</v>
      </c>
      <c r="X28" s="45">
        <v>13.6</v>
      </c>
      <c r="Y28" s="45">
        <v>13.6</v>
      </c>
      <c r="Z28" s="45">
        <v>13.6</v>
      </c>
      <c r="AA28" s="45">
        <v>13.6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51">
        <v>13.6</v>
      </c>
      <c r="AH28" s="48">
        <f t="shared" si="3"/>
        <v>13.6</v>
      </c>
      <c r="AI28" s="49">
        <f t="shared" si="2"/>
        <v>6</v>
      </c>
      <c r="AK28" s="45">
        <v>13.6</v>
      </c>
      <c r="AL28" s="28"/>
      <c r="AM28" s="45"/>
      <c r="AN28" s="59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3</v>
      </c>
      <c r="C29" s="45">
        <v>3</v>
      </c>
      <c r="D29" s="45">
        <v>3</v>
      </c>
      <c r="E29" s="45">
        <v>3</v>
      </c>
      <c r="F29" s="45">
        <v>3</v>
      </c>
      <c r="G29" s="45">
        <v>3</v>
      </c>
      <c r="H29" s="45">
        <v>3</v>
      </c>
      <c r="I29" s="45">
        <v>3</v>
      </c>
      <c r="J29" s="45">
        <v>3</v>
      </c>
      <c r="K29" s="45">
        <v>3</v>
      </c>
      <c r="L29" s="45">
        <v>3</v>
      </c>
      <c r="M29" s="45">
        <v>3</v>
      </c>
      <c r="N29" s="45">
        <v>3</v>
      </c>
      <c r="O29" s="45">
        <v>3</v>
      </c>
      <c r="P29" s="45">
        <v>3</v>
      </c>
      <c r="Q29" s="45">
        <v>3</v>
      </c>
      <c r="R29" s="45">
        <v>3</v>
      </c>
      <c r="S29" s="45">
        <v>3</v>
      </c>
      <c r="T29" s="45">
        <v>3</v>
      </c>
      <c r="U29" s="45">
        <v>3</v>
      </c>
      <c r="V29" s="45">
        <v>3</v>
      </c>
      <c r="W29" s="45">
        <v>3</v>
      </c>
      <c r="X29" s="45">
        <v>13</v>
      </c>
      <c r="Y29" s="45">
        <v>13</v>
      </c>
      <c r="Z29" s="45">
        <v>13</v>
      </c>
      <c r="AA29" s="45">
        <v>13</v>
      </c>
      <c r="AB29" s="45">
        <v>13</v>
      </c>
      <c r="AC29" s="45">
        <v>13</v>
      </c>
      <c r="AD29" s="45">
        <v>6</v>
      </c>
      <c r="AE29" s="45">
        <v>6</v>
      </c>
      <c r="AF29" s="45">
        <v>3</v>
      </c>
      <c r="AG29" s="51">
        <v>13</v>
      </c>
      <c r="AH29" s="48">
        <f t="shared" si="3"/>
        <v>13</v>
      </c>
      <c r="AI29" s="49">
        <f t="shared" si="2"/>
        <v>3</v>
      </c>
      <c r="AK29" s="45">
        <v>13</v>
      </c>
      <c r="AL29" s="28"/>
      <c r="AM29" s="45"/>
      <c r="AN29" s="59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12</v>
      </c>
      <c r="Y30" s="45">
        <v>12</v>
      </c>
      <c r="Z30" s="45">
        <v>12</v>
      </c>
      <c r="AA30" s="45">
        <v>12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51">
        <v>12</v>
      </c>
      <c r="AH30" s="48">
        <f t="shared" si="3"/>
        <v>12</v>
      </c>
      <c r="AI30" s="49">
        <f t="shared" si="2"/>
        <v>0</v>
      </c>
      <c r="AK30" s="45">
        <v>12</v>
      </c>
      <c r="AL30" s="28"/>
      <c r="AM30" s="45">
        <v>12</v>
      </c>
      <c r="AN30" s="59">
        <v>12</v>
      </c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12</v>
      </c>
      <c r="C31" s="45">
        <v>12</v>
      </c>
      <c r="D31" s="45">
        <v>12</v>
      </c>
      <c r="E31" s="45">
        <v>12</v>
      </c>
      <c r="F31" s="45">
        <v>12</v>
      </c>
      <c r="G31" s="45">
        <v>12</v>
      </c>
      <c r="H31" s="45">
        <v>12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3"/>
        <v>12</v>
      </c>
      <c r="AI31" s="49">
        <f t="shared" si="2"/>
        <v>12</v>
      </c>
      <c r="AK31" s="45">
        <v>12</v>
      </c>
      <c r="AL31" s="28"/>
      <c r="AM31" s="45">
        <v>8.6</v>
      </c>
      <c r="AN31" s="59">
        <v>8.6</v>
      </c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2.5</v>
      </c>
      <c r="C32" s="45">
        <v>2.5</v>
      </c>
      <c r="D32" s="45">
        <v>2.5</v>
      </c>
      <c r="E32" s="45">
        <v>2.5</v>
      </c>
      <c r="F32" s="45">
        <v>2.5</v>
      </c>
      <c r="G32" s="45">
        <v>2.5</v>
      </c>
      <c r="H32" s="45">
        <v>2.5</v>
      </c>
      <c r="I32" s="45">
        <v>2.5</v>
      </c>
      <c r="J32" s="45">
        <v>2.5</v>
      </c>
      <c r="K32" s="45">
        <v>2.5</v>
      </c>
      <c r="L32" s="45">
        <v>2.5</v>
      </c>
      <c r="M32" s="45">
        <v>2.5</v>
      </c>
      <c r="N32" s="45">
        <v>2.5</v>
      </c>
      <c r="O32" s="45">
        <v>2.5</v>
      </c>
      <c r="P32" s="45">
        <v>2.5</v>
      </c>
      <c r="Q32" s="45">
        <v>2.5</v>
      </c>
      <c r="R32" s="45">
        <v>2.5</v>
      </c>
      <c r="S32" s="45">
        <v>2.5</v>
      </c>
      <c r="T32" s="45">
        <v>2.5</v>
      </c>
      <c r="U32" s="45">
        <v>2.5</v>
      </c>
      <c r="V32" s="45">
        <v>2.5</v>
      </c>
      <c r="W32" s="45">
        <v>2.5</v>
      </c>
      <c r="X32" s="45">
        <v>2.5</v>
      </c>
      <c r="Y32" s="45">
        <v>2.5</v>
      </c>
      <c r="Z32" s="45">
        <v>2.5</v>
      </c>
      <c r="AA32" s="45">
        <v>2.5</v>
      </c>
      <c r="AB32" s="45">
        <v>2.5</v>
      </c>
      <c r="AC32" s="45">
        <v>2.5</v>
      </c>
      <c r="AD32" s="45">
        <v>2.5</v>
      </c>
      <c r="AE32" s="45">
        <v>2.5</v>
      </c>
      <c r="AF32" s="45">
        <v>2.5</v>
      </c>
      <c r="AG32" s="51">
        <v>12</v>
      </c>
      <c r="AH32" s="48">
        <f t="shared" si="3"/>
        <v>2.5</v>
      </c>
      <c r="AI32" s="49">
        <f t="shared" si="2"/>
        <v>2.5</v>
      </c>
      <c r="AK32" s="45">
        <v>12</v>
      </c>
      <c r="AL32" s="28"/>
      <c r="AM32" s="45"/>
      <c r="AN32" s="59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12</v>
      </c>
      <c r="C33" s="45">
        <v>12</v>
      </c>
      <c r="D33" s="45">
        <v>12</v>
      </c>
      <c r="E33" s="45">
        <v>12</v>
      </c>
      <c r="F33" s="45">
        <v>12</v>
      </c>
      <c r="G33" s="45">
        <v>12</v>
      </c>
      <c r="H33" s="45">
        <v>12</v>
      </c>
      <c r="I33" s="45">
        <v>12</v>
      </c>
      <c r="J33" s="45">
        <v>12</v>
      </c>
      <c r="K33" s="45">
        <v>12</v>
      </c>
      <c r="L33" s="45">
        <v>12</v>
      </c>
      <c r="M33" s="45">
        <v>12</v>
      </c>
      <c r="N33" s="45">
        <v>12</v>
      </c>
      <c r="O33" s="45">
        <v>12</v>
      </c>
      <c r="P33" s="45">
        <v>12</v>
      </c>
      <c r="Q33" s="45">
        <v>12</v>
      </c>
      <c r="R33" s="45">
        <v>12</v>
      </c>
      <c r="S33" s="45">
        <v>12</v>
      </c>
      <c r="T33" s="45">
        <v>12</v>
      </c>
      <c r="U33" s="45">
        <v>12</v>
      </c>
      <c r="V33" s="45">
        <v>12</v>
      </c>
      <c r="W33" s="45">
        <v>12</v>
      </c>
      <c r="X33" s="45">
        <v>12</v>
      </c>
      <c r="Y33" s="45">
        <v>12</v>
      </c>
      <c r="Z33" s="45">
        <v>12</v>
      </c>
      <c r="AA33" s="45">
        <v>12</v>
      </c>
      <c r="AB33" s="45">
        <v>12</v>
      </c>
      <c r="AC33" s="45">
        <v>12</v>
      </c>
      <c r="AD33" s="45">
        <v>10</v>
      </c>
      <c r="AE33" s="45">
        <v>6</v>
      </c>
      <c r="AF33" s="45">
        <v>6</v>
      </c>
      <c r="AG33" s="53">
        <v>22</v>
      </c>
      <c r="AH33" s="48">
        <f t="shared" si="3"/>
        <v>12</v>
      </c>
      <c r="AI33" s="49">
        <f t="shared" si="2"/>
        <v>6</v>
      </c>
      <c r="AK33" s="45">
        <v>12</v>
      </c>
      <c r="AL33" s="28"/>
      <c r="AM33" s="45"/>
      <c r="AN33" s="59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3</v>
      </c>
      <c r="C34" s="45">
        <v>3</v>
      </c>
      <c r="D34" s="45">
        <v>3</v>
      </c>
      <c r="E34" s="45">
        <v>3</v>
      </c>
      <c r="F34" s="45">
        <v>3</v>
      </c>
      <c r="G34" s="45">
        <v>3</v>
      </c>
      <c r="H34" s="45">
        <v>3</v>
      </c>
      <c r="I34" s="45">
        <v>3</v>
      </c>
      <c r="J34" s="45">
        <v>3</v>
      </c>
      <c r="K34" s="45">
        <v>3</v>
      </c>
      <c r="L34" s="45">
        <v>3</v>
      </c>
      <c r="M34" s="45">
        <v>3</v>
      </c>
      <c r="N34" s="45">
        <v>3</v>
      </c>
      <c r="O34" s="45">
        <v>3</v>
      </c>
      <c r="P34" s="45">
        <v>3</v>
      </c>
      <c r="Q34" s="45">
        <v>3</v>
      </c>
      <c r="R34" s="45">
        <v>3</v>
      </c>
      <c r="S34" s="45">
        <v>3</v>
      </c>
      <c r="T34" s="45">
        <v>3</v>
      </c>
      <c r="U34" s="45">
        <v>3</v>
      </c>
      <c r="V34" s="45">
        <v>3</v>
      </c>
      <c r="W34" s="45">
        <v>3</v>
      </c>
      <c r="X34" s="45">
        <v>11</v>
      </c>
      <c r="Y34" s="45">
        <v>11</v>
      </c>
      <c r="Z34" s="45">
        <v>11</v>
      </c>
      <c r="AA34" s="45">
        <v>11</v>
      </c>
      <c r="AB34" s="45">
        <v>11</v>
      </c>
      <c r="AC34" s="45">
        <v>11</v>
      </c>
      <c r="AD34" s="45">
        <v>6</v>
      </c>
      <c r="AE34" s="45">
        <v>6</v>
      </c>
      <c r="AF34" s="45">
        <v>3</v>
      </c>
      <c r="AG34" s="52">
        <v>11.88</v>
      </c>
      <c r="AH34" s="48">
        <f t="shared" si="3"/>
        <v>11</v>
      </c>
      <c r="AI34" s="49">
        <f t="shared" si="2"/>
        <v>3</v>
      </c>
      <c r="AK34" s="45">
        <v>11.88</v>
      </c>
      <c r="AL34" s="28"/>
      <c r="AM34" s="45"/>
      <c r="AN34" s="59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5</v>
      </c>
      <c r="AF35" s="45">
        <v>5</v>
      </c>
      <c r="AG35" s="55">
        <v>11</v>
      </c>
      <c r="AH35" s="48">
        <f t="shared" si="3"/>
        <v>10</v>
      </c>
      <c r="AI35" s="49">
        <f t="shared" si="2"/>
        <v>5</v>
      </c>
      <c r="AK35" s="45">
        <v>11</v>
      </c>
      <c r="AL35" s="28"/>
      <c r="AM35" s="45"/>
      <c r="AN35" s="59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9</v>
      </c>
      <c r="C36" s="45">
        <v>9</v>
      </c>
      <c r="D36" s="45">
        <v>9</v>
      </c>
      <c r="E36" s="45">
        <v>9</v>
      </c>
      <c r="F36" s="45">
        <v>9</v>
      </c>
      <c r="G36" s="45">
        <v>9</v>
      </c>
      <c r="H36" s="45">
        <v>9</v>
      </c>
      <c r="I36" s="45">
        <v>9</v>
      </c>
      <c r="J36" s="45">
        <v>9</v>
      </c>
      <c r="K36" s="45">
        <v>9</v>
      </c>
      <c r="L36" s="45">
        <v>9</v>
      </c>
      <c r="M36" s="45">
        <v>9</v>
      </c>
      <c r="N36" s="45">
        <v>9</v>
      </c>
      <c r="O36" s="45">
        <v>9</v>
      </c>
      <c r="P36" s="45">
        <v>9</v>
      </c>
      <c r="Q36" s="45">
        <v>9</v>
      </c>
      <c r="R36" s="45">
        <v>9</v>
      </c>
      <c r="S36" s="45">
        <v>9</v>
      </c>
      <c r="T36" s="45">
        <v>9</v>
      </c>
      <c r="U36" s="45">
        <v>9</v>
      </c>
      <c r="V36" s="45">
        <v>9</v>
      </c>
      <c r="W36" s="45">
        <v>9</v>
      </c>
      <c r="X36" s="45">
        <v>9</v>
      </c>
      <c r="Y36" s="45">
        <v>9</v>
      </c>
      <c r="Z36" s="45">
        <v>9</v>
      </c>
      <c r="AA36" s="45">
        <v>9</v>
      </c>
      <c r="AB36" s="45">
        <v>9</v>
      </c>
      <c r="AC36" s="45">
        <v>9</v>
      </c>
      <c r="AD36" s="45">
        <v>9</v>
      </c>
      <c r="AE36" s="45">
        <v>9</v>
      </c>
      <c r="AF36" s="45">
        <v>9</v>
      </c>
      <c r="AG36" s="55">
        <v>10</v>
      </c>
      <c r="AH36" s="48">
        <f t="shared" si="3"/>
        <v>9</v>
      </c>
      <c r="AI36" s="49">
        <f t="shared" si="2"/>
        <v>9</v>
      </c>
      <c r="AK36" s="45">
        <v>10</v>
      </c>
      <c r="AL36" s="28"/>
      <c r="AM36" s="45"/>
      <c r="AN36" s="59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2</v>
      </c>
      <c r="T37" s="45">
        <v>2</v>
      </c>
      <c r="U37" s="45">
        <v>2</v>
      </c>
      <c r="V37" s="45">
        <v>2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3"/>
        <v>2</v>
      </c>
      <c r="AI37" s="49">
        <f t="shared" si="2"/>
        <v>0</v>
      </c>
      <c r="AK37" s="45">
        <v>10</v>
      </c>
      <c r="AL37" s="28"/>
      <c r="AM37" s="45"/>
      <c r="AN37" s="59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300</v>
      </c>
      <c r="C38" s="57">
        <v>300</v>
      </c>
      <c r="D38" s="57">
        <v>300</v>
      </c>
      <c r="E38" s="57">
        <v>300</v>
      </c>
      <c r="F38" s="57">
        <v>300</v>
      </c>
      <c r="G38" s="57">
        <v>300</v>
      </c>
      <c r="H38" s="57">
        <v>300</v>
      </c>
      <c r="I38" s="57">
        <v>300</v>
      </c>
      <c r="J38" s="57">
        <v>300</v>
      </c>
      <c r="K38" s="57">
        <v>300</v>
      </c>
      <c r="L38" s="57">
        <v>300</v>
      </c>
      <c r="M38" s="57">
        <v>300</v>
      </c>
      <c r="N38" s="57">
        <v>300</v>
      </c>
      <c r="O38" s="57">
        <v>300</v>
      </c>
      <c r="P38" s="57">
        <v>300</v>
      </c>
      <c r="Q38" s="57">
        <v>300</v>
      </c>
      <c r="R38" s="57">
        <v>300</v>
      </c>
      <c r="S38" s="57">
        <v>300</v>
      </c>
      <c r="T38" s="57">
        <v>300</v>
      </c>
      <c r="U38" s="57">
        <v>300</v>
      </c>
      <c r="V38" s="57">
        <v>300</v>
      </c>
      <c r="W38" s="57">
        <v>300</v>
      </c>
      <c r="X38" s="57">
        <v>300</v>
      </c>
      <c r="Y38" s="57">
        <v>300</v>
      </c>
      <c r="Z38" s="57">
        <v>300</v>
      </c>
      <c r="AA38" s="57">
        <v>300</v>
      </c>
      <c r="AB38" s="57">
        <v>300</v>
      </c>
      <c r="AC38" s="57">
        <v>300</v>
      </c>
      <c r="AD38" s="57">
        <v>300</v>
      </c>
      <c r="AE38" s="57">
        <v>300</v>
      </c>
      <c r="AF38" s="57">
        <v>300</v>
      </c>
      <c r="AG38" s="55">
        <v>85</v>
      </c>
      <c r="AH38" s="48">
        <f t="shared" si="3"/>
        <v>300</v>
      </c>
      <c r="AI38" s="49">
        <f t="shared" si="2"/>
        <v>300</v>
      </c>
      <c r="AK38" s="57">
        <v>270</v>
      </c>
      <c r="AM38" s="57"/>
      <c r="AN38" s="171"/>
    </row>
    <row r="39" spans="1:88" ht="15.75" thickBot="1" x14ac:dyDescent="0.3">
      <c r="A39" s="58" t="s">
        <v>47</v>
      </c>
      <c r="B39" s="59">
        <v>165.1</v>
      </c>
      <c r="C39" s="59">
        <f>78.6+52.4</f>
        <v>131</v>
      </c>
      <c r="D39" s="59">
        <v>158</v>
      </c>
      <c r="E39" s="59">
        <v>169</v>
      </c>
      <c r="F39" s="59">
        <v>153</v>
      </c>
      <c r="G39" s="59">
        <v>162</v>
      </c>
      <c r="H39" s="59">
        <v>162</v>
      </c>
      <c r="I39" s="59">
        <f>94.9+70.5</f>
        <v>165.4</v>
      </c>
      <c r="J39" s="59">
        <f>95.6+67.8</f>
        <v>163.39999999999998</v>
      </c>
      <c r="K39" s="59">
        <f>95.6+65.1</f>
        <v>160.69999999999999</v>
      </c>
      <c r="L39" s="57">
        <v>161</v>
      </c>
      <c r="M39" s="57">
        <f>65.2+97</f>
        <v>162.19999999999999</v>
      </c>
      <c r="N39" s="57">
        <f>73.9+96.7</f>
        <v>170.60000000000002</v>
      </c>
      <c r="O39" s="57">
        <f>57.7+66.1</f>
        <v>123.8</v>
      </c>
      <c r="P39" s="57">
        <f>62.4+82.6</f>
        <v>145</v>
      </c>
      <c r="Q39" s="57">
        <f>72.1+80.4</f>
        <v>152.5</v>
      </c>
      <c r="R39" s="57">
        <f>70.4+85.8</f>
        <v>156.19999999999999</v>
      </c>
      <c r="S39" s="59">
        <v>149.6</v>
      </c>
      <c r="T39" s="59">
        <v>152.6</v>
      </c>
      <c r="U39" s="59">
        <v>153</v>
      </c>
      <c r="V39" s="59">
        <f>88.6+66.2</f>
        <v>154.80000000000001</v>
      </c>
      <c r="W39" s="59">
        <f>84.9+70.2</f>
        <v>155.10000000000002</v>
      </c>
      <c r="X39" s="59">
        <v>156.5</v>
      </c>
      <c r="Y39" s="59">
        <f>87.9+69.6</f>
        <v>157.5</v>
      </c>
      <c r="Z39" s="59">
        <f>88+69.3</f>
        <v>157.30000000000001</v>
      </c>
      <c r="AA39" s="59">
        <v>162</v>
      </c>
      <c r="AB39" s="59">
        <f>70.4+93.1</f>
        <v>163.5</v>
      </c>
      <c r="AC39" s="59">
        <f>70.3+93.4</f>
        <v>163.69999999999999</v>
      </c>
      <c r="AD39" s="59">
        <f>71.1+94</f>
        <v>165.1</v>
      </c>
      <c r="AE39" s="59">
        <f>72.4+95.1</f>
        <v>167.5</v>
      </c>
      <c r="AF39" s="59">
        <f>73+95.4</f>
        <v>168.4</v>
      </c>
      <c r="AG39" s="55">
        <v>240</v>
      </c>
      <c r="AH39" s="48">
        <f t="shared" si="3"/>
        <v>170.60000000000002</v>
      </c>
      <c r="AI39" s="49">
        <f t="shared" si="2"/>
        <v>123.8</v>
      </c>
      <c r="AK39" s="59"/>
    </row>
    <row r="40" spans="1:88" ht="15.75" thickBot="1" x14ac:dyDescent="0.3">
      <c r="A40" s="60" t="s">
        <v>48</v>
      </c>
      <c r="B40" s="61">
        <f t="shared" ref="B40:AG40" si="4">SUM(B11:B38)</f>
        <v>691.40000000000009</v>
      </c>
      <c r="C40" s="61">
        <f t="shared" si="4"/>
        <v>691.40000000000009</v>
      </c>
      <c r="D40" s="61">
        <f t="shared" si="4"/>
        <v>698.3</v>
      </c>
      <c r="E40" s="61">
        <f t="shared" si="4"/>
        <v>698.3</v>
      </c>
      <c r="F40" s="61">
        <f t="shared" si="4"/>
        <v>698.59999999999991</v>
      </c>
      <c r="G40" s="61">
        <f t="shared" si="4"/>
        <v>698.59999999999991</v>
      </c>
      <c r="H40" s="61">
        <f t="shared" si="4"/>
        <v>698.59999999999991</v>
      </c>
      <c r="I40" s="61">
        <f t="shared" si="4"/>
        <v>698.59999999999991</v>
      </c>
      <c r="J40" s="61">
        <f t="shared" si="4"/>
        <v>700.8</v>
      </c>
      <c r="K40" s="61">
        <f t="shared" si="4"/>
        <v>700.8</v>
      </c>
      <c r="L40" s="61">
        <f t="shared" si="4"/>
        <v>700.8</v>
      </c>
      <c r="M40" s="61">
        <f t="shared" si="4"/>
        <v>700.8</v>
      </c>
      <c r="N40" s="61">
        <f t="shared" si="4"/>
        <v>705.2</v>
      </c>
      <c r="O40" s="61">
        <f t="shared" si="4"/>
        <v>705.4</v>
      </c>
      <c r="P40" s="61">
        <f t="shared" si="4"/>
        <v>700.4</v>
      </c>
      <c r="Q40" s="61">
        <f t="shared" si="4"/>
        <v>676.9</v>
      </c>
      <c r="R40" s="61">
        <f t="shared" si="4"/>
        <v>663.4</v>
      </c>
      <c r="S40" s="61">
        <f t="shared" si="4"/>
        <v>679</v>
      </c>
      <c r="T40" s="61">
        <f t="shared" si="4"/>
        <v>679.09999999999991</v>
      </c>
      <c r="U40" s="61">
        <f t="shared" si="4"/>
        <v>679.09999999999991</v>
      </c>
      <c r="V40" s="61">
        <f t="shared" si="4"/>
        <v>679.09999999999991</v>
      </c>
      <c r="W40" s="61">
        <f t="shared" si="4"/>
        <v>677.09999999999991</v>
      </c>
      <c r="X40" s="61">
        <f t="shared" si="4"/>
        <v>866.6</v>
      </c>
      <c r="Y40" s="61">
        <f t="shared" si="4"/>
        <v>879.8</v>
      </c>
      <c r="Z40" s="61">
        <f t="shared" si="4"/>
        <v>857.8</v>
      </c>
      <c r="AA40" s="61">
        <f t="shared" si="4"/>
        <v>818.9</v>
      </c>
      <c r="AB40" s="61">
        <f t="shared" si="4"/>
        <v>757.19999999999993</v>
      </c>
      <c r="AC40" s="61">
        <f t="shared" si="4"/>
        <v>748.69999999999993</v>
      </c>
      <c r="AD40" s="61">
        <f t="shared" si="4"/>
        <v>734.69999999999993</v>
      </c>
      <c r="AE40" s="61">
        <f t="shared" si="4"/>
        <v>693.69999999999993</v>
      </c>
      <c r="AF40" s="61">
        <f t="shared" si="4"/>
        <v>687.69999999999993</v>
      </c>
      <c r="AG40" s="62">
        <f t="shared" si="4"/>
        <v>707.78000000000009</v>
      </c>
      <c r="AH40" s="48">
        <f t="shared" si="3"/>
        <v>879.8</v>
      </c>
      <c r="AI40" s="49">
        <f t="shared" si="2"/>
        <v>663.4</v>
      </c>
      <c r="AK40" s="61">
        <f>SUM(AK11:AK38)</f>
        <v>884.58</v>
      </c>
      <c r="AM40" s="61">
        <f>AK40+AK44+AK58+AK62</f>
        <v>2013.5700000000002</v>
      </c>
    </row>
    <row r="41" spans="1:88" ht="15.75" thickBot="1" x14ac:dyDescent="0.3">
      <c r="A41" s="63" t="s">
        <v>49</v>
      </c>
      <c r="B41" s="45">
        <v>270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2">
        <v>456</v>
      </c>
      <c r="AH41" s="48">
        <f t="shared" si="3"/>
        <v>270</v>
      </c>
      <c r="AI41" s="49">
        <f t="shared" si="2"/>
        <v>0</v>
      </c>
      <c r="AK41" s="45">
        <v>456</v>
      </c>
      <c r="AM41" s="61"/>
    </row>
    <row r="42" spans="1:88" ht="15.75" thickBot="1" x14ac:dyDescent="0.3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3"/>
        <v>60</v>
      </c>
      <c r="AI42" s="49">
        <f t="shared" si="2"/>
        <v>60</v>
      </c>
      <c r="AK42" s="65">
        <v>60</v>
      </c>
      <c r="AM42" s="61">
        <f>AM40-AK62</f>
        <v>1907.5700000000002</v>
      </c>
    </row>
    <row r="43" spans="1:88" ht="15.75" thickBot="1" x14ac:dyDescent="0.3">
      <c r="A43" s="66" t="s">
        <v>51</v>
      </c>
      <c r="B43" s="67">
        <v>22</v>
      </c>
      <c r="C43" s="67">
        <v>22</v>
      </c>
      <c r="D43" s="67">
        <v>22</v>
      </c>
      <c r="E43" s="67">
        <v>22</v>
      </c>
      <c r="F43" s="67">
        <v>22</v>
      </c>
      <c r="G43" s="67">
        <v>22</v>
      </c>
      <c r="H43" s="67">
        <v>22</v>
      </c>
      <c r="I43" s="67">
        <v>22</v>
      </c>
      <c r="J43" s="67">
        <v>22</v>
      </c>
      <c r="K43" s="67">
        <v>22</v>
      </c>
      <c r="L43" s="67">
        <v>22</v>
      </c>
      <c r="M43" s="67">
        <v>22</v>
      </c>
      <c r="N43" s="67">
        <v>22</v>
      </c>
      <c r="O43" s="67">
        <v>22</v>
      </c>
      <c r="P43" s="67">
        <v>16.3</v>
      </c>
      <c r="Q43" s="67">
        <v>16.3</v>
      </c>
      <c r="R43" s="67">
        <v>16.3</v>
      </c>
      <c r="S43" s="67">
        <v>16.2</v>
      </c>
      <c r="T43" s="67">
        <v>16.2</v>
      </c>
      <c r="U43" s="67">
        <v>16.3</v>
      </c>
      <c r="V43" s="67">
        <v>16.3</v>
      </c>
      <c r="W43" s="67">
        <v>16.3</v>
      </c>
      <c r="X43" s="67">
        <v>22</v>
      </c>
      <c r="Y43" s="67">
        <v>22</v>
      </c>
      <c r="Z43" s="67">
        <v>22</v>
      </c>
      <c r="AA43" s="67">
        <v>22</v>
      </c>
      <c r="AB43" s="67">
        <v>22</v>
      </c>
      <c r="AC43" s="67">
        <v>22</v>
      </c>
      <c r="AD43" s="67">
        <v>22</v>
      </c>
      <c r="AE43" s="67">
        <v>15</v>
      </c>
      <c r="AF43" s="67">
        <v>16</v>
      </c>
      <c r="AG43" s="68">
        <v>22.1</v>
      </c>
      <c r="AH43" s="48">
        <f t="shared" si="3"/>
        <v>22</v>
      </c>
      <c r="AI43" s="49">
        <f t="shared" si="2"/>
        <v>15</v>
      </c>
      <c r="AK43" s="67">
        <v>22.1</v>
      </c>
      <c r="AM43" s="61">
        <f>AM42-456</f>
        <v>1451.5700000000002</v>
      </c>
    </row>
    <row r="44" spans="1:88" ht="15.75" thickBot="1" x14ac:dyDescent="0.3">
      <c r="A44" s="69" t="s">
        <v>52</v>
      </c>
      <c r="B44" s="61">
        <f t="shared" ref="B44:AG44" si="5">SUM(B41:B43)</f>
        <v>352</v>
      </c>
      <c r="C44" s="61">
        <f t="shared" si="5"/>
        <v>82</v>
      </c>
      <c r="D44" s="61">
        <f t="shared" si="5"/>
        <v>82</v>
      </c>
      <c r="E44" s="61">
        <f t="shared" si="5"/>
        <v>82</v>
      </c>
      <c r="F44" s="61">
        <f t="shared" si="5"/>
        <v>82</v>
      </c>
      <c r="G44" s="61">
        <f t="shared" si="5"/>
        <v>82</v>
      </c>
      <c r="H44" s="61">
        <f t="shared" si="5"/>
        <v>82</v>
      </c>
      <c r="I44" s="61">
        <f t="shared" si="5"/>
        <v>82</v>
      </c>
      <c r="J44" s="61">
        <f t="shared" si="5"/>
        <v>82</v>
      </c>
      <c r="K44" s="61">
        <f t="shared" si="5"/>
        <v>82</v>
      </c>
      <c r="L44" s="61">
        <f t="shared" si="5"/>
        <v>82</v>
      </c>
      <c r="M44" s="61">
        <f t="shared" si="5"/>
        <v>82</v>
      </c>
      <c r="N44" s="61">
        <f t="shared" si="5"/>
        <v>82</v>
      </c>
      <c r="O44" s="61">
        <f t="shared" si="5"/>
        <v>82</v>
      </c>
      <c r="P44" s="61">
        <f t="shared" si="5"/>
        <v>76.3</v>
      </c>
      <c r="Q44" s="61">
        <f t="shared" si="5"/>
        <v>76.3</v>
      </c>
      <c r="R44" s="61">
        <f t="shared" si="5"/>
        <v>76.3</v>
      </c>
      <c r="S44" s="61">
        <f t="shared" si="5"/>
        <v>76.2</v>
      </c>
      <c r="T44" s="61">
        <f t="shared" si="5"/>
        <v>76.2</v>
      </c>
      <c r="U44" s="61">
        <f t="shared" si="5"/>
        <v>76.3</v>
      </c>
      <c r="V44" s="61">
        <f t="shared" si="5"/>
        <v>76.3</v>
      </c>
      <c r="W44" s="61">
        <f t="shared" si="5"/>
        <v>76.3</v>
      </c>
      <c r="X44" s="61">
        <f t="shared" si="5"/>
        <v>82</v>
      </c>
      <c r="Y44" s="61">
        <f t="shared" si="5"/>
        <v>82</v>
      </c>
      <c r="Z44" s="61">
        <f t="shared" si="5"/>
        <v>82</v>
      </c>
      <c r="AA44" s="61">
        <f t="shared" si="5"/>
        <v>82</v>
      </c>
      <c r="AB44" s="61">
        <f t="shared" si="5"/>
        <v>82</v>
      </c>
      <c r="AC44" s="61">
        <f t="shared" si="5"/>
        <v>82</v>
      </c>
      <c r="AD44" s="61">
        <f t="shared" si="5"/>
        <v>82</v>
      </c>
      <c r="AE44" s="61">
        <f t="shared" si="5"/>
        <v>75</v>
      </c>
      <c r="AF44" s="61">
        <f t="shared" si="5"/>
        <v>76</v>
      </c>
      <c r="AG44" s="62">
        <f t="shared" si="5"/>
        <v>538.1</v>
      </c>
      <c r="AH44" s="48">
        <f t="shared" si="3"/>
        <v>352</v>
      </c>
      <c r="AI44" s="49">
        <f t="shared" si="2"/>
        <v>75</v>
      </c>
      <c r="AK44" s="61">
        <f t="shared" ref="AK44" si="6">SUM(AK41:AK43)</f>
        <v>538.1</v>
      </c>
      <c r="AM44" s="61">
        <f>AM43-1180</f>
        <v>271.57000000000016</v>
      </c>
    </row>
    <row r="45" spans="1:88" ht="15.75" thickBot="1" x14ac:dyDescent="0.3">
      <c r="A45" s="44" t="s">
        <v>53</v>
      </c>
      <c r="B45" s="45">
        <v>92.1</v>
      </c>
      <c r="C45" s="45">
        <v>60</v>
      </c>
      <c r="D45" s="45">
        <v>60.9</v>
      </c>
      <c r="E45" s="45">
        <v>60.9</v>
      </c>
      <c r="F45" s="45">
        <v>60.9</v>
      </c>
      <c r="G45" s="45">
        <v>75.3</v>
      </c>
      <c r="H45" s="45">
        <v>90.4</v>
      </c>
      <c r="I45" s="45">
        <v>90.4</v>
      </c>
      <c r="J45" s="45">
        <v>80</v>
      </c>
      <c r="K45" s="45">
        <v>100</v>
      </c>
      <c r="L45" s="45">
        <v>100.7</v>
      </c>
      <c r="M45" s="45">
        <v>121.5</v>
      </c>
      <c r="N45" s="45">
        <v>121.4</v>
      </c>
      <c r="O45" s="45">
        <v>111.1</v>
      </c>
      <c r="P45" s="45">
        <v>111</v>
      </c>
      <c r="Q45" s="45">
        <v>101.1</v>
      </c>
      <c r="R45" s="45">
        <v>101.2</v>
      </c>
      <c r="S45" s="45">
        <v>111</v>
      </c>
      <c r="T45" s="45">
        <v>111</v>
      </c>
      <c r="U45" s="45">
        <v>111</v>
      </c>
      <c r="V45" s="45">
        <v>111</v>
      </c>
      <c r="W45" s="45">
        <v>143.4</v>
      </c>
      <c r="X45" s="45">
        <v>143.4</v>
      </c>
      <c r="Y45" s="45">
        <v>143.4</v>
      </c>
      <c r="Z45" s="45">
        <v>143.4</v>
      </c>
      <c r="AA45" s="45">
        <v>144</v>
      </c>
      <c r="AB45" s="45">
        <v>144</v>
      </c>
      <c r="AC45" s="45">
        <v>144.1</v>
      </c>
      <c r="AD45" s="45">
        <v>144.1</v>
      </c>
      <c r="AE45" s="45">
        <v>120</v>
      </c>
      <c r="AF45" s="45">
        <v>121.3</v>
      </c>
      <c r="AG45" s="52">
        <v>144</v>
      </c>
      <c r="AH45" s="48">
        <f t="shared" si="3"/>
        <v>144.1</v>
      </c>
      <c r="AI45" s="49">
        <f t="shared" si="2"/>
        <v>60</v>
      </c>
      <c r="AK45" s="45">
        <v>144</v>
      </c>
      <c r="AM45" s="61"/>
    </row>
    <row r="46" spans="1:88" ht="15.75" thickBot="1" x14ac:dyDescent="0.3">
      <c r="A46" s="54" t="s">
        <v>54</v>
      </c>
      <c r="B46" s="65">
        <v>50</v>
      </c>
      <c r="C46" s="65">
        <v>50</v>
      </c>
      <c r="D46" s="65">
        <v>50.7</v>
      </c>
      <c r="E46" s="65">
        <v>50.7</v>
      </c>
      <c r="F46" s="65">
        <v>50.7</v>
      </c>
      <c r="G46" s="65">
        <v>54.2</v>
      </c>
      <c r="H46" s="65">
        <v>65</v>
      </c>
      <c r="I46" s="65">
        <v>60</v>
      </c>
      <c r="J46" s="65">
        <v>59.7</v>
      </c>
      <c r="K46" s="65">
        <v>59.7</v>
      </c>
      <c r="L46" s="65">
        <v>70</v>
      </c>
      <c r="M46" s="65">
        <v>70.846000000000004</v>
      </c>
      <c r="N46" s="45">
        <v>69.3</v>
      </c>
      <c r="O46" s="45">
        <v>49.7</v>
      </c>
      <c r="P46" s="45">
        <v>50.5</v>
      </c>
      <c r="Q46" s="45">
        <v>51.2</v>
      </c>
      <c r="R46" s="45">
        <v>50.1</v>
      </c>
      <c r="S46" s="65">
        <v>50.4</v>
      </c>
      <c r="T46" s="65">
        <v>50.4</v>
      </c>
      <c r="U46" s="65">
        <v>50.4</v>
      </c>
      <c r="V46" s="65">
        <v>50.4</v>
      </c>
      <c r="W46" s="65">
        <v>71.400000000000006</v>
      </c>
      <c r="X46" s="65">
        <v>71.400000000000006</v>
      </c>
      <c r="Y46" s="65">
        <v>71.400000000000006</v>
      </c>
      <c r="Z46" s="65">
        <v>71.400000000000006</v>
      </c>
      <c r="AA46" s="65">
        <v>71.2</v>
      </c>
      <c r="AB46" s="65">
        <v>71.2</v>
      </c>
      <c r="AC46" s="65">
        <v>70.7</v>
      </c>
      <c r="AD46" s="65">
        <v>70.7</v>
      </c>
      <c r="AE46" s="65">
        <v>60</v>
      </c>
      <c r="AF46" s="65">
        <v>60.9</v>
      </c>
      <c r="AG46" s="55">
        <v>70</v>
      </c>
      <c r="AH46" s="48">
        <f t="shared" si="3"/>
        <v>71.400000000000006</v>
      </c>
      <c r="AI46" s="49">
        <f t="shared" si="2"/>
        <v>49.7</v>
      </c>
      <c r="AK46" s="65">
        <v>70</v>
      </c>
      <c r="AM46" s="61"/>
    </row>
    <row r="47" spans="1:88" ht="15.75" thickBot="1" x14ac:dyDescent="0.3">
      <c r="A47" s="54" t="s">
        <v>55</v>
      </c>
      <c r="B47" s="65">
        <v>51</v>
      </c>
      <c r="C47" s="65">
        <v>51</v>
      </c>
      <c r="D47" s="65">
        <v>48.3</v>
      </c>
      <c r="E47" s="65">
        <v>40.4</v>
      </c>
      <c r="F47" s="65">
        <v>35.9</v>
      </c>
      <c r="G47" s="65">
        <v>44.5</v>
      </c>
      <c r="H47" s="65">
        <v>45</v>
      </c>
      <c r="I47" s="65">
        <v>47</v>
      </c>
      <c r="J47" s="65">
        <v>46.5</v>
      </c>
      <c r="K47" s="65">
        <v>46.5</v>
      </c>
      <c r="L47" s="65">
        <v>46.2</v>
      </c>
      <c r="M47" s="65">
        <v>46.1</v>
      </c>
      <c r="N47" s="45">
        <v>46</v>
      </c>
      <c r="O47" s="45">
        <v>46.1</v>
      </c>
      <c r="P47" s="45">
        <v>34.9</v>
      </c>
      <c r="Q47" s="45">
        <v>34.200000000000003</v>
      </c>
      <c r="R47" s="45">
        <v>34.200000000000003</v>
      </c>
      <c r="S47" s="65">
        <v>33.6</v>
      </c>
      <c r="T47" s="65">
        <v>33.6</v>
      </c>
      <c r="U47" s="65">
        <v>33.6</v>
      </c>
      <c r="V47" s="65">
        <v>33.6</v>
      </c>
      <c r="W47" s="65">
        <v>70.8</v>
      </c>
      <c r="X47" s="65">
        <v>70.8</v>
      </c>
      <c r="Y47" s="65">
        <v>70.8</v>
      </c>
      <c r="Z47" s="65">
        <v>70.8</v>
      </c>
      <c r="AA47" s="65">
        <v>69.5</v>
      </c>
      <c r="AB47" s="65">
        <v>70</v>
      </c>
      <c r="AC47" s="65">
        <v>61.2</v>
      </c>
      <c r="AD47" s="65">
        <v>61.2</v>
      </c>
      <c r="AE47" s="65">
        <v>61.2</v>
      </c>
      <c r="AF47" s="65">
        <v>60.1</v>
      </c>
      <c r="AG47" s="55">
        <v>69</v>
      </c>
      <c r="AH47" s="48">
        <f t="shared" si="3"/>
        <v>70.8</v>
      </c>
      <c r="AI47" s="49">
        <f t="shared" si="2"/>
        <v>33.6</v>
      </c>
      <c r="AK47" s="65">
        <v>69</v>
      </c>
      <c r="AM47" s="61"/>
    </row>
    <row r="48" spans="1:88" ht="15.75" thickBot="1" x14ac:dyDescent="0.3">
      <c r="A48" s="54" t="s">
        <v>56</v>
      </c>
      <c r="B48" s="57">
        <v>42</v>
      </c>
      <c r="C48" s="57">
        <v>42</v>
      </c>
      <c r="D48" s="57">
        <v>41.3</v>
      </c>
      <c r="E48" s="57">
        <v>41.3</v>
      </c>
      <c r="F48" s="57">
        <v>41.3</v>
      </c>
      <c r="G48" s="57">
        <v>41.3</v>
      </c>
      <c r="H48" s="57">
        <v>41.3</v>
      </c>
      <c r="I48" s="57">
        <v>41.3</v>
      </c>
      <c r="J48" s="57">
        <v>41.6</v>
      </c>
      <c r="K48" s="57">
        <v>41.6</v>
      </c>
      <c r="L48" s="57">
        <v>41.6</v>
      </c>
      <c r="M48" s="65">
        <v>51.4</v>
      </c>
      <c r="N48" s="45">
        <v>40.1</v>
      </c>
      <c r="O48" s="45">
        <v>40.299999999999997</v>
      </c>
      <c r="P48" s="45">
        <v>40.299999999999997</v>
      </c>
      <c r="Q48" s="45">
        <v>40.299999999999997</v>
      </c>
      <c r="R48" s="45">
        <v>40.299999999999997</v>
      </c>
      <c r="S48" s="45">
        <v>40.799999999999997</v>
      </c>
      <c r="T48" s="45">
        <v>40.799999999999997</v>
      </c>
      <c r="U48" s="45">
        <v>40.799999999999997</v>
      </c>
      <c r="V48" s="45">
        <v>40.799999999999997</v>
      </c>
      <c r="W48" s="45">
        <v>60</v>
      </c>
      <c r="X48" s="65">
        <v>60</v>
      </c>
      <c r="Y48" s="65">
        <v>60</v>
      </c>
      <c r="Z48" s="65">
        <v>60</v>
      </c>
      <c r="AA48" s="65">
        <v>60.7</v>
      </c>
      <c r="AB48" s="65">
        <v>60.7</v>
      </c>
      <c r="AC48" s="57">
        <v>60.7</v>
      </c>
      <c r="AD48" s="57">
        <v>60.7</v>
      </c>
      <c r="AE48" s="57">
        <v>40.5</v>
      </c>
      <c r="AF48" s="57">
        <v>40.299999999999997</v>
      </c>
      <c r="AG48" s="55">
        <v>60</v>
      </c>
      <c r="AH48" s="48">
        <f t="shared" si="3"/>
        <v>60.7</v>
      </c>
      <c r="AI48" s="49">
        <f t="shared" si="2"/>
        <v>40.1</v>
      </c>
      <c r="AK48" s="57">
        <v>60</v>
      </c>
      <c r="AM48" s="61"/>
    </row>
    <row r="49" spans="1:41" ht="15.75" thickBot="1" x14ac:dyDescent="0.3">
      <c r="A49" s="54" t="s">
        <v>57</v>
      </c>
      <c r="B49" s="57">
        <v>26</v>
      </c>
      <c r="C49" s="57">
        <v>26</v>
      </c>
      <c r="D49" s="57">
        <v>26.1</v>
      </c>
      <c r="E49" s="57">
        <v>26.1</v>
      </c>
      <c r="F49" s="57">
        <v>26.1</v>
      </c>
      <c r="G49" s="57">
        <v>26.1</v>
      </c>
      <c r="H49" s="57">
        <v>26.1</v>
      </c>
      <c r="I49" s="57">
        <v>26.1</v>
      </c>
      <c r="J49" s="57">
        <v>26.1</v>
      </c>
      <c r="K49" s="57">
        <v>26.1</v>
      </c>
      <c r="L49" s="57">
        <v>26.3</v>
      </c>
      <c r="M49" s="65">
        <v>26.3</v>
      </c>
      <c r="N49" s="45">
        <v>26.3</v>
      </c>
      <c r="O49" s="45">
        <v>26.4</v>
      </c>
      <c r="P49" s="45">
        <v>14.2</v>
      </c>
      <c r="Q49" s="45">
        <v>15</v>
      </c>
      <c r="R49" s="45">
        <v>15.1</v>
      </c>
      <c r="S49" s="45">
        <v>15</v>
      </c>
      <c r="T49" s="45">
        <v>15</v>
      </c>
      <c r="U49" s="45">
        <v>15</v>
      </c>
      <c r="V49" s="45">
        <v>15</v>
      </c>
      <c r="W49" s="45">
        <v>15</v>
      </c>
      <c r="X49" s="65">
        <v>30</v>
      </c>
      <c r="Y49" s="65">
        <v>30</v>
      </c>
      <c r="Z49" s="65">
        <v>30</v>
      </c>
      <c r="AA49" s="65">
        <v>30</v>
      </c>
      <c r="AB49" s="65">
        <v>30</v>
      </c>
      <c r="AC49" s="57">
        <v>30</v>
      </c>
      <c r="AD49" s="57">
        <v>30</v>
      </c>
      <c r="AE49" s="57">
        <v>15</v>
      </c>
      <c r="AF49" s="57">
        <v>0</v>
      </c>
      <c r="AG49" s="55">
        <v>30</v>
      </c>
      <c r="AH49" s="48">
        <f t="shared" si="3"/>
        <v>30</v>
      </c>
      <c r="AI49" s="49">
        <f t="shared" si="2"/>
        <v>0</v>
      </c>
      <c r="AK49" s="57">
        <v>30</v>
      </c>
      <c r="AM49" s="61"/>
    </row>
    <row r="50" spans="1:41" ht="15.75" thickBot="1" x14ac:dyDescent="0.3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5</v>
      </c>
      <c r="O50" s="65">
        <v>8</v>
      </c>
      <c r="P50" s="65">
        <v>8</v>
      </c>
      <c r="Q50" s="65">
        <v>8</v>
      </c>
      <c r="R50" s="65">
        <v>8</v>
      </c>
      <c r="S50" s="45">
        <v>8</v>
      </c>
      <c r="T50" s="45">
        <v>8</v>
      </c>
      <c r="U50" s="45">
        <v>8</v>
      </c>
      <c r="V50" s="45">
        <v>8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45">
        <v>0</v>
      </c>
      <c r="AC50" s="65">
        <v>0</v>
      </c>
      <c r="AD50" s="65">
        <v>0</v>
      </c>
      <c r="AE50" s="65">
        <v>0</v>
      </c>
      <c r="AF50" s="65">
        <v>0</v>
      </c>
      <c r="AG50" s="55">
        <v>25</v>
      </c>
      <c r="AH50" s="48">
        <f t="shared" si="3"/>
        <v>8</v>
      </c>
      <c r="AI50" s="49">
        <f t="shared" si="2"/>
        <v>0</v>
      </c>
      <c r="AK50" s="65">
        <v>25</v>
      </c>
      <c r="AM50" s="61"/>
    </row>
    <row r="51" spans="1:41" ht="15.75" thickBot="1" x14ac:dyDescent="0.3">
      <c r="A51" s="54" t="s">
        <v>59</v>
      </c>
      <c r="B51" s="65">
        <v>14.7</v>
      </c>
      <c r="C51" s="65">
        <v>14.7</v>
      </c>
      <c r="D51" s="65">
        <v>14.7</v>
      </c>
      <c r="E51" s="65">
        <v>14.7</v>
      </c>
      <c r="F51" s="65">
        <v>14.7</v>
      </c>
      <c r="G51" s="65">
        <v>14.7</v>
      </c>
      <c r="H51" s="65">
        <v>14.8</v>
      </c>
      <c r="I51" s="65">
        <v>14.8</v>
      </c>
      <c r="J51" s="65">
        <v>14.8</v>
      </c>
      <c r="K51" s="65">
        <v>14.8</v>
      </c>
      <c r="L51" s="65">
        <v>14.8</v>
      </c>
      <c r="M51" s="65">
        <v>16.600000000000001</v>
      </c>
      <c r="N51" s="65">
        <v>16.399999999999999</v>
      </c>
      <c r="O51" s="65">
        <v>15.4</v>
      </c>
      <c r="P51" s="65">
        <v>15.5</v>
      </c>
      <c r="Q51" s="65">
        <v>15.5</v>
      </c>
      <c r="R51" s="65">
        <v>15.5</v>
      </c>
      <c r="S51" s="45">
        <v>15.4</v>
      </c>
      <c r="T51" s="45">
        <v>15.4</v>
      </c>
      <c r="U51" s="45">
        <v>15.4</v>
      </c>
      <c r="V51" s="45">
        <v>15.4</v>
      </c>
      <c r="W51" s="45">
        <v>15.4</v>
      </c>
      <c r="X51" s="45">
        <v>15.4</v>
      </c>
      <c r="Y51" s="45">
        <v>15.4</v>
      </c>
      <c r="Z51" s="45">
        <v>15.4</v>
      </c>
      <c r="AA51" s="45">
        <v>16.600000000000001</v>
      </c>
      <c r="AB51" s="45">
        <v>16.600000000000001</v>
      </c>
      <c r="AC51" s="65">
        <v>16.399999999999999</v>
      </c>
      <c r="AD51" s="65">
        <v>16.399999999999999</v>
      </c>
      <c r="AE51" s="65">
        <v>16.399999999999999</v>
      </c>
      <c r="AF51" s="65">
        <v>16.2</v>
      </c>
      <c r="AG51" s="55">
        <v>24</v>
      </c>
      <c r="AH51" s="48">
        <f t="shared" si="3"/>
        <v>16.600000000000001</v>
      </c>
      <c r="AI51" s="49">
        <f t="shared" si="2"/>
        <v>14.7</v>
      </c>
      <c r="AK51" s="65">
        <v>24</v>
      </c>
      <c r="AM51" s="61"/>
    </row>
    <row r="52" spans="1:41" ht="15.75" thickBot="1" x14ac:dyDescent="0.3">
      <c r="A52" s="54" t="s">
        <v>60</v>
      </c>
      <c r="B52" s="65">
        <v>3</v>
      </c>
      <c r="C52" s="65">
        <v>3</v>
      </c>
      <c r="D52" s="65">
        <v>3</v>
      </c>
      <c r="E52" s="65">
        <v>3</v>
      </c>
      <c r="F52" s="65">
        <v>3</v>
      </c>
      <c r="G52" s="65">
        <v>3</v>
      </c>
      <c r="H52" s="65">
        <v>3</v>
      </c>
      <c r="I52" s="65">
        <v>3</v>
      </c>
      <c r="J52" s="65">
        <v>3</v>
      </c>
      <c r="K52" s="65">
        <v>3</v>
      </c>
      <c r="L52" s="65">
        <v>3</v>
      </c>
      <c r="M52" s="65">
        <v>3</v>
      </c>
      <c r="N52" s="65">
        <v>3</v>
      </c>
      <c r="O52" s="65">
        <v>3</v>
      </c>
      <c r="P52" s="65">
        <v>3</v>
      </c>
      <c r="Q52" s="65">
        <v>3</v>
      </c>
      <c r="R52" s="65">
        <v>3</v>
      </c>
      <c r="S52" s="65">
        <v>3</v>
      </c>
      <c r="T52" s="65">
        <v>3</v>
      </c>
      <c r="U52" s="65">
        <v>3</v>
      </c>
      <c r="V52" s="65">
        <v>3</v>
      </c>
      <c r="W52" s="65">
        <v>3</v>
      </c>
      <c r="X52" s="65">
        <v>3</v>
      </c>
      <c r="Y52" s="65">
        <v>3</v>
      </c>
      <c r="Z52" s="65">
        <v>3</v>
      </c>
      <c r="AA52" s="65">
        <v>3</v>
      </c>
      <c r="AB52" s="65">
        <v>3</v>
      </c>
      <c r="AC52" s="65">
        <v>3</v>
      </c>
      <c r="AD52" s="65">
        <v>3</v>
      </c>
      <c r="AE52" s="65">
        <v>3</v>
      </c>
      <c r="AF52" s="65">
        <v>3</v>
      </c>
      <c r="AG52" s="55">
        <v>15</v>
      </c>
      <c r="AH52" s="48">
        <f t="shared" si="3"/>
        <v>3</v>
      </c>
      <c r="AI52" s="49">
        <f t="shared" si="2"/>
        <v>3</v>
      </c>
      <c r="AK52" s="65">
        <v>15</v>
      </c>
      <c r="AL52" s="70"/>
      <c r="AM52" s="61"/>
      <c r="AO52" s="70"/>
    </row>
    <row r="53" spans="1:41" s="70" customFormat="1" ht="15.75" thickBot="1" x14ac:dyDescent="0.3">
      <c r="A53" s="54" t="s">
        <v>61</v>
      </c>
      <c r="B53" s="65">
        <v>11</v>
      </c>
      <c r="C53" s="65">
        <v>11</v>
      </c>
      <c r="D53" s="65">
        <v>11</v>
      </c>
      <c r="E53" s="65">
        <v>11</v>
      </c>
      <c r="F53" s="65">
        <v>11</v>
      </c>
      <c r="G53" s="65">
        <v>11</v>
      </c>
      <c r="H53" s="65">
        <v>11.9</v>
      </c>
      <c r="I53" s="65">
        <v>11.9</v>
      </c>
      <c r="J53" s="65">
        <v>11.9</v>
      </c>
      <c r="K53" s="65">
        <v>11.9</v>
      </c>
      <c r="L53" s="65">
        <v>11.9</v>
      </c>
      <c r="M53" s="65">
        <v>11.3</v>
      </c>
      <c r="N53" s="65">
        <v>11.3</v>
      </c>
      <c r="O53" s="65">
        <v>11.6</v>
      </c>
      <c r="P53" s="65">
        <v>11.6</v>
      </c>
      <c r="Q53" s="65">
        <v>11.6</v>
      </c>
      <c r="R53" s="65">
        <v>11.6</v>
      </c>
      <c r="S53" s="65">
        <v>11.4</v>
      </c>
      <c r="T53" s="65">
        <v>11.4</v>
      </c>
      <c r="U53" s="65">
        <v>11.4</v>
      </c>
      <c r="V53" s="65">
        <v>11.4</v>
      </c>
      <c r="W53" s="65">
        <v>11.4</v>
      </c>
      <c r="X53" s="65">
        <v>11.4</v>
      </c>
      <c r="Y53" s="65">
        <v>11.4</v>
      </c>
      <c r="Z53" s="65">
        <v>11.4</v>
      </c>
      <c r="AA53" s="65">
        <v>11.5</v>
      </c>
      <c r="AB53" s="65">
        <v>11.5</v>
      </c>
      <c r="AC53" s="65">
        <v>11.2</v>
      </c>
      <c r="AD53" s="65">
        <v>11.2</v>
      </c>
      <c r="AE53" s="65">
        <v>11.2</v>
      </c>
      <c r="AF53" s="65">
        <v>9.9</v>
      </c>
      <c r="AG53" s="55">
        <v>14.1</v>
      </c>
      <c r="AH53" s="48">
        <f t="shared" si="3"/>
        <v>11.9</v>
      </c>
      <c r="AI53" s="49">
        <f t="shared" si="2"/>
        <v>9.9</v>
      </c>
      <c r="AJ53" s="1"/>
      <c r="AK53" s="65">
        <v>14.1</v>
      </c>
      <c r="AL53" s="1"/>
      <c r="AM53" s="61"/>
      <c r="AN53" s="1"/>
      <c r="AO53" s="1"/>
    </row>
    <row r="54" spans="1:41" ht="15.75" thickBot="1" x14ac:dyDescent="0.3">
      <c r="A54" s="71" t="s">
        <v>62</v>
      </c>
      <c r="B54" s="65">
        <v>9.9</v>
      </c>
      <c r="C54" s="65">
        <v>9.9</v>
      </c>
      <c r="D54" s="65">
        <v>12</v>
      </c>
      <c r="E54" s="65">
        <v>12</v>
      </c>
      <c r="F54" s="65">
        <v>12</v>
      </c>
      <c r="G54" s="65">
        <v>12</v>
      </c>
      <c r="H54" s="65">
        <v>14</v>
      </c>
      <c r="I54" s="65">
        <v>14</v>
      </c>
      <c r="J54" s="65">
        <v>14</v>
      </c>
      <c r="K54" s="65">
        <v>14</v>
      </c>
      <c r="L54" s="65">
        <v>14</v>
      </c>
      <c r="M54" s="65">
        <v>14.2</v>
      </c>
      <c r="N54" s="65">
        <v>14.3</v>
      </c>
      <c r="O54" s="65">
        <v>9.9</v>
      </c>
      <c r="P54" s="65">
        <v>9.9</v>
      </c>
      <c r="Q54" s="65">
        <v>9.9</v>
      </c>
      <c r="R54" s="65">
        <v>9.9</v>
      </c>
      <c r="S54" s="65">
        <v>10</v>
      </c>
      <c r="T54" s="65">
        <v>10</v>
      </c>
      <c r="U54" s="65">
        <v>10</v>
      </c>
      <c r="V54" s="65">
        <v>10</v>
      </c>
      <c r="W54" s="65">
        <v>14</v>
      </c>
      <c r="X54" s="65">
        <v>14</v>
      </c>
      <c r="Y54" s="65">
        <v>14</v>
      </c>
      <c r="Z54" s="65">
        <v>14</v>
      </c>
      <c r="AA54" s="65">
        <v>14</v>
      </c>
      <c r="AB54" s="65">
        <v>14</v>
      </c>
      <c r="AC54" s="65">
        <v>10</v>
      </c>
      <c r="AD54" s="65">
        <v>10</v>
      </c>
      <c r="AE54" s="65">
        <v>10</v>
      </c>
      <c r="AF54" s="65">
        <v>9.6999999999999993</v>
      </c>
      <c r="AG54" s="55">
        <v>14</v>
      </c>
      <c r="AH54" s="48">
        <f t="shared" si="3"/>
        <v>14.3</v>
      </c>
      <c r="AI54" s="49">
        <f t="shared" si="2"/>
        <v>9.6999999999999993</v>
      </c>
      <c r="AK54" s="65">
        <v>14</v>
      </c>
      <c r="AM54" s="61"/>
    </row>
    <row r="55" spans="1:41" ht="15.75" thickBot="1" x14ac:dyDescent="0.3">
      <c r="A55" s="54" t="s">
        <v>63</v>
      </c>
      <c r="B55" s="65">
        <v>9</v>
      </c>
      <c r="C55" s="65">
        <v>9</v>
      </c>
      <c r="D55" s="65">
        <v>9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9</v>
      </c>
      <c r="S55" s="65">
        <v>9</v>
      </c>
      <c r="T55" s="65">
        <v>9</v>
      </c>
      <c r="U55" s="65">
        <v>9</v>
      </c>
      <c r="V55" s="65">
        <v>9</v>
      </c>
      <c r="W55" s="65">
        <v>9</v>
      </c>
      <c r="X55" s="65">
        <v>9</v>
      </c>
      <c r="Y55" s="65">
        <v>9</v>
      </c>
      <c r="Z55" s="65">
        <v>9</v>
      </c>
      <c r="AA55" s="65">
        <v>9</v>
      </c>
      <c r="AB55" s="65">
        <v>9</v>
      </c>
      <c r="AC55" s="65">
        <v>9</v>
      </c>
      <c r="AD55" s="65">
        <v>9</v>
      </c>
      <c r="AE55" s="65">
        <v>9</v>
      </c>
      <c r="AF55" s="65">
        <v>9</v>
      </c>
      <c r="AG55" s="55">
        <v>10.050000000000001</v>
      </c>
      <c r="AH55" s="48">
        <f t="shared" si="3"/>
        <v>9</v>
      </c>
      <c r="AI55" s="49">
        <f t="shared" si="2"/>
        <v>9</v>
      </c>
      <c r="AK55" s="65">
        <v>10.050000000000001</v>
      </c>
      <c r="AM55" s="61"/>
    </row>
    <row r="56" spans="1:41" ht="15.75" thickBot="1" x14ac:dyDescent="0.3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3"/>
        <v>6.2</v>
      </c>
      <c r="AI56" s="49">
        <f t="shared" si="2"/>
        <v>6.2</v>
      </c>
      <c r="AK56" s="65">
        <v>6.2</v>
      </c>
      <c r="AM56" s="61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3"/>
        <v>3.54</v>
      </c>
      <c r="AI57" s="49">
        <f t="shared" si="2"/>
        <v>3.54</v>
      </c>
      <c r="AK57" s="72">
        <v>3.54</v>
      </c>
      <c r="AM57" s="61"/>
    </row>
    <row r="58" spans="1:41" ht="15.75" thickBot="1" x14ac:dyDescent="0.3">
      <c r="A58" s="74" t="s">
        <v>66</v>
      </c>
      <c r="B58" s="61">
        <f t="shared" ref="B58:AG58" si="7">SUM(B45:B57)</f>
        <v>318.44</v>
      </c>
      <c r="C58" s="61">
        <f t="shared" si="7"/>
        <v>286.33999999999997</v>
      </c>
      <c r="D58" s="61">
        <f t="shared" si="7"/>
        <v>286.74</v>
      </c>
      <c r="E58" s="61">
        <f t="shared" si="7"/>
        <v>278.84000000000003</v>
      </c>
      <c r="F58" s="61">
        <f t="shared" si="7"/>
        <v>274.34000000000003</v>
      </c>
      <c r="G58" s="61">
        <f t="shared" si="7"/>
        <v>300.84000000000003</v>
      </c>
      <c r="H58" s="61">
        <f t="shared" si="7"/>
        <v>330.24</v>
      </c>
      <c r="I58" s="61">
        <f t="shared" si="7"/>
        <v>327.24</v>
      </c>
      <c r="J58" s="61">
        <f t="shared" si="7"/>
        <v>316.33999999999997</v>
      </c>
      <c r="K58" s="61">
        <f t="shared" si="7"/>
        <v>336.34</v>
      </c>
      <c r="L58" s="61">
        <f t="shared" si="7"/>
        <v>347.24</v>
      </c>
      <c r="M58" s="61">
        <f t="shared" si="7"/>
        <v>379.98600000000005</v>
      </c>
      <c r="N58" s="61">
        <f t="shared" si="7"/>
        <v>371.84000000000003</v>
      </c>
      <c r="O58" s="61">
        <f t="shared" si="7"/>
        <v>340.23999999999995</v>
      </c>
      <c r="P58" s="61">
        <f t="shared" si="7"/>
        <v>317.64</v>
      </c>
      <c r="Q58" s="61">
        <f t="shared" si="7"/>
        <v>308.54000000000002</v>
      </c>
      <c r="R58" s="61">
        <f t="shared" si="7"/>
        <v>307.64</v>
      </c>
      <c r="S58" s="61">
        <f t="shared" si="7"/>
        <v>317.33999999999997</v>
      </c>
      <c r="T58" s="61">
        <f>SUM(T45:T57)</f>
        <v>317.33999999999997</v>
      </c>
      <c r="U58" s="61">
        <f t="shared" si="7"/>
        <v>317.33999999999997</v>
      </c>
      <c r="V58" s="61">
        <f t="shared" si="7"/>
        <v>317.33999999999997</v>
      </c>
      <c r="W58" s="61">
        <f t="shared" si="7"/>
        <v>423.14</v>
      </c>
      <c r="X58" s="61">
        <f t="shared" si="7"/>
        <v>438.14</v>
      </c>
      <c r="Y58" s="61">
        <f t="shared" si="7"/>
        <v>438.14</v>
      </c>
      <c r="Z58" s="61">
        <f t="shared" si="7"/>
        <v>438.14</v>
      </c>
      <c r="AA58" s="61">
        <f t="shared" si="7"/>
        <v>439.24</v>
      </c>
      <c r="AB58" s="61">
        <f t="shared" si="7"/>
        <v>439.74</v>
      </c>
      <c r="AC58" s="61">
        <f t="shared" si="7"/>
        <v>426.03999999999996</v>
      </c>
      <c r="AD58" s="61">
        <f t="shared" si="7"/>
        <v>426.03999999999996</v>
      </c>
      <c r="AE58" s="61">
        <f t="shared" si="7"/>
        <v>356.03999999999996</v>
      </c>
      <c r="AF58" s="61">
        <f t="shared" si="7"/>
        <v>340.13999999999993</v>
      </c>
      <c r="AG58" s="62">
        <f t="shared" si="7"/>
        <v>489.91</v>
      </c>
      <c r="AH58" s="48">
        <f t="shared" si="3"/>
        <v>439.74</v>
      </c>
      <c r="AI58" s="49">
        <f t="shared" si="2"/>
        <v>274.34000000000003</v>
      </c>
      <c r="AK58" s="61">
        <f>SUM(AK45:AK57)</f>
        <v>484.89000000000004</v>
      </c>
      <c r="AM58" s="61"/>
    </row>
    <row r="59" spans="1:41" ht="15.75" thickBot="1" x14ac:dyDescent="0.3">
      <c r="A59" s="44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52">
        <v>60</v>
      </c>
      <c r="AH59" s="48">
        <f t="shared" si="3"/>
        <v>0</v>
      </c>
      <c r="AI59" s="49">
        <f t="shared" si="2"/>
        <v>0</v>
      </c>
      <c r="AK59" s="52">
        <v>60</v>
      </c>
      <c r="AM59" s="61"/>
    </row>
    <row r="60" spans="1:41" ht="15.75" thickBot="1" x14ac:dyDescent="0.3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32</v>
      </c>
      <c r="AH60" s="48">
        <f t="shared" si="3"/>
        <v>0</v>
      </c>
      <c r="AI60" s="49">
        <f t="shared" si="2"/>
        <v>0</v>
      </c>
      <c r="AK60" s="55">
        <v>32</v>
      </c>
      <c r="AM60" s="61"/>
    </row>
    <row r="61" spans="1:41" ht="15.75" thickBot="1" x14ac:dyDescent="0.3">
      <c r="A61" s="71" t="s">
        <v>69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67">
        <v>0</v>
      </c>
      <c r="AB61" s="67">
        <v>0</v>
      </c>
      <c r="AC61" s="67">
        <v>0</v>
      </c>
      <c r="AD61" s="67">
        <v>0</v>
      </c>
      <c r="AE61" s="67">
        <v>0</v>
      </c>
      <c r="AF61" s="67">
        <v>0</v>
      </c>
      <c r="AG61" s="68">
        <v>14</v>
      </c>
      <c r="AH61" s="48">
        <f t="shared" si="3"/>
        <v>0</v>
      </c>
      <c r="AI61" s="49">
        <f t="shared" si="2"/>
        <v>0</v>
      </c>
      <c r="AK61" s="68">
        <v>14</v>
      </c>
      <c r="AM61" s="61"/>
    </row>
    <row r="62" spans="1:41" ht="15.75" thickBot="1" x14ac:dyDescent="0.3">
      <c r="A62" s="74" t="s">
        <v>70</v>
      </c>
      <c r="B62" s="61">
        <f t="shared" ref="B62:AG62" si="8">SUM(B59:B61)</f>
        <v>0</v>
      </c>
      <c r="C62" s="61">
        <f t="shared" si="8"/>
        <v>0</v>
      </c>
      <c r="D62" s="61">
        <f t="shared" si="8"/>
        <v>0</v>
      </c>
      <c r="E62" s="61">
        <f t="shared" si="8"/>
        <v>0</v>
      </c>
      <c r="F62" s="61">
        <f t="shared" si="8"/>
        <v>0</v>
      </c>
      <c r="G62" s="61">
        <f t="shared" si="8"/>
        <v>0</v>
      </c>
      <c r="H62" s="61">
        <f t="shared" si="8"/>
        <v>0</v>
      </c>
      <c r="I62" s="61">
        <f t="shared" si="8"/>
        <v>0</v>
      </c>
      <c r="J62" s="61">
        <f t="shared" si="8"/>
        <v>0</v>
      </c>
      <c r="K62" s="61">
        <f t="shared" si="8"/>
        <v>0</v>
      </c>
      <c r="L62" s="61">
        <f t="shared" si="8"/>
        <v>0</v>
      </c>
      <c r="M62" s="61">
        <f t="shared" si="8"/>
        <v>0</v>
      </c>
      <c r="N62" s="61">
        <f t="shared" si="8"/>
        <v>0</v>
      </c>
      <c r="O62" s="61">
        <f t="shared" si="8"/>
        <v>0</v>
      </c>
      <c r="P62" s="61">
        <f t="shared" si="8"/>
        <v>0</v>
      </c>
      <c r="Q62" s="61">
        <f t="shared" si="8"/>
        <v>0</v>
      </c>
      <c r="R62" s="61">
        <f t="shared" si="8"/>
        <v>0</v>
      </c>
      <c r="S62" s="61">
        <f t="shared" si="8"/>
        <v>0</v>
      </c>
      <c r="T62" s="61">
        <f t="shared" si="8"/>
        <v>0</v>
      </c>
      <c r="U62" s="61">
        <f t="shared" si="8"/>
        <v>0</v>
      </c>
      <c r="V62" s="61">
        <f t="shared" si="8"/>
        <v>0</v>
      </c>
      <c r="W62" s="61">
        <f t="shared" si="8"/>
        <v>0</v>
      </c>
      <c r="X62" s="61">
        <f t="shared" si="8"/>
        <v>0</v>
      </c>
      <c r="Y62" s="61">
        <f t="shared" si="8"/>
        <v>0</v>
      </c>
      <c r="Z62" s="61">
        <f t="shared" si="8"/>
        <v>0</v>
      </c>
      <c r="AA62" s="61">
        <f t="shared" si="8"/>
        <v>0</v>
      </c>
      <c r="AB62" s="61">
        <f t="shared" si="8"/>
        <v>0</v>
      </c>
      <c r="AC62" s="61">
        <f t="shared" si="8"/>
        <v>0</v>
      </c>
      <c r="AD62" s="61">
        <f t="shared" si="8"/>
        <v>0</v>
      </c>
      <c r="AE62" s="61">
        <f t="shared" si="8"/>
        <v>0</v>
      </c>
      <c r="AF62" s="61">
        <f t="shared" si="8"/>
        <v>0</v>
      </c>
      <c r="AG62" s="62">
        <f t="shared" si="8"/>
        <v>106</v>
      </c>
      <c r="AH62" s="48">
        <f t="shared" si="3"/>
        <v>0</v>
      </c>
      <c r="AI62" s="49">
        <f t="shared" si="2"/>
        <v>0</v>
      </c>
      <c r="AK62" s="62">
        <f>SUM(AK59:AK61)</f>
        <v>106</v>
      </c>
      <c r="AM62" s="61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3"/>
        <v>0</v>
      </c>
      <c r="AI63" s="49">
        <f t="shared" si="2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3"/>
        <v>0</v>
      </c>
      <c r="AI64" s="49">
        <f t="shared" si="2"/>
        <v>0</v>
      </c>
      <c r="AK64" s="50"/>
    </row>
    <row r="65" spans="1:37" x14ac:dyDescent="0.25">
      <c r="A65" s="54" t="s">
        <v>73</v>
      </c>
      <c r="B65" s="65">
        <v>-418</v>
      </c>
      <c r="C65" s="65">
        <v>-151</v>
      </c>
      <c r="D65" s="65">
        <v>-210.3</v>
      </c>
      <c r="E65" s="65">
        <v>-228.3</v>
      </c>
      <c r="F65" s="65">
        <v>-224</v>
      </c>
      <c r="G65" s="65">
        <v>-223.7</v>
      </c>
      <c r="H65" s="65">
        <v>-232</v>
      </c>
      <c r="I65" s="65">
        <v>-255</v>
      </c>
      <c r="J65" s="65">
        <v>-275</v>
      </c>
      <c r="K65" s="65">
        <v>-277</v>
      </c>
      <c r="L65" s="65">
        <v>-283</v>
      </c>
      <c r="M65" s="65">
        <v>-286</v>
      </c>
      <c r="N65" s="65">
        <v>-281</v>
      </c>
      <c r="O65" s="65">
        <v>-283.7</v>
      </c>
      <c r="P65" s="65">
        <v>-292.2</v>
      </c>
      <c r="Q65" s="65">
        <v>-285</v>
      </c>
      <c r="R65" s="65">
        <v>-279.3</v>
      </c>
      <c r="S65" s="65">
        <v>-269</v>
      </c>
      <c r="T65" s="65">
        <v>-280</v>
      </c>
      <c r="U65" s="65">
        <v>-291</v>
      </c>
      <c r="V65" s="65">
        <v>-272</v>
      </c>
      <c r="W65" s="65">
        <v>-166</v>
      </c>
      <c r="X65" s="65">
        <v>13.6</v>
      </c>
      <c r="Y65" s="65">
        <v>-33</v>
      </c>
      <c r="Z65" s="65">
        <v>-82</v>
      </c>
      <c r="AA65" s="65">
        <v>-99.2</v>
      </c>
      <c r="AB65" s="65">
        <v>-142</v>
      </c>
      <c r="AC65" s="65">
        <v>-161.69999999999999</v>
      </c>
      <c r="AD65" s="65">
        <v>-182.8</v>
      </c>
      <c r="AE65" s="65">
        <v>-212.7</v>
      </c>
      <c r="AF65" s="65">
        <v>-240.3</v>
      </c>
      <c r="AG65" s="75"/>
      <c r="AH65" s="48">
        <f t="shared" si="3"/>
        <v>13.6</v>
      </c>
      <c r="AI65" s="49">
        <f t="shared" si="2"/>
        <v>-418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3"/>
        <v>0</v>
      </c>
      <c r="AI66" s="49">
        <f t="shared" si="2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3"/>
        <v>0</v>
      </c>
      <c r="AI67" s="49">
        <f t="shared" si="2"/>
        <v>0</v>
      </c>
      <c r="AK67" s="50"/>
    </row>
    <row r="68" spans="1:37" x14ac:dyDescent="0.25">
      <c r="A68" s="54" t="s">
        <v>76</v>
      </c>
      <c r="B68" s="77">
        <v>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3"/>
        <v>0</v>
      </c>
      <c r="AI68" s="49">
        <f t="shared" si="2"/>
        <v>0</v>
      </c>
      <c r="AK68" s="50"/>
    </row>
    <row r="69" spans="1:37" x14ac:dyDescent="0.25">
      <c r="A69" s="54" t="s">
        <v>77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3"/>
        <v>0</v>
      </c>
      <c r="AI69" s="49">
        <f t="shared" si="2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3"/>
        <v>0</v>
      </c>
      <c r="AI70" s="49">
        <f t="shared" si="2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3"/>
        <v>0</v>
      </c>
      <c r="AI71" s="49">
        <f t="shared" si="2"/>
        <v>0</v>
      </c>
      <c r="AK71" s="50"/>
    </row>
    <row r="72" spans="1:37" x14ac:dyDescent="0.25">
      <c r="A72" s="78" t="s">
        <v>80</v>
      </c>
      <c r="B72" s="79">
        <v>0</v>
      </c>
      <c r="C72" s="79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3"/>
        <v>0</v>
      </c>
      <c r="AI72" s="49">
        <f t="shared" si="2"/>
        <v>0</v>
      </c>
      <c r="AK72" s="50"/>
    </row>
    <row r="73" spans="1:37" ht="15.75" thickBot="1" x14ac:dyDescent="0.3">
      <c r="A73" s="78" t="s">
        <v>81</v>
      </c>
      <c r="B73" s="79">
        <v>0</v>
      </c>
      <c r="C73" s="79">
        <v>0</v>
      </c>
      <c r="D73" s="79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3"/>
        <v>0</v>
      </c>
      <c r="AI73" s="49">
        <f t="shared" si="2"/>
        <v>0</v>
      </c>
      <c r="AK73" s="50"/>
    </row>
    <row r="74" spans="1:37" ht="15.75" thickBot="1" x14ac:dyDescent="0.3">
      <c r="A74" s="74" t="s">
        <v>82</v>
      </c>
      <c r="B74" s="61">
        <f t="shared" ref="B74:AF74" si="9">SUMIF(B63:B73,"&gt;0")</f>
        <v>0</v>
      </c>
      <c r="C74" s="61">
        <f t="shared" si="9"/>
        <v>0</v>
      </c>
      <c r="D74" s="61">
        <f t="shared" si="9"/>
        <v>0</v>
      </c>
      <c r="E74" s="61">
        <f t="shared" si="9"/>
        <v>0</v>
      </c>
      <c r="F74" s="61">
        <f t="shared" si="9"/>
        <v>0</v>
      </c>
      <c r="G74" s="61">
        <f t="shared" si="9"/>
        <v>0</v>
      </c>
      <c r="H74" s="61">
        <f t="shared" si="9"/>
        <v>0</v>
      </c>
      <c r="I74" s="61">
        <f t="shared" si="9"/>
        <v>0</v>
      </c>
      <c r="J74" s="61">
        <f t="shared" si="9"/>
        <v>0</v>
      </c>
      <c r="K74" s="61">
        <f t="shared" si="9"/>
        <v>0</v>
      </c>
      <c r="L74" s="61">
        <f t="shared" si="9"/>
        <v>0</v>
      </c>
      <c r="M74" s="61">
        <f t="shared" si="9"/>
        <v>0</v>
      </c>
      <c r="N74" s="61">
        <f t="shared" si="9"/>
        <v>0</v>
      </c>
      <c r="O74" s="61">
        <f t="shared" si="9"/>
        <v>0</v>
      </c>
      <c r="P74" s="61">
        <f t="shared" si="9"/>
        <v>0</v>
      </c>
      <c r="Q74" s="61">
        <f t="shared" si="9"/>
        <v>0</v>
      </c>
      <c r="R74" s="61">
        <f t="shared" si="9"/>
        <v>0</v>
      </c>
      <c r="S74" s="61">
        <f t="shared" si="9"/>
        <v>0</v>
      </c>
      <c r="T74" s="61">
        <f t="shared" si="9"/>
        <v>0</v>
      </c>
      <c r="U74" s="61">
        <f t="shared" si="9"/>
        <v>0</v>
      </c>
      <c r="V74" s="61">
        <f t="shared" si="9"/>
        <v>0</v>
      </c>
      <c r="W74" s="61">
        <f t="shared" si="9"/>
        <v>0</v>
      </c>
      <c r="X74" s="61">
        <f t="shared" si="9"/>
        <v>13.6</v>
      </c>
      <c r="Y74" s="61">
        <f t="shared" si="9"/>
        <v>0</v>
      </c>
      <c r="Z74" s="61">
        <f t="shared" si="9"/>
        <v>0</v>
      </c>
      <c r="AA74" s="61">
        <f t="shared" si="9"/>
        <v>0</v>
      </c>
      <c r="AB74" s="61">
        <f t="shared" si="9"/>
        <v>0</v>
      </c>
      <c r="AC74" s="61">
        <f t="shared" si="9"/>
        <v>0</v>
      </c>
      <c r="AD74" s="61">
        <f t="shared" si="9"/>
        <v>0</v>
      </c>
      <c r="AE74" s="61">
        <f t="shared" si="9"/>
        <v>0</v>
      </c>
      <c r="AF74" s="61">
        <f t="shared" si="9"/>
        <v>0</v>
      </c>
      <c r="AG74" s="81">
        <f>SUM(AG63:AG73)</f>
        <v>0</v>
      </c>
      <c r="AH74" s="48">
        <f t="shared" si="3"/>
        <v>13.6</v>
      </c>
      <c r="AI74" s="49">
        <f t="shared" si="2"/>
        <v>0</v>
      </c>
      <c r="AK74" s="50"/>
    </row>
    <row r="75" spans="1:37" x14ac:dyDescent="0.25">
      <c r="A75" s="44" t="s">
        <v>83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82">
        <v>39</v>
      </c>
      <c r="AH75" s="48">
        <f t="shared" si="3"/>
        <v>0</v>
      </c>
      <c r="AI75" s="49">
        <f t="shared" si="2"/>
        <v>0</v>
      </c>
      <c r="AK75" s="50"/>
    </row>
    <row r="76" spans="1:37" x14ac:dyDescent="0.25">
      <c r="A76" s="54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75">
        <v>14.4</v>
      </c>
      <c r="AH76" s="48">
        <f t="shared" ref="AH76:AH109" si="10">MAX(B76:AF76)</f>
        <v>0</v>
      </c>
      <c r="AI76" s="49">
        <f t="shared" ref="AI76:AI109" si="11">MIN(B76:AF76)</f>
        <v>0</v>
      </c>
      <c r="AK76" s="50"/>
    </row>
    <row r="77" spans="1:37" ht="15.75" thickBot="1" x14ac:dyDescent="0.3">
      <c r="A77" s="78" t="s">
        <v>85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>
        <v>0</v>
      </c>
      <c r="AC77" s="79">
        <v>0</v>
      </c>
      <c r="AD77" s="79">
        <v>0</v>
      </c>
      <c r="AE77" s="79">
        <v>0</v>
      </c>
      <c r="AF77" s="79">
        <v>0</v>
      </c>
      <c r="AG77" s="80">
        <v>2</v>
      </c>
      <c r="AH77" s="48">
        <f t="shared" si="10"/>
        <v>0</v>
      </c>
      <c r="AI77" s="49">
        <f t="shared" si="11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10"/>
        <v>0</v>
      </c>
      <c r="AI78" s="49">
        <f t="shared" si="11"/>
        <v>0</v>
      </c>
    </row>
    <row r="79" spans="1:37" ht="15.75" thickBot="1" x14ac:dyDescent="0.3">
      <c r="A79" s="74" t="s">
        <v>87</v>
      </c>
      <c r="B79" s="83">
        <f t="shared" ref="B79:AG79" si="12">B40+B44+B62+B58+B74+B78</f>
        <v>1361.8400000000001</v>
      </c>
      <c r="C79" s="83">
        <f t="shared" si="12"/>
        <v>1059.74</v>
      </c>
      <c r="D79" s="83">
        <f t="shared" si="12"/>
        <v>1067.04</v>
      </c>
      <c r="E79" s="83">
        <f t="shared" si="12"/>
        <v>1059.1399999999999</v>
      </c>
      <c r="F79" s="83">
        <f t="shared" si="12"/>
        <v>1054.94</v>
      </c>
      <c r="G79" s="83">
        <f t="shared" si="12"/>
        <v>1081.44</v>
      </c>
      <c r="H79" s="83">
        <f t="shared" si="12"/>
        <v>1110.8399999999999</v>
      </c>
      <c r="I79" s="83">
        <f t="shared" si="12"/>
        <v>1107.8399999999999</v>
      </c>
      <c r="J79" s="83">
        <f t="shared" si="12"/>
        <v>1099.1399999999999</v>
      </c>
      <c r="K79" s="83">
        <f t="shared" si="12"/>
        <v>1119.1399999999999</v>
      </c>
      <c r="L79" s="83">
        <f t="shared" si="12"/>
        <v>1130.04</v>
      </c>
      <c r="M79" s="83">
        <f t="shared" si="12"/>
        <v>1162.7860000000001</v>
      </c>
      <c r="N79" s="83">
        <f t="shared" si="12"/>
        <v>1159.04</v>
      </c>
      <c r="O79" s="83">
        <f t="shared" si="12"/>
        <v>1127.6399999999999</v>
      </c>
      <c r="P79" s="83">
        <f t="shared" si="12"/>
        <v>1094.3399999999999</v>
      </c>
      <c r="Q79" s="83">
        <f t="shared" si="12"/>
        <v>1061.74</v>
      </c>
      <c r="R79" s="83">
        <f t="shared" si="12"/>
        <v>1047.3399999999999</v>
      </c>
      <c r="S79" s="83">
        <f t="shared" si="12"/>
        <v>1072.54</v>
      </c>
      <c r="T79" s="83">
        <f t="shared" si="12"/>
        <v>1072.6399999999999</v>
      </c>
      <c r="U79" s="83">
        <f t="shared" si="12"/>
        <v>1072.7399999999998</v>
      </c>
      <c r="V79" s="83">
        <f>V40+V44+V62+V58+V74+V78</f>
        <v>1072.7399999999998</v>
      </c>
      <c r="W79" s="83">
        <f t="shared" si="12"/>
        <v>1176.54</v>
      </c>
      <c r="X79" s="83">
        <f t="shared" si="12"/>
        <v>1400.34</v>
      </c>
      <c r="Y79" s="83">
        <f t="shared" si="12"/>
        <v>1399.94</v>
      </c>
      <c r="Z79" s="83">
        <f t="shared" si="12"/>
        <v>1377.94</v>
      </c>
      <c r="AA79" s="83">
        <f t="shared" si="12"/>
        <v>1340.1399999999999</v>
      </c>
      <c r="AB79" s="83">
        <f t="shared" si="12"/>
        <v>1278.94</v>
      </c>
      <c r="AC79" s="83">
        <f t="shared" si="12"/>
        <v>1256.7399999999998</v>
      </c>
      <c r="AD79" s="83">
        <f t="shared" si="12"/>
        <v>1242.7399999999998</v>
      </c>
      <c r="AE79" s="83">
        <f t="shared" si="12"/>
        <v>1124.7399999999998</v>
      </c>
      <c r="AF79" s="83">
        <f t="shared" si="12"/>
        <v>1103.8399999999999</v>
      </c>
      <c r="AG79" s="62">
        <f t="shared" si="12"/>
        <v>1897.1900000000003</v>
      </c>
      <c r="AH79" s="48">
        <f t="shared" si="10"/>
        <v>1400.34</v>
      </c>
      <c r="AI79" s="49">
        <f t="shared" si="11"/>
        <v>1047.3399999999999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10"/>
        <v>0</v>
      </c>
      <c r="AI80" s="49">
        <f t="shared" si="11"/>
        <v>0</v>
      </c>
    </row>
    <row r="81" spans="1:37" ht="15.75" thickBot="1" x14ac:dyDescent="0.3">
      <c r="A81" s="74" t="s">
        <v>89</v>
      </c>
      <c r="B81" s="83">
        <f t="shared" ref="B81:AF81" si="13">B79+B80</f>
        <v>1361.8400000000001</v>
      </c>
      <c r="C81" s="83">
        <f t="shared" si="13"/>
        <v>1059.74</v>
      </c>
      <c r="D81" s="83">
        <f t="shared" si="13"/>
        <v>1067.04</v>
      </c>
      <c r="E81" s="83">
        <f t="shared" si="13"/>
        <v>1059.1399999999999</v>
      </c>
      <c r="F81" s="83">
        <f t="shared" si="13"/>
        <v>1054.94</v>
      </c>
      <c r="G81" s="83">
        <f t="shared" si="13"/>
        <v>1081.44</v>
      </c>
      <c r="H81" s="83">
        <f t="shared" si="13"/>
        <v>1110.8399999999999</v>
      </c>
      <c r="I81" s="83">
        <f>I79+I80</f>
        <v>1107.8399999999999</v>
      </c>
      <c r="J81" s="83">
        <f t="shared" si="13"/>
        <v>1099.1399999999999</v>
      </c>
      <c r="K81" s="83">
        <f t="shared" si="13"/>
        <v>1119.1399999999999</v>
      </c>
      <c r="L81" s="83">
        <f t="shared" si="13"/>
        <v>1130.04</v>
      </c>
      <c r="M81" s="83">
        <f t="shared" si="13"/>
        <v>1162.7860000000001</v>
      </c>
      <c r="N81" s="83">
        <f t="shared" si="13"/>
        <v>1159.04</v>
      </c>
      <c r="O81" s="83">
        <f t="shared" si="13"/>
        <v>1127.6399999999999</v>
      </c>
      <c r="P81" s="83">
        <f t="shared" si="13"/>
        <v>1094.3399999999999</v>
      </c>
      <c r="Q81" s="83">
        <f t="shared" si="13"/>
        <v>1061.74</v>
      </c>
      <c r="R81" s="83">
        <f t="shared" si="13"/>
        <v>1047.3399999999999</v>
      </c>
      <c r="S81" s="83">
        <f t="shared" si="13"/>
        <v>1072.54</v>
      </c>
      <c r="T81" s="83">
        <f t="shared" si="13"/>
        <v>1072.6399999999999</v>
      </c>
      <c r="U81" s="83">
        <f t="shared" si="13"/>
        <v>1072.7399999999998</v>
      </c>
      <c r="V81" s="83">
        <f t="shared" si="13"/>
        <v>1072.7399999999998</v>
      </c>
      <c r="W81" s="83">
        <f t="shared" si="13"/>
        <v>1176.54</v>
      </c>
      <c r="X81" s="83">
        <f t="shared" si="13"/>
        <v>1400.34</v>
      </c>
      <c r="Y81" s="83">
        <f t="shared" si="13"/>
        <v>1399.94</v>
      </c>
      <c r="Z81" s="83">
        <f t="shared" si="13"/>
        <v>1377.94</v>
      </c>
      <c r="AA81" s="83">
        <f t="shared" si="13"/>
        <v>1340.1399999999999</v>
      </c>
      <c r="AB81" s="83">
        <f t="shared" si="13"/>
        <v>1278.94</v>
      </c>
      <c r="AC81" s="83">
        <f t="shared" si="13"/>
        <v>1256.7399999999998</v>
      </c>
      <c r="AD81" s="83">
        <f t="shared" si="13"/>
        <v>1242.7399999999998</v>
      </c>
      <c r="AE81" s="83">
        <f t="shared" si="13"/>
        <v>1124.7399999999998</v>
      </c>
      <c r="AF81" s="83">
        <f t="shared" si="13"/>
        <v>1103.8399999999999</v>
      </c>
      <c r="AG81" s="81">
        <f>AG78+AG74+AG62+AG58+AG40+AG80</f>
        <v>1359.0900000000001</v>
      </c>
      <c r="AH81" s="48">
        <f t="shared" si="10"/>
        <v>1400.34</v>
      </c>
      <c r="AI81" s="49">
        <f t="shared" si="11"/>
        <v>1047.3399999999999</v>
      </c>
    </row>
    <row r="82" spans="1:37" ht="15.75" thickBot="1" x14ac:dyDescent="0.3">
      <c r="A82" s="74" t="s">
        <v>90</v>
      </c>
      <c r="B82" s="83">
        <f t="shared" ref="B82:AF82" si="14">B81-B89</f>
        <v>943.84000000000015</v>
      </c>
      <c r="C82" s="83">
        <f t="shared" si="14"/>
        <v>908.74</v>
      </c>
      <c r="D82" s="83">
        <f t="shared" si="14"/>
        <v>856.74</v>
      </c>
      <c r="E82" s="83">
        <f t="shared" si="14"/>
        <v>830.83999999999992</v>
      </c>
      <c r="F82" s="83">
        <f t="shared" si="14"/>
        <v>830.94</v>
      </c>
      <c r="G82" s="83">
        <f t="shared" si="14"/>
        <v>857.74</v>
      </c>
      <c r="H82" s="83">
        <f t="shared" si="14"/>
        <v>878.83999999999992</v>
      </c>
      <c r="I82" s="83">
        <f>I81-I89</f>
        <v>852.83999999999992</v>
      </c>
      <c r="J82" s="83">
        <f t="shared" si="14"/>
        <v>824.13999999999987</v>
      </c>
      <c r="K82" s="83">
        <f t="shared" si="14"/>
        <v>842.13999999999987</v>
      </c>
      <c r="L82" s="83">
        <f t="shared" si="14"/>
        <v>847.04</v>
      </c>
      <c r="M82" s="83">
        <f t="shared" si="14"/>
        <v>876.78600000000006</v>
      </c>
      <c r="N82" s="83">
        <f t="shared" si="14"/>
        <v>878.04</v>
      </c>
      <c r="O82" s="83">
        <f t="shared" si="14"/>
        <v>843.93999999999983</v>
      </c>
      <c r="P82" s="83">
        <f t="shared" si="14"/>
        <v>802.13999999999987</v>
      </c>
      <c r="Q82" s="83">
        <f t="shared" si="14"/>
        <v>776.74</v>
      </c>
      <c r="R82" s="83">
        <f t="shared" si="14"/>
        <v>768.04</v>
      </c>
      <c r="S82" s="83">
        <f t="shared" si="14"/>
        <v>803.54</v>
      </c>
      <c r="T82" s="83">
        <f t="shared" si="14"/>
        <v>792.63999999999987</v>
      </c>
      <c r="U82" s="83">
        <f t="shared" si="14"/>
        <v>781.73999999999978</v>
      </c>
      <c r="V82" s="83">
        <f>V81-V89</f>
        <v>800.73999999999978</v>
      </c>
      <c r="W82" s="83">
        <f t="shared" si="14"/>
        <v>1010.54</v>
      </c>
      <c r="X82" s="83">
        <f t="shared" si="14"/>
        <v>1400.34</v>
      </c>
      <c r="Y82" s="83">
        <f t="shared" si="14"/>
        <v>1366.94</v>
      </c>
      <c r="Z82" s="83">
        <f t="shared" si="14"/>
        <v>1295.94</v>
      </c>
      <c r="AA82" s="83">
        <f t="shared" si="14"/>
        <v>1240.9399999999998</v>
      </c>
      <c r="AB82" s="83">
        <f t="shared" si="14"/>
        <v>1136.94</v>
      </c>
      <c r="AC82" s="83">
        <f t="shared" si="14"/>
        <v>1095.0399999999997</v>
      </c>
      <c r="AD82" s="83">
        <f t="shared" si="14"/>
        <v>1059.9399999999998</v>
      </c>
      <c r="AE82" s="83">
        <f t="shared" si="14"/>
        <v>912.03999999999974</v>
      </c>
      <c r="AF82" s="83">
        <f t="shared" si="14"/>
        <v>863.54</v>
      </c>
      <c r="AG82" s="81"/>
      <c r="AH82" s="48">
        <f t="shared" si="10"/>
        <v>1400.34</v>
      </c>
      <c r="AI82" s="49">
        <f t="shared" si="11"/>
        <v>768.04</v>
      </c>
    </row>
    <row r="83" spans="1:37" x14ac:dyDescent="0.25">
      <c r="A83" s="44" t="s">
        <v>74</v>
      </c>
      <c r="B83" s="76">
        <f t="shared" ref="B83:AF83" si="15">IF(B66&lt;0,B66*-1,0)</f>
        <v>0</v>
      </c>
      <c r="C83" s="76">
        <f t="shared" si="15"/>
        <v>0</v>
      </c>
      <c r="D83" s="76">
        <f t="shared" si="15"/>
        <v>0</v>
      </c>
      <c r="E83" s="76">
        <f t="shared" si="15"/>
        <v>0</v>
      </c>
      <c r="F83" s="76">
        <f t="shared" si="15"/>
        <v>0</v>
      </c>
      <c r="G83" s="76">
        <f t="shared" si="15"/>
        <v>0</v>
      </c>
      <c r="H83" s="76">
        <f t="shared" si="15"/>
        <v>0</v>
      </c>
      <c r="I83" s="76">
        <f t="shared" si="15"/>
        <v>0</v>
      </c>
      <c r="J83" s="76">
        <f t="shared" si="15"/>
        <v>0</v>
      </c>
      <c r="K83" s="76">
        <f t="shared" si="15"/>
        <v>0</v>
      </c>
      <c r="L83" s="76">
        <f t="shared" si="15"/>
        <v>0</v>
      </c>
      <c r="M83" s="76">
        <f t="shared" si="15"/>
        <v>0</v>
      </c>
      <c r="N83" s="76">
        <f t="shared" si="15"/>
        <v>0</v>
      </c>
      <c r="O83" s="76">
        <f t="shared" si="15"/>
        <v>0</v>
      </c>
      <c r="P83" s="76">
        <f t="shared" si="15"/>
        <v>0</v>
      </c>
      <c r="Q83" s="76">
        <f t="shared" si="15"/>
        <v>0</v>
      </c>
      <c r="R83" s="76">
        <f t="shared" si="15"/>
        <v>0</v>
      </c>
      <c r="S83" s="76">
        <f t="shared" si="15"/>
        <v>0</v>
      </c>
      <c r="T83" s="76">
        <f t="shared" si="15"/>
        <v>0</v>
      </c>
      <c r="U83" s="76">
        <f t="shared" si="15"/>
        <v>0</v>
      </c>
      <c r="V83" s="76">
        <f t="shared" si="15"/>
        <v>0</v>
      </c>
      <c r="W83" s="76">
        <f t="shared" si="15"/>
        <v>0</v>
      </c>
      <c r="X83" s="76">
        <f t="shared" si="15"/>
        <v>0</v>
      </c>
      <c r="Y83" s="76">
        <f t="shared" si="15"/>
        <v>0</v>
      </c>
      <c r="Z83" s="76">
        <f t="shared" si="15"/>
        <v>0</v>
      </c>
      <c r="AA83" s="76">
        <f t="shared" si="15"/>
        <v>0</v>
      </c>
      <c r="AB83" s="76">
        <f t="shared" si="15"/>
        <v>0</v>
      </c>
      <c r="AC83" s="76">
        <f t="shared" si="15"/>
        <v>0</v>
      </c>
      <c r="AD83" s="76">
        <f t="shared" si="15"/>
        <v>0</v>
      </c>
      <c r="AE83" s="76">
        <f t="shared" si="15"/>
        <v>0</v>
      </c>
      <c r="AF83" s="76">
        <f t="shared" si="15"/>
        <v>0</v>
      </c>
      <c r="AG83" s="52"/>
      <c r="AH83" s="48">
        <f t="shared" si="10"/>
        <v>0</v>
      </c>
      <c r="AI83" s="49">
        <f t="shared" si="11"/>
        <v>0</v>
      </c>
    </row>
    <row r="84" spans="1:37" x14ac:dyDescent="0.25">
      <c r="A84" s="54" t="s">
        <v>72</v>
      </c>
      <c r="B84" s="76">
        <f t="shared" ref="B84:AF84" si="16">IF(B64&lt;0,B64*-1,0)</f>
        <v>0</v>
      </c>
      <c r="C84" s="76">
        <f t="shared" si="16"/>
        <v>0</v>
      </c>
      <c r="D84" s="76">
        <f t="shared" si="16"/>
        <v>0</v>
      </c>
      <c r="E84" s="76">
        <f t="shared" si="16"/>
        <v>0</v>
      </c>
      <c r="F84" s="76">
        <f t="shared" si="16"/>
        <v>0</v>
      </c>
      <c r="G84" s="76">
        <f t="shared" si="16"/>
        <v>0</v>
      </c>
      <c r="H84" s="76">
        <f t="shared" si="16"/>
        <v>0</v>
      </c>
      <c r="I84" s="76">
        <f t="shared" si="16"/>
        <v>0</v>
      </c>
      <c r="J84" s="76">
        <f t="shared" si="16"/>
        <v>0</v>
      </c>
      <c r="K84" s="76">
        <f t="shared" si="16"/>
        <v>0</v>
      </c>
      <c r="L84" s="76">
        <f t="shared" si="16"/>
        <v>0</v>
      </c>
      <c r="M84" s="76">
        <f t="shared" si="16"/>
        <v>0</v>
      </c>
      <c r="N84" s="76">
        <f t="shared" si="16"/>
        <v>0</v>
      </c>
      <c r="O84" s="76">
        <f t="shared" si="16"/>
        <v>0</v>
      </c>
      <c r="P84" s="76">
        <f t="shared" si="16"/>
        <v>0</v>
      </c>
      <c r="Q84" s="76">
        <f t="shared" si="16"/>
        <v>0</v>
      </c>
      <c r="R84" s="76">
        <f t="shared" si="16"/>
        <v>0</v>
      </c>
      <c r="S84" s="76">
        <f t="shared" si="16"/>
        <v>0</v>
      </c>
      <c r="T84" s="76">
        <f t="shared" si="16"/>
        <v>0</v>
      </c>
      <c r="U84" s="76">
        <f t="shared" si="16"/>
        <v>0</v>
      </c>
      <c r="V84" s="76">
        <f t="shared" si="16"/>
        <v>0</v>
      </c>
      <c r="W84" s="76">
        <f t="shared" si="16"/>
        <v>0</v>
      </c>
      <c r="X84" s="76">
        <f t="shared" si="16"/>
        <v>0</v>
      </c>
      <c r="Y84" s="76">
        <f t="shared" si="16"/>
        <v>0</v>
      </c>
      <c r="Z84" s="76">
        <f t="shared" si="16"/>
        <v>0</v>
      </c>
      <c r="AA84" s="76">
        <f t="shared" si="16"/>
        <v>0</v>
      </c>
      <c r="AB84" s="76">
        <f t="shared" si="16"/>
        <v>0</v>
      </c>
      <c r="AC84" s="76">
        <f t="shared" si="16"/>
        <v>0</v>
      </c>
      <c r="AD84" s="76">
        <f t="shared" si="16"/>
        <v>0</v>
      </c>
      <c r="AE84" s="76">
        <f t="shared" si="16"/>
        <v>0</v>
      </c>
      <c r="AF84" s="76">
        <f t="shared" si="16"/>
        <v>0</v>
      </c>
      <c r="AG84" s="55"/>
      <c r="AH84" s="48">
        <f t="shared" si="10"/>
        <v>0</v>
      </c>
      <c r="AI84" s="49">
        <f t="shared" si="11"/>
        <v>0</v>
      </c>
    </row>
    <row r="85" spans="1:37" x14ac:dyDescent="0.25">
      <c r="A85" s="78" t="s">
        <v>91</v>
      </c>
      <c r="B85" s="76">
        <f t="shared" ref="B85:AF85" si="17">IF(B67&lt;0,B67*-1,0)</f>
        <v>0</v>
      </c>
      <c r="C85" s="76">
        <f t="shared" si="17"/>
        <v>0</v>
      </c>
      <c r="D85" s="76">
        <f t="shared" si="17"/>
        <v>0</v>
      </c>
      <c r="E85" s="76">
        <f t="shared" si="17"/>
        <v>0</v>
      </c>
      <c r="F85" s="76">
        <f t="shared" si="17"/>
        <v>0</v>
      </c>
      <c r="G85" s="76">
        <f t="shared" si="17"/>
        <v>0</v>
      </c>
      <c r="H85" s="76">
        <f t="shared" si="17"/>
        <v>0</v>
      </c>
      <c r="I85" s="76">
        <f t="shared" si="17"/>
        <v>0</v>
      </c>
      <c r="J85" s="76">
        <f t="shared" si="17"/>
        <v>0</v>
      </c>
      <c r="K85" s="76">
        <f t="shared" si="17"/>
        <v>0</v>
      </c>
      <c r="L85" s="76">
        <f t="shared" si="17"/>
        <v>0</v>
      </c>
      <c r="M85" s="76">
        <f t="shared" si="17"/>
        <v>0</v>
      </c>
      <c r="N85" s="76">
        <f t="shared" si="17"/>
        <v>0</v>
      </c>
      <c r="O85" s="76">
        <f t="shared" si="17"/>
        <v>0</v>
      </c>
      <c r="P85" s="76">
        <f t="shared" si="17"/>
        <v>0</v>
      </c>
      <c r="Q85" s="76">
        <f t="shared" si="17"/>
        <v>0</v>
      </c>
      <c r="R85" s="76">
        <f t="shared" si="17"/>
        <v>0</v>
      </c>
      <c r="S85" s="76">
        <f t="shared" si="17"/>
        <v>0</v>
      </c>
      <c r="T85" s="76">
        <f t="shared" si="17"/>
        <v>0</v>
      </c>
      <c r="U85" s="76">
        <f t="shared" si="17"/>
        <v>0</v>
      </c>
      <c r="V85" s="76">
        <f t="shared" si="17"/>
        <v>0</v>
      </c>
      <c r="W85" s="76">
        <f t="shared" si="17"/>
        <v>0</v>
      </c>
      <c r="X85" s="76">
        <f t="shared" si="17"/>
        <v>0</v>
      </c>
      <c r="Y85" s="76">
        <f t="shared" si="17"/>
        <v>0</v>
      </c>
      <c r="Z85" s="76">
        <f t="shared" si="17"/>
        <v>0</v>
      </c>
      <c r="AA85" s="76">
        <f t="shared" si="17"/>
        <v>0</v>
      </c>
      <c r="AB85" s="76">
        <f t="shared" si="17"/>
        <v>0</v>
      </c>
      <c r="AC85" s="76">
        <f t="shared" si="17"/>
        <v>0</v>
      </c>
      <c r="AD85" s="76">
        <f t="shared" si="17"/>
        <v>0</v>
      </c>
      <c r="AE85" s="76">
        <f t="shared" si="17"/>
        <v>0</v>
      </c>
      <c r="AF85" s="76">
        <f t="shared" si="17"/>
        <v>0</v>
      </c>
      <c r="AG85" s="86"/>
      <c r="AH85" s="48">
        <f t="shared" si="10"/>
        <v>0</v>
      </c>
      <c r="AI85" s="49">
        <f t="shared" si="11"/>
        <v>0</v>
      </c>
    </row>
    <row r="86" spans="1:37" x14ac:dyDescent="0.25">
      <c r="A86" s="78" t="s">
        <v>92</v>
      </c>
      <c r="B86" s="76">
        <f t="shared" ref="B86:AF86" si="18">IF(B65&lt;0,B65*-1,0)</f>
        <v>418</v>
      </c>
      <c r="C86" s="76">
        <f t="shared" si="18"/>
        <v>151</v>
      </c>
      <c r="D86" s="76">
        <f t="shared" si="18"/>
        <v>210.3</v>
      </c>
      <c r="E86" s="76">
        <f t="shared" si="18"/>
        <v>228.3</v>
      </c>
      <c r="F86" s="76">
        <f t="shared" si="18"/>
        <v>224</v>
      </c>
      <c r="G86" s="76">
        <f t="shared" si="18"/>
        <v>223.7</v>
      </c>
      <c r="H86" s="76">
        <f t="shared" si="18"/>
        <v>232</v>
      </c>
      <c r="I86" s="76">
        <f t="shared" si="18"/>
        <v>255</v>
      </c>
      <c r="J86" s="76">
        <f t="shared" si="18"/>
        <v>275</v>
      </c>
      <c r="K86" s="76">
        <f t="shared" si="18"/>
        <v>277</v>
      </c>
      <c r="L86" s="76">
        <f t="shared" si="18"/>
        <v>283</v>
      </c>
      <c r="M86" s="76">
        <f t="shared" si="18"/>
        <v>286</v>
      </c>
      <c r="N86" s="76">
        <f t="shared" si="18"/>
        <v>281</v>
      </c>
      <c r="O86" s="76">
        <f t="shared" si="18"/>
        <v>283.7</v>
      </c>
      <c r="P86" s="76">
        <f t="shared" si="18"/>
        <v>292.2</v>
      </c>
      <c r="Q86" s="76">
        <f t="shared" si="18"/>
        <v>285</v>
      </c>
      <c r="R86" s="76">
        <f t="shared" si="18"/>
        <v>279.3</v>
      </c>
      <c r="S86" s="76">
        <f t="shared" si="18"/>
        <v>269</v>
      </c>
      <c r="T86" s="76">
        <f t="shared" si="18"/>
        <v>280</v>
      </c>
      <c r="U86" s="76">
        <f t="shared" si="18"/>
        <v>291</v>
      </c>
      <c r="V86" s="76">
        <f t="shared" si="18"/>
        <v>272</v>
      </c>
      <c r="W86" s="76">
        <f t="shared" si="18"/>
        <v>166</v>
      </c>
      <c r="X86" s="76">
        <f t="shared" si="18"/>
        <v>0</v>
      </c>
      <c r="Y86" s="76">
        <f t="shared" si="18"/>
        <v>33</v>
      </c>
      <c r="Z86" s="76">
        <f t="shared" si="18"/>
        <v>82</v>
      </c>
      <c r="AA86" s="76">
        <f t="shared" si="18"/>
        <v>99.2</v>
      </c>
      <c r="AB86" s="76">
        <f t="shared" si="18"/>
        <v>142</v>
      </c>
      <c r="AC86" s="76">
        <f t="shared" si="18"/>
        <v>161.69999999999999</v>
      </c>
      <c r="AD86" s="76">
        <f t="shared" si="18"/>
        <v>182.8</v>
      </c>
      <c r="AE86" s="76">
        <f t="shared" si="18"/>
        <v>212.7</v>
      </c>
      <c r="AF86" s="76">
        <f t="shared" si="18"/>
        <v>240.3</v>
      </c>
      <c r="AG86" s="86"/>
      <c r="AH86" s="48">
        <f t="shared" si="10"/>
        <v>418</v>
      </c>
      <c r="AI86" s="49">
        <f t="shared" si="11"/>
        <v>0</v>
      </c>
    </row>
    <row r="87" spans="1:37" x14ac:dyDescent="0.25">
      <c r="A87" s="78" t="s">
        <v>71</v>
      </c>
      <c r="B87" s="76">
        <f t="shared" ref="B87:AF87" si="19">IF(B63&lt;0,B63*-1,0)</f>
        <v>0</v>
      </c>
      <c r="C87" s="76">
        <f t="shared" si="19"/>
        <v>0</v>
      </c>
      <c r="D87" s="76">
        <f t="shared" si="19"/>
        <v>0</v>
      </c>
      <c r="E87" s="76">
        <f t="shared" si="19"/>
        <v>0</v>
      </c>
      <c r="F87" s="76">
        <f t="shared" si="19"/>
        <v>0</v>
      </c>
      <c r="G87" s="76">
        <f t="shared" si="19"/>
        <v>0</v>
      </c>
      <c r="H87" s="76">
        <f t="shared" si="19"/>
        <v>0</v>
      </c>
      <c r="I87" s="76">
        <f t="shared" si="19"/>
        <v>0</v>
      </c>
      <c r="J87" s="76">
        <f t="shared" si="19"/>
        <v>0</v>
      </c>
      <c r="K87" s="76">
        <f t="shared" si="19"/>
        <v>0</v>
      </c>
      <c r="L87" s="76">
        <f t="shared" si="19"/>
        <v>0</v>
      </c>
      <c r="M87" s="76">
        <f t="shared" si="19"/>
        <v>0</v>
      </c>
      <c r="N87" s="76">
        <f t="shared" si="19"/>
        <v>0</v>
      </c>
      <c r="O87" s="76">
        <f t="shared" si="19"/>
        <v>0</v>
      </c>
      <c r="P87" s="76">
        <f t="shared" si="19"/>
        <v>0</v>
      </c>
      <c r="Q87" s="76">
        <f t="shared" si="19"/>
        <v>0</v>
      </c>
      <c r="R87" s="76">
        <f t="shared" si="19"/>
        <v>0</v>
      </c>
      <c r="S87" s="76">
        <f t="shared" si="19"/>
        <v>0</v>
      </c>
      <c r="T87" s="76">
        <f t="shared" si="19"/>
        <v>0</v>
      </c>
      <c r="U87" s="76">
        <f t="shared" si="19"/>
        <v>0</v>
      </c>
      <c r="V87" s="76">
        <f t="shared" si="19"/>
        <v>0</v>
      </c>
      <c r="W87" s="76">
        <f t="shared" si="19"/>
        <v>0</v>
      </c>
      <c r="X87" s="76">
        <f t="shared" si="19"/>
        <v>0</v>
      </c>
      <c r="Y87" s="76">
        <f t="shared" si="19"/>
        <v>0</v>
      </c>
      <c r="Z87" s="76">
        <f t="shared" si="19"/>
        <v>0</v>
      </c>
      <c r="AA87" s="76">
        <f t="shared" si="19"/>
        <v>0</v>
      </c>
      <c r="AB87" s="76">
        <f t="shared" si="19"/>
        <v>0</v>
      </c>
      <c r="AC87" s="76">
        <f t="shared" si="19"/>
        <v>0</v>
      </c>
      <c r="AD87" s="76">
        <f t="shared" si="19"/>
        <v>0</v>
      </c>
      <c r="AE87" s="76">
        <f t="shared" si="19"/>
        <v>0</v>
      </c>
      <c r="AF87" s="76">
        <f t="shared" si="19"/>
        <v>0</v>
      </c>
      <c r="AG87" s="86"/>
      <c r="AH87" s="48">
        <f t="shared" si="10"/>
        <v>0</v>
      </c>
      <c r="AI87" s="49">
        <f t="shared" si="11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10"/>
        <v>0</v>
      </c>
      <c r="AI88" s="49">
        <f t="shared" si="11"/>
        <v>0</v>
      </c>
    </row>
    <row r="89" spans="1:37" ht="15.75" thickBot="1" x14ac:dyDescent="0.3">
      <c r="A89" s="87" t="s">
        <v>94</v>
      </c>
      <c r="B89" s="61">
        <f t="shared" ref="B89:AF89" si="20">SUM(B83:B88)</f>
        <v>418</v>
      </c>
      <c r="C89" s="61">
        <f t="shared" si="20"/>
        <v>151</v>
      </c>
      <c r="D89" s="61">
        <f t="shared" si="20"/>
        <v>210.3</v>
      </c>
      <c r="E89" s="61">
        <f t="shared" si="20"/>
        <v>228.3</v>
      </c>
      <c r="F89" s="61">
        <f t="shared" si="20"/>
        <v>224</v>
      </c>
      <c r="G89" s="61">
        <f t="shared" si="20"/>
        <v>223.7</v>
      </c>
      <c r="H89" s="61">
        <f t="shared" si="20"/>
        <v>232</v>
      </c>
      <c r="I89" s="61">
        <f t="shared" si="20"/>
        <v>255</v>
      </c>
      <c r="J89" s="61">
        <f t="shared" si="20"/>
        <v>275</v>
      </c>
      <c r="K89" s="61">
        <f t="shared" si="20"/>
        <v>277</v>
      </c>
      <c r="L89" s="61">
        <f t="shared" si="20"/>
        <v>283</v>
      </c>
      <c r="M89" s="61">
        <f t="shared" si="20"/>
        <v>286</v>
      </c>
      <c r="N89" s="61">
        <f t="shared" si="20"/>
        <v>281</v>
      </c>
      <c r="O89" s="61">
        <f t="shared" si="20"/>
        <v>283.7</v>
      </c>
      <c r="P89" s="61">
        <f t="shared" si="20"/>
        <v>292.2</v>
      </c>
      <c r="Q89" s="61">
        <f t="shared" si="20"/>
        <v>285</v>
      </c>
      <c r="R89" s="61">
        <f t="shared" si="20"/>
        <v>279.3</v>
      </c>
      <c r="S89" s="61">
        <f t="shared" si="20"/>
        <v>269</v>
      </c>
      <c r="T89" s="61">
        <f t="shared" si="20"/>
        <v>280</v>
      </c>
      <c r="U89" s="61">
        <f t="shared" si="20"/>
        <v>291</v>
      </c>
      <c r="V89" s="61">
        <f t="shared" si="20"/>
        <v>272</v>
      </c>
      <c r="W89" s="61">
        <f t="shared" si="20"/>
        <v>166</v>
      </c>
      <c r="X89" s="61">
        <f t="shared" si="20"/>
        <v>0</v>
      </c>
      <c r="Y89" s="61">
        <f t="shared" si="20"/>
        <v>33</v>
      </c>
      <c r="Z89" s="61">
        <f t="shared" si="20"/>
        <v>82</v>
      </c>
      <c r="AA89" s="61">
        <f t="shared" si="20"/>
        <v>99.2</v>
      </c>
      <c r="AB89" s="61">
        <f t="shared" si="20"/>
        <v>142</v>
      </c>
      <c r="AC89" s="61">
        <f t="shared" si="20"/>
        <v>161.69999999999999</v>
      </c>
      <c r="AD89" s="61">
        <f t="shared" si="20"/>
        <v>182.8</v>
      </c>
      <c r="AE89" s="61">
        <f t="shared" si="20"/>
        <v>212.7</v>
      </c>
      <c r="AF89" s="61">
        <f t="shared" si="20"/>
        <v>240.3</v>
      </c>
      <c r="AG89" s="81"/>
      <c r="AH89" s="48">
        <f t="shared" si="10"/>
        <v>418</v>
      </c>
      <c r="AI89" s="49">
        <f t="shared" si="11"/>
        <v>0</v>
      </c>
      <c r="AK89" s="50"/>
    </row>
    <row r="90" spans="1:37" ht="15.75" thickBot="1" x14ac:dyDescent="0.3">
      <c r="A90" s="74" t="s">
        <v>95</v>
      </c>
      <c r="B90" s="61">
        <f t="shared" ref="B90:AF90" si="21">B74-B89</f>
        <v>-418</v>
      </c>
      <c r="C90" s="61">
        <f t="shared" si="21"/>
        <v>-151</v>
      </c>
      <c r="D90" s="61">
        <f t="shared" si="21"/>
        <v>-210.3</v>
      </c>
      <c r="E90" s="61">
        <f t="shared" si="21"/>
        <v>-228.3</v>
      </c>
      <c r="F90" s="61">
        <f t="shared" si="21"/>
        <v>-224</v>
      </c>
      <c r="G90" s="61">
        <f t="shared" si="21"/>
        <v>-223.7</v>
      </c>
      <c r="H90" s="61">
        <f t="shared" si="21"/>
        <v>-232</v>
      </c>
      <c r="I90" s="61">
        <f t="shared" si="21"/>
        <v>-255</v>
      </c>
      <c r="J90" s="61">
        <f t="shared" si="21"/>
        <v>-275</v>
      </c>
      <c r="K90" s="61">
        <f t="shared" si="21"/>
        <v>-277</v>
      </c>
      <c r="L90" s="61">
        <f t="shared" si="21"/>
        <v>-283</v>
      </c>
      <c r="M90" s="61">
        <f t="shared" si="21"/>
        <v>-286</v>
      </c>
      <c r="N90" s="61">
        <f t="shared" si="21"/>
        <v>-281</v>
      </c>
      <c r="O90" s="61">
        <f t="shared" si="21"/>
        <v>-283.7</v>
      </c>
      <c r="P90" s="61">
        <f t="shared" si="21"/>
        <v>-292.2</v>
      </c>
      <c r="Q90" s="61">
        <f t="shared" si="21"/>
        <v>-285</v>
      </c>
      <c r="R90" s="61">
        <f t="shared" si="21"/>
        <v>-279.3</v>
      </c>
      <c r="S90" s="61">
        <f t="shared" si="21"/>
        <v>-269</v>
      </c>
      <c r="T90" s="61">
        <f t="shared" si="21"/>
        <v>-280</v>
      </c>
      <c r="U90" s="61">
        <f t="shared" si="21"/>
        <v>-291</v>
      </c>
      <c r="V90" s="61">
        <f t="shared" si="21"/>
        <v>-272</v>
      </c>
      <c r="W90" s="61">
        <f t="shared" si="21"/>
        <v>-166</v>
      </c>
      <c r="X90" s="61">
        <f t="shared" si="21"/>
        <v>13.6</v>
      </c>
      <c r="Y90" s="61">
        <f t="shared" si="21"/>
        <v>-33</v>
      </c>
      <c r="Z90" s="61">
        <f t="shared" si="21"/>
        <v>-82</v>
      </c>
      <c r="AA90" s="61">
        <f t="shared" si="21"/>
        <v>-99.2</v>
      </c>
      <c r="AB90" s="61">
        <f t="shared" si="21"/>
        <v>-142</v>
      </c>
      <c r="AC90" s="61">
        <f t="shared" si="21"/>
        <v>-161.69999999999999</v>
      </c>
      <c r="AD90" s="61">
        <f t="shared" si="21"/>
        <v>-182.8</v>
      </c>
      <c r="AE90" s="61">
        <f t="shared" si="21"/>
        <v>-212.7</v>
      </c>
      <c r="AF90" s="61">
        <f t="shared" si="21"/>
        <v>-240.3</v>
      </c>
      <c r="AG90" s="81"/>
      <c r="AH90" s="48">
        <f t="shared" si="10"/>
        <v>13.6</v>
      </c>
      <c r="AI90" s="49">
        <f t="shared" si="11"/>
        <v>-418</v>
      </c>
    </row>
    <row r="91" spans="1:37" x14ac:dyDescent="0.25">
      <c r="A91" s="88" t="s">
        <v>96</v>
      </c>
      <c r="B91" s="89">
        <v>49.997</v>
      </c>
      <c r="C91" s="89">
        <v>50.02</v>
      </c>
      <c r="D91" s="89">
        <v>49.99</v>
      </c>
      <c r="E91" s="89">
        <v>50.024000000000001</v>
      </c>
      <c r="F91" s="89">
        <v>50.043999999999997</v>
      </c>
      <c r="G91" s="89">
        <v>49.968000000000004</v>
      </c>
      <c r="H91" s="89">
        <v>50.055</v>
      </c>
      <c r="I91" s="89">
        <v>50.042999999999999</v>
      </c>
      <c r="J91" s="89">
        <v>49.988</v>
      </c>
      <c r="K91" s="89">
        <v>49.966000000000001</v>
      </c>
      <c r="L91" s="89">
        <v>49.972999999999999</v>
      </c>
      <c r="M91" s="89">
        <v>49.99</v>
      </c>
      <c r="N91" s="89">
        <v>50.03</v>
      </c>
      <c r="O91" s="89">
        <v>50.003999999999998</v>
      </c>
      <c r="P91" s="89">
        <v>50.076000000000001</v>
      </c>
      <c r="Q91" s="89">
        <v>50.136000000000003</v>
      </c>
      <c r="R91" s="89">
        <v>50.177999999999997</v>
      </c>
      <c r="S91" s="89">
        <v>50.308</v>
      </c>
      <c r="T91" s="89">
        <v>50.026000000000003</v>
      </c>
      <c r="U91" s="89">
        <v>50.012999999999998</v>
      </c>
      <c r="V91" s="89">
        <v>50.012</v>
      </c>
      <c r="W91" s="89">
        <v>49.859000000000002</v>
      </c>
      <c r="X91" s="89">
        <v>49.887</v>
      </c>
      <c r="Y91" s="89">
        <v>49.777999999999999</v>
      </c>
      <c r="Z91" s="89">
        <v>49.945</v>
      </c>
      <c r="AA91" s="89">
        <v>50.055999999999997</v>
      </c>
      <c r="AB91" s="89">
        <v>50.116999999999997</v>
      </c>
      <c r="AC91" s="89">
        <v>50.121000000000002</v>
      </c>
      <c r="AD91" s="89">
        <v>50.171999999999997</v>
      </c>
      <c r="AE91" s="89">
        <v>50.045000000000002</v>
      </c>
      <c r="AF91" s="89">
        <v>50.02</v>
      </c>
      <c r="AG91" s="90"/>
      <c r="AH91" s="48">
        <f t="shared" si="10"/>
        <v>50.308</v>
      </c>
      <c r="AI91" s="49">
        <f t="shared" si="11"/>
        <v>49.777999999999999</v>
      </c>
    </row>
    <row r="92" spans="1:37" x14ac:dyDescent="0.25">
      <c r="A92" s="91" t="s">
        <v>97</v>
      </c>
      <c r="B92" s="65">
        <v>129.4</v>
      </c>
      <c r="C92" s="65">
        <v>129.4</v>
      </c>
      <c r="D92" s="65">
        <v>129.6</v>
      </c>
      <c r="E92" s="65">
        <v>129.6</v>
      </c>
      <c r="F92" s="65">
        <v>129.6</v>
      </c>
      <c r="G92" s="65">
        <v>129.6</v>
      </c>
      <c r="H92" s="65">
        <v>129.6</v>
      </c>
      <c r="I92" s="65">
        <v>128.69999999999999</v>
      </c>
      <c r="J92" s="65">
        <v>128.69999999999999</v>
      </c>
      <c r="K92" s="65">
        <v>127.4</v>
      </c>
      <c r="L92" s="65">
        <v>127</v>
      </c>
      <c r="M92" s="65">
        <v>125.9</v>
      </c>
      <c r="N92" s="65">
        <v>125.5</v>
      </c>
      <c r="O92" s="65">
        <v>126.5</v>
      </c>
      <c r="P92" s="65">
        <v>126.8</v>
      </c>
      <c r="Q92" s="65">
        <v>127.9</v>
      </c>
      <c r="R92" s="65">
        <v>127.6</v>
      </c>
      <c r="S92" s="65">
        <v>127.8</v>
      </c>
      <c r="T92" s="65">
        <v>127.8</v>
      </c>
      <c r="U92" s="65">
        <v>127.1</v>
      </c>
      <c r="V92" s="65">
        <v>128.4</v>
      </c>
      <c r="W92" s="65">
        <v>128</v>
      </c>
      <c r="X92" s="65">
        <v>126.1</v>
      </c>
      <c r="Y92" s="65">
        <v>125.6</v>
      </c>
      <c r="Z92" s="65">
        <v>125.7</v>
      </c>
      <c r="AA92" s="65">
        <v>127</v>
      </c>
      <c r="AB92" s="65">
        <v>126.8</v>
      </c>
      <c r="AC92" s="65">
        <v>127.2</v>
      </c>
      <c r="AD92" s="65">
        <v>126.8</v>
      </c>
      <c r="AE92" s="65">
        <v>128.30000000000001</v>
      </c>
      <c r="AF92" s="65">
        <v>128.4</v>
      </c>
      <c r="AG92" s="92"/>
      <c r="AH92" s="48">
        <f t="shared" si="10"/>
        <v>129.6</v>
      </c>
      <c r="AI92" s="49">
        <f t="shared" si="11"/>
        <v>125.5</v>
      </c>
    </row>
    <row r="93" spans="1:37" x14ac:dyDescent="0.25">
      <c r="A93" s="91" t="s">
        <v>98</v>
      </c>
      <c r="B93" s="65">
        <v>132.5</v>
      </c>
      <c r="C93" s="65">
        <v>132.5</v>
      </c>
      <c r="D93" s="65">
        <v>132</v>
      </c>
      <c r="E93" s="65">
        <v>132</v>
      </c>
      <c r="F93" s="65">
        <v>132</v>
      </c>
      <c r="G93" s="65">
        <v>132</v>
      </c>
      <c r="H93" s="65">
        <v>132</v>
      </c>
      <c r="I93" s="65">
        <v>131.9</v>
      </c>
      <c r="J93" s="65">
        <v>131.69999999999999</v>
      </c>
      <c r="K93" s="65">
        <v>130.5</v>
      </c>
      <c r="L93" s="65">
        <v>130</v>
      </c>
      <c r="M93" s="65">
        <v>129.19999999999999</v>
      </c>
      <c r="N93" s="65">
        <v>128.5</v>
      </c>
      <c r="O93" s="65">
        <v>129.6</v>
      </c>
      <c r="P93" s="65">
        <v>130</v>
      </c>
      <c r="Q93" s="65">
        <v>130.69999999999999</v>
      </c>
      <c r="R93" s="65">
        <v>130.9</v>
      </c>
      <c r="S93" s="65">
        <v>130.9</v>
      </c>
      <c r="T93" s="65">
        <v>130.80000000000001</v>
      </c>
      <c r="U93" s="65">
        <v>130.6</v>
      </c>
      <c r="V93" s="65">
        <v>131.5</v>
      </c>
      <c r="W93" s="65">
        <v>130.6</v>
      </c>
      <c r="X93" s="65">
        <v>127.9</v>
      </c>
      <c r="Y93" s="65">
        <v>127.7</v>
      </c>
      <c r="Z93" s="65">
        <v>128.30000000000001</v>
      </c>
      <c r="AA93" s="65">
        <v>129.80000000000001</v>
      </c>
      <c r="AB93" s="65">
        <v>129.5</v>
      </c>
      <c r="AC93" s="65">
        <v>130.69999999999999</v>
      </c>
      <c r="AD93" s="65">
        <v>130.30000000000001</v>
      </c>
      <c r="AE93" s="65">
        <v>131.9</v>
      </c>
      <c r="AF93" s="65">
        <v>132</v>
      </c>
      <c r="AG93" s="92"/>
      <c r="AH93" s="48">
        <f t="shared" si="10"/>
        <v>132.5</v>
      </c>
      <c r="AI93" s="49">
        <f t="shared" si="11"/>
        <v>127.7</v>
      </c>
    </row>
    <row r="94" spans="1:37" x14ac:dyDescent="0.25">
      <c r="A94" s="91" t="s">
        <v>99</v>
      </c>
      <c r="B94" s="65">
        <v>131.5</v>
      </c>
      <c r="C94" s="65">
        <v>131.5</v>
      </c>
      <c r="D94" s="65">
        <v>131</v>
      </c>
      <c r="E94" s="65">
        <v>131</v>
      </c>
      <c r="F94" s="65">
        <v>131</v>
      </c>
      <c r="G94" s="65">
        <v>131</v>
      </c>
      <c r="H94" s="65">
        <v>131</v>
      </c>
      <c r="I94" s="65">
        <v>131.6</v>
      </c>
      <c r="J94" s="65">
        <v>130.5</v>
      </c>
      <c r="K94" s="65">
        <v>130.19999999999999</v>
      </c>
      <c r="L94" s="65">
        <v>129.5</v>
      </c>
      <c r="M94" s="65">
        <v>130.4</v>
      </c>
      <c r="N94" s="65">
        <v>130</v>
      </c>
      <c r="O94" s="65">
        <v>132.80000000000001</v>
      </c>
      <c r="P94" s="65">
        <v>131.30000000000001</v>
      </c>
      <c r="Q94" s="65">
        <v>131.1</v>
      </c>
      <c r="R94" s="65">
        <v>131.4</v>
      </c>
      <c r="S94" s="65">
        <v>133.1</v>
      </c>
      <c r="T94" s="65">
        <v>131.69999999999999</v>
      </c>
      <c r="U94" s="65">
        <v>131.69999999999999</v>
      </c>
      <c r="V94" s="65">
        <v>131.5</v>
      </c>
      <c r="W94" s="65">
        <v>129.30000000000001</v>
      </c>
      <c r="X94" s="65">
        <v>129.9</v>
      </c>
      <c r="Y94" s="65">
        <v>130.9</v>
      </c>
      <c r="Z94" s="65">
        <v>130.30000000000001</v>
      </c>
      <c r="AA94" s="65">
        <v>131</v>
      </c>
      <c r="AB94" s="65">
        <v>132.6</v>
      </c>
      <c r="AC94" s="65">
        <v>131.19999999999999</v>
      </c>
      <c r="AD94" s="65">
        <v>131.4</v>
      </c>
      <c r="AE94" s="65">
        <v>1304</v>
      </c>
      <c r="AF94" s="65">
        <v>130.6</v>
      </c>
      <c r="AG94" s="92"/>
      <c r="AH94" s="48">
        <f t="shared" si="10"/>
        <v>1304</v>
      </c>
      <c r="AI94" s="49">
        <f t="shared" si="11"/>
        <v>129.30000000000001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10"/>
        <v>0</v>
      </c>
      <c r="AI95" s="49">
        <f t="shared" si="11"/>
        <v>0</v>
      </c>
    </row>
    <row r="96" spans="1:37" x14ac:dyDescent="0.25">
      <c r="A96" s="93" t="s">
        <v>101</v>
      </c>
      <c r="B96" s="94">
        <v>135.1</v>
      </c>
      <c r="C96" s="94">
        <v>135.1</v>
      </c>
      <c r="D96" s="94">
        <v>134.5</v>
      </c>
      <c r="E96" s="94">
        <v>134.5</v>
      </c>
      <c r="F96" s="94">
        <v>134.5</v>
      </c>
      <c r="G96" s="94">
        <v>134.5</v>
      </c>
      <c r="H96" s="94">
        <v>134.5</v>
      </c>
      <c r="I96" s="94">
        <v>132.9</v>
      </c>
      <c r="J96" s="94">
        <v>132.1</v>
      </c>
      <c r="K96" s="94">
        <v>132.5</v>
      </c>
      <c r="L96" s="94">
        <v>132.4</v>
      </c>
      <c r="M96" s="94">
        <v>133.1</v>
      </c>
      <c r="N96" s="94">
        <v>132.80000000000001</v>
      </c>
      <c r="O96" s="94">
        <v>132.80000000000001</v>
      </c>
      <c r="P96" s="94">
        <v>133.1</v>
      </c>
      <c r="Q96" s="94">
        <v>134.6</v>
      </c>
      <c r="R96" s="94">
        <v>135</v>
      </c>
      <c r="S96" s="94">
        <v>134.80000000000001</v>
      </c>
      <c r="T96" s="94">
        <v>134.1</v>
      </c>
      <c r="U96" s="94">
        <v>134.1</v>
      </c>
      <c r="V96" s="94">
        <v>135</v>
      </c>
      <c r="W96" s="94">
        <v>133.5</v>
      </c>
      <c r="X96" s="94">
        <v>129.69999999999999</v>
      </c>
      <c r="Y96" s="94">
        <v>133.9</v>
      </c>
      <c r="Z96" s="94">
        <v>136</v>
      </c>
      <c r="AA96" s="94">
        <v>135</v>
      </c>
      <c r="AB96" s="94">
        <v>136</v>
      </c>
      <c r="AC96" s="94">
        <v>136.1</v>
      </c>
      <c r="AD96" s="94">
        <v>135.19999999999999</v>
      </c>
      <c r="AE96" s="94">
        <v>136.19999999999999</v>
      </c>
      <c r="AF96" s="94">
        <v>135.80000000000001</v>
      </c>
      <c r="AG96" s="95"/>
      <c r="AH96" s="48">
        <f t="shared" si="10"/>
        <v>136.19999999999999</v>
      </c>
      <c r="AI96" s="49">
        <f t="shared" si="11"/>
        <v>129.69999999999999</v>
      </c>
    </row>
    <row r="97" spans="1:37" x14ac:dyDescent="0.25">
      <c r="A97" s="91" t="s">
        <v>102</v>
      </c>
      <c r="B97" s="65">
        <v>133.5</v>
      </c>
      <c r="C97" s="65">
        <v>133.5</v>
      </c>
      <c r="D97" s="65">
        <v>134.5</v>
      </c>
      <c r="E97" s="65">
        <v>134.5</v>
      </c>
      <c r="F97" s="65">
        <v>134.5</v>
      </c>
      <c r="G97" s="65">
        <v>134.5</v>
      </c>
      <c r="H97" s="65">
        <v>134.5</v>
      </c>
      <c r="I97" s="65">
        <v>132.4</v>
      </c>
      <c r="J97" s="65">
        <v>130.9</v>
      </c>
      <c r="K97" s="65">
        <v>130.4</v>
      </c>
      <c r="L97" s="65">
        <v>131</v>
      </c>
      <c r="M97" s="65">
        <v>131.6</v>
      </c>
      <c r="N97" s="65">
        <v>131.1</v>
      </c>
      <c r="O97" s="65">
        <v>131.69999999999999</v>
      </c>
      <c r="P97" s="65">
        <v>132.19999999999999</v>
      </c>
      <c r="Q97" s="65">
        <v>133.19999999999999</v>
      </c>
      <c r="R97" s="65">
        <v>133.9</v>
      </c>
      <c r="S97" s="65">
        <v>134.5</v>
      </c>
      <c r="T97" s="65">
        <v>132.6</v>
      </c>
      <c r="U97" s="65">
        <v>132.80000000000001</v>
      </c>
      <c r="V97" s="65">
        <v>134.5</v>
      </c>
      <c r="W97" s="65">
        <v>131.4</v>
      </c>
      <c r="X97" s="65">
        <v>125.4</v>
      </c>
      <c r="Y97" s="65">
        <v>131.69999999999999</v>
      </c>
      <c r="Z97" s="65">
        <v>134.80000000000001</v>
      </c>
      <c r="AA97" s="65">
        <v>132.69999999999999</v>
      </c>
      <c r="AB97" s="65">
        <v>134.19999999999999</v>
      </c>
      <c r="AC97" s="65">
        <v>135.19999999999999</v>
      </c>
      <c r="AD97" s="65">
        <v>135</v>
      </c>
      <c r="AE97" s="65">
        <v>136.6</v>
      </c>
      <c r="AF97" s="65">
        <v>133.30000000000001</v>
      </c>
      <c r="AG97" s="92"/>
      <c r="AH97" s="48">
        <f t="shared" si="10"/>
        <v>136.6</v>
      </c>
      <c r="AI97" s="49">
        <f t="shared" si="11"/>
        <v>125.4</v>
      </c>
    </row>
    <row r="98" spans="1:37" ht="15.75" thickBot="1" x14ac:dyDescent="0.3">
      <c r="A98" s="91" t="s">
        <v>103</v>
      </c>
      <c r="B98" s="96">
        <v>67.099999999999994</v>
      </c>
      <c r="C98" s="96">
        <v>67.099999999999994</v>
      </c>
      <c r="D98" s="96">
        <v>67.400000000000006</v>
      </c>
      <c r="E98" s="96">
        <v>67.400000000000006</v>
      </c>
      <c r="F98" s="96">
        <v>67.400000000000006</v>
      </c>
      <c r="G98" s="96">
        <v>67.400000000000006</v>
      </c>
      <c r="H98" s="96">
        <v>67.400000000000006</v>
      </c>
      <c r="I98" s="96">
        <v>66.7</v>
      </c>
      <c r="J98" s="96">
        <v>66.5</v>
      </c>
      <c r="K98" s="96">
        <v>65.8</v>
      </c>
      <c r="L98" s="96">
        <v>65.7</v>
      </c>
      <c r="M98" s="96">
        <v>65.2</v>
      </c>
      <c r="N98" s="96">
        <v>64.8</v>
      </c>
      <c r="O98" s="96">
        <v>65.5</v>
      </c>
      <c r="P98" s="96">
        <v>65.8</v>
      </c>
      <c r="Q98" s="96">
        <v>66.2</v>
      </c>
      <c r="R98" s="96">
        <v>66.099999999999994</v>
      </c>
      <c r="S98" s="96">
        <v>66.2</v>
      </c>
      <c r="T98" s="96">
        <v>66.2</v>
      </c>
      <c r="U98" s="96">
        <v>65.900000000000006</v>
      </c>
      <c r="V98" s="96">
        <v>66.5</v>
      </c>
      <c r="W98" s="96">
        <v>65.900000000000006</v>
      </c>
      <c r="X98" s="96">
        <v>64.400000000000006</v>
      </c>
      <c r="Y98" s="96">
        <v>64.5</v>
      </c>
      <c r="Z98" s="96">
        <v>65</v>
      </c>
      <c r="AA98" s="96">
        <v>65.8</v>
      </c>
      <c r="AB98" s="96">
        <v>65.3</v>
      </c>
      <c r="AC98" s="96">
        <v>66</v>
      </c>
      <c r="AD98" s="96">
        <v>65.8</v>
      </c>
      <c r="AE98" s="96">
        <v>66.8</v>
      </c>
      <c r="AF98" s="96">
        <v>66.900000000000006</v>
      </c>
      <c r="AG98" s="97"/>
      <c r="AH98" s="48">
        <f t="shared" si="10"/>
        <v>67.400000000000006</v>
      </c>
      <c r="AI98" s="49">
        <f t="shared" si="11"/>
        <v>64.400000000000006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10"/>
        <v>0</v>
      </c>
      <c r="AI99" s="49">
        <f t="shared" si="11"/>
        <v>0</v>
      </c>
    </row>
    <row r="100" spans="1:37" ht="15.75" thickBot="1" x14ac:dyDescent="0.3">
      <c r="A100" s="99" t="s">
        <v>104</v>
      </c>
      <c r="B100" s="100">
        <f t="shared" ref="B100" si="22">SUM(B15,B20,B22:B23,B48,B50:B51,B53,B55,B101:B105,B127,B133,B139,B148,B150,B162,B169,B172:B173,B180,B182,B184,B188:B190,B192:B194,B199,B205:B206,B208:B210,B218,B223)</f>
        <v>105.69999999999999</v>
      </c>
      <c r="C100" s="100">
        <f t="shared" ref="C100:AF100" si="23">SUM(C15,C20,C22:C23,C48,C50:C51,C53,C55,C101:C105,C127,C133,C139,C148,C150,C162,C169,C172:C173,C180,C182,C184,C188:C190,C192:C194,C199,C205:C206,C208:C210,C218,C223)</f>
        <v>106.63999999999999</v>
      </c>
      <c r="D100" s="100">
        <f t="shared" si="23"/>
        <v>68.13000000000001</v>
      </c>
      <c r="E100" s="100">
        <f t="shared" si="23"/>
        <v>66.84</v>
      </c>
      <c r="F100" s="100">
        <f t="shared" si="23"/>
        <v>66.94</v>
      </c>
      <c r="G100" s="100">
        <f t="shared" si="23"/>
        <v>79.440000000000012</v>
      </c>
      <c r="H100" s="100">
        <f t="shared" si="23"/>
        <v>90.34</v>
      </c>
      <c r="I100" s="100">
        <f t="shared" si="23"/>
        <v>98.44</v>
      </c>
      <c r="J100" s="100">
        <f t="shared" si="23"/>
        <v>111.84</v>
      </c>
      <c r="K100" s="100">
        <f t="shared" si="23"/>
        <v>125.33999999999999</v>
      </c>
      <c r="L100" s="100">
        <f t="shared" si="23"/>
        <v>127.23999999999998</v>
      </c>
      <c r="M100" s="100">
        <f t="shared" si="23"/>
        <v>139.33999999999997</v>
      </c>
      <c r="N100" s="100">
        <f t="shared" si="23"/>
        <v>139.54000000000002</v>
      </c>
      <c r="O100" s="100">
        <f t="shared" si="23"/>
        <v>130.24000000000004</v>
      </c>
      <c r="P100" s="100">
        <f t="shared" si="23"/>
        <v>122.33999999999999</v>
      </c>
      <c r="Q100" s="100">
        <f t="shared" si="23"/>
        <v>112.5</v>
      </c>
      <c r="R100" s="100">
        <f t="shared" si="23"/>
        <v>110.50000000000001</v>
      </c>
      <c r="S100" s="100">
        <f t="shared" si="23"/>
        <v>117.4</v>
      </c>
      <c r="T100" s="100">
        <f t="shared" si="23"/>
        <v>116.69999999999999</v>
      </c>
      <c r="U100" s="100">
        <f t="shared" si="23"/>
        <v>114.89999999999999</v>
      </c>
      <c r="V100" s="100">
        <f t="shared" si="23"/>
        <v>118.30000000000003</v>
      </c>
      <c r="W100" s="100">
        <f t="shared" si="23"/>
        <v>177.20000000000002</v>
      </c>
      <c r="X100" s="100">
        <f>SUM(X15,X20,X22:X23,X48,X50:X51,X53,X55,X101:X106,X127,X133,X139,X148,X150,X162,X169,X172:X173,X180,X182,X184,X188:X190,X192:X194,X199,X205:X206,X208:X210,X218,X223)</f>
        <v>276.70000000000005</v>
      </c>
      <c r="Y100" s="100">
        <f t="shared" si="23"/>
        <v>300.60000000000002</v>
      </c>
      <c r="Z100" s="100">
        <f t="shared" si="23"/>
        <v>275.39999999999998</v>
      </c>
      <c r="AA100" s="100">
        <f t="shared" si="23"/>
        <v>239.40000000000003</v>
      </c>
      <c r="AB100" s="100">
        <f t="shared" si="23"/>
        <v>203.2</v>
      </c>
      <c r="AC100" s="100">
        <f t="shared" si="23"/>
        <v>182.7</v>
      </c>
      <c r="AD100" s="100">
        <f t="shared" si="23"/>
        <v>168.99999999999994</v>
      </c>
      <c r="AE100" s="100">
        <f t="shared" si="23"/>
        <v>117.80000000000004</v>
      </c>
      <c r="AF100" s="100">
        <f t="shared" si="23"/>
        <v>88.700000000000017</v>
      </c>
      <c r="AG100" s="101"/>
      <c r="AH100" s="48">
        <f t="shared" si="10"/>
        <v>300.60000000000002</v>
      </c>
      <c r="AI100" s="49">
        <f t="shared" si="11"/>
        <v>66.84</v>
      </c>
    </row>
    <row r="101" spans="1:37" x14ac:dyDescent="0.25">
      <c r="A101" s="88" t="s">
        <v>105</v>
      </c>
      <c r="B101" s="102">
        <v>33.1</v>
      </c>
      <c r="C101" s="102">
        <v>33.1</v>
      </c>
      <c r="D101" s="102">
        <v>26.8</v>
      </c>
      <c r="E101" s="102">
        <v>29</v>
      </c>
      <c r="F101" s="102">
        <v>27.6</v>
      </c>
      <c r="G101" s="102">
        <v>32.5</v>
      </c>
      <c r="H101" s="102">
        <v>36.799999999999997</v>
      </c>
      <c r="I101" s="102">
        <v>36.5</v>
      </c>
      <c r="J101" s="102">
        <v>37.700000000000003</v>
      </c>
      <c r="K101" s="102">
        <v>42.2</v>
      </c>
      <c r="L101" s="102">
        <v>42.1</v>
      </c>
      <c r="M101" s="102">
        <v>46</v>
      </c>
      <c r="N101" s="102">
        <v>48.5</v>
      </c>
      <c r="O101" s="102">
        <v>45.9</v>
      </c>
      <c r="P101" s="102">
        <v>41.3</v>
      </c>
      <c r="Q101" s="102">
        <v>36.4</v>
      </c>
      <c r="R101" s="102">
        <v>37.9</v>
      </c>
      <c r="S101" s="102">
        <v>38.700000000000003</v>
      </c>
      <c r="T101" s="102">
        <v>37.1</v>
      </c>
      <c r="U101" s="102">
        <v>40</v>
      </c>
      <c r="V101" s="102">
        <v>37.200000000000003</v>
      </c>
      <c r="W101" s="102">
        <v>47.2</v>
      </c>
      <c r="X101" s="102">
        <v>52.5</v>
      </c>
      <c r="Y101" s="102">
        <v>50.6</v>
      </c>
      <c r="Z101" s="102">
        <v>52.1</v>
      </c>
      <c r="AA101" s="102">
        <v>56.2</v>
      </c>
      <c r="AB101" s="102">
        <v>52</v>
      </c>
      <c r="AC101" s="102">
        <v>46.5</v>
      </c>
      <c r="AD101" s="102">
        <v>51.3</v>
      </c>
      <c r="AE101" s="102">
        <v>44</v>
      </c>
      <c r="AF101" s="102">
        <v>39.4</v>
      </c>
      <c r="AG101" s="103">
        <v>75</v>
      </c>
      <c r="AH101" s="48">
        <f t="shared" si="10"/>
        <v>56.2</v>
      </c>
      <c r="AI101" s="49">
        <f t="shared" si="11"/>
        <v>26.8</v>
      </c>
    </row>
    <row r="102" spans="1:37" x14ac:dyDescent="0.25">
      <c r="A102" s="91" t="s">
        <v>106</v>
      </c>
      <c r="B102" s="104">
        <v>54</v>
      </c>
      <c r="C102" s="104">
        <v>54</v>
      </c>
      <c r="D102" s="104">
        <v>48</v>
      </c>
      <c r="E102" s="104">
        <v>47.5</v>
      </c>
      <c r="F102" s="104">
        <v>45.4</v>
      </c>
      <c r="G102" s="104">
        <v>51.3</v>
      </c>
      <c r="H102" s="104">
        <v>57.7</v>
      </c>
      <c r="I102" s="104">
        <v>57.4</v>
      </c>
      <c r="J102" s="104">
        <v>57.4</v>
      </c>
      <c r="K102" s="104">
        <v>64.099999999999994</v>
      </c>
      <c r="L102" s="104">
        <v>63.8</v>
      </c>
      <c r="M102" s="104">
        <v>69.099999999999994</v>
      </c>
      <c r="N102" s="104">
        <v>72.3</v>
      </c>
      <c r="O102" s="104">
        <v>67.7</v>
      </c>
      <c r="P102" s="104">
        <v>63</v>
      </c>
      <c r="Q102" s="104">
        <v>57.6</v>
      </c>
      <c r="R102" s="104">
        <v>57.9</v>
      </c>
      <c r="S102" s="104">
        <v>59.1</v>
      </c>
      <c r="T102" s="104">
        <v>57</v>
      </c>
      <c r="U102" s="104">
        <v>61.6</v>
      </c>
      <c r="V102" s="104">
        <v>57.4</v>
      </c>
      <c r="W102" s="104">
        <v>69.3</v>
      </c>
      <c r="X102" s="104">
        <v>73</v>
      </c>
      <c r="Y102" s="104">
        <v>76.3</v>
      </c>
      <c r="Z102" s="104">
        <v>78.900000000000006</v>
      </c>
      <c r="AA102" s="104">
        <v>81.599999999999994</v>
      </c>
      <c r="AB102" s="104">
        <v>74.2</v>
      </c>
      <c r="AC102" s="104">
        <v>67.7</v>
      </c>
      <c r="AD102" s="104">
        <v>75.2</v>
      </c>
      <c r="AE102" s="104">
        <v>66.8</v>
      </c>
      <c r="AF102" s="104">
        <v>62.5</v>
      </c>
      <c r="AG102" s="103">
        <v>240</v>
      </c>
      <c r="AH102" s="48">
        <f t="shared" si="10"/>
        <v>81.599999999999994</v>
      </c>
      <c r="AI102" s="49">
        <f t="shared" si="11"/>
        <v>45.4</v>
      </c>
    </row>
    <row r="103" spans="1:37" x14ac:dyDescent="0.25">
      <c r="A103" s="91" t="s">
        <v>107</v>
      </c>
      <c r="B103" s="104">
        <f>-55-59</f>
        <v>-114</v>
      </c>
      <c r="C103" s="104">
        <f>-55-59</f>
        <v>-114</v>
      </c>
      <c r="D103" s="104">
        <v>-135.4</v>
      </c>
      <c r="E103" s="104">
        <v>-138</v>
      </c>
      <c r="F103" s="104">
        <v>-135</v>
      </c>
      <c r="G103" s="104">
        <v>-134</v>
      </c>
      <c r="H103" s="104">
        <v>-135</v>
      </c>
      <c r="I103" s="104">
        <f>-62-66</f>
        <v>-128</v>
      </c>
      <c r="J103" s="104">
        <f>-57-61</f>
        <v>-118</v>
      </c>
      <c r="K103" s="104">
        <f>-57-60</f>
        <v>-117</v>
      </c>
      <c r="L103" s="104">
        <v>-115</v>
      </c>
      <c r="M103" s="104">
        <f>-59.5-63.3</f>
        <v>-122.8</v>
      </c>
      <c r="N103" s="104">
        <f>-59.5-63.2</f>
        <v>-122.7</v>
      </c>
      <c r="O103" s="104">
        <f>-61.6-66</f>
        <v>-127.6</v>
      </c>
      <c r="P103" s="104">
        <f>-61.2-64.5</f>
        <v>-125.7</v>
      </c>
      <c r="Q103" s="104">
        <f>-59-64.2</f>
        <v>-123.2</v>
      </c>
      <c r="R103" s="104">
        <f>-61.2-65.4</f>
        <v>-126.60000000000001</v>
      </c>
      <c r="S103" s="104">
        <v>-123</v>
      </c>
      <c r="T103" s="104">
        <v>-120</v>
      </c>
      <c r="U103" s="104">
        <v>-128</v>
      </c>
      <c r="V103" s="104">
        <f>-57.9-61.4</f>
        <v>-119.3</v>
      </c>
      <c r="W103" s="104">
        <f>-45.7-50.7</f>
        <v>-96.4</v>
      </c>
      <c r="X103" s="104">
        <v>-61.5</v>
      </c>
      <c r="Y103" s="104">
        <f>-54-58</f>
        <v>-112</v>
      </c>
      <c r="Z103" s="104">
        <f>-57.9-61.4</f>
        <v>-119.3</v>
      </c>
      <c r="AA103" s="104">
        <v>-86</v>
      </c>
      <c r="AB103" s="104">
        <v>-108</v>
      </c>
      <c r="AC103" s="104">
        <v>-103</v>
      </c>
      <c r="AD103" s="104">
        <v>-127</v>
      </c>
      <c r="AE103" s="104">
        <v>-121</v>
      </c>
      <c r="AF103" s="104">
        <v>-137</v>
      </c>
      <c r="AG103" s="103">
        <v>240</v>
      </c>
      <c r="AH103" s="48">
        <f t="shared" si="10"/>
        <v>-61.5</v>
      </c>
      <c r="AI103" s="49">
        <f t="shared" si="11"/>
        <v>-138</v>
      </c>
    </row>
    <row r="104" spans="1:37" x14ac:dyDescent="0.25">
      <c r="A104" s="91" t="s">
        <v>108</v>
      </c>
      <c r="B104" s="104">
        <v>1.9</v>
      </c>
      <c r="C104" s="104">
        <v>1.9</v>
      </c>
      <c r="D104" s="104">
        <v>-2.21</v>
      </c>
      <c r="E104" s="104">
        <v>-2.6</v>
      </c>
      <c r="F104" s="104">
        <v>-2</v>
      </c>
      <c r="G104" s="104">
        <v>-1.3</v>
      </c>
      <c r="H104" s="104">
        <v>-1.1000000000000001</v>
      </c>
      <c r="I104" s="104">
        <v>0.6</v>
      </c>
      <c r="J104" s="104">
        <v>2.5</v>
      </c>
      <c r="K104" s="104">
        <v>3.8</v>
      </c>
      <c r="L104" s="104">
        <v>4.0999999999999996</v>
      </c>
      <c r="M104" s="104">
        <v>3.8</v>
      </c>
      <c r="N104" s="104">
        <v>4.7</v>
      </c>
      <c r="O104" s="104">
        <v>5</v>
      </c>
      <c r="P104" s="104">
        <v>4.4000000000000004</v>
      </c>
      <c r="Q104" s="104">
        <v>3.3</v>
      </c>
      <c r="R104" s="104">
        <v>2.9</v>
      </c>
      <c r="S104" s="104">
        <v>4</v>
      </c>
      <c r="T104" s="104">
        <v>4</v>
      </c>
      <c r="U104" s="104">
        <v>2.7</v>
      </c>
      <c r="V104" s="104">
        <v>4.4000000000000004</v>
      </c>
      <c r="W104" s="104">
        <v>7.3</v>
      </c>
      <c r="X104" s="104">
        <v>18.600000000000001</v>
      </c>
      <c r="Y104" s="104">
        <v>13</v>
      </c>
      <c r="Z104" s="104">
        <v>11.9</v>
      </c>
      <c r="AA104" s="104">
        <v>15.3</v>
      </c>
      <c r="AB104" s="104">
        <v>11.6</v>
      </c>
      <c r="AC104" s="104">
        <v>10.199999999999999</v>
      </c>
      <c r="AD104" s="104">
        <v>8.1999999999999993</v>
      </c>
      <c r="AE104" s="104">
        <v>1.9</v>
      </c>
      <c r="AF104" s="104">
        <v>-0.6</v>
      </c>
      <c r="AG104" s="103">
        <v>60</v>
      </c>
      <c r="AH104" s="48">
        <f t="shared" si="10"/>
        <v>18.600000000000001</v>
      </c>
      <c r="AI104" s="49">
        <f t="shared" si="11"/>
        <v>-2.6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4">
        <v>0</v>
      </c>
      <c r="Y105" s="106">
        <v>82.9</v>
      </c>
      <c r="Z105" s="106">
        <v>72</v>
      </c>
      <c r="AA105" s="106">
        <v>0</v>
      </c>
      <c r="AB105" s="106">
        <v>11.6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10"/>
        <v>82.9</v>
      </c>
      <c r="AI105" s="49">
        <f t="shared" si="11"/>
        <v>0</v>
      </c>
    </row>
    <row r="106" spans="1:37" x14ac:dyDescent="0.25">
      <c r="A106" s="105" t="s">
        <v>110</v>
      </c>
      <c r="B106" s="106">
        <v>-38</v>
      </c>
      <c r="C106" s="106">
        <v>-38</v>
      </c>
      <c r="D106" s="106">
        <v>-47.8</v>
      </c>
      <c r="E106" s="106">
        <v>-50.1</v>
      </c>
      <c r="F106" s="106">
        <v>-50</v>
      </c>
      <c r="G106" s="106">
        <v>49.7</v>
      </c>
      <c r="H106" s="106">
        <v>51.7</v>
      </c>
      <c r="I106" s="106">
        <v>53.5</v>
      </c>
      <c r="J106" s="106">
        <v>-52</v>
      </c>
      <c r="K106" s="106">
        <v>-54</v>
      </c>
      <c r="L106" s="106">
        <v>-51.8</v>
      </c>
      <c r="M106" s="106">
        <v>-58.9</v>
      </c>
      <c r="N106" s="106">
        <v>-60.8</v>
      </c>
      <c r="O106" s="106">
        <v>-65.3</v>
      </c>
      <c r="P106" s="106">
        <v>-58.7</v>
      </c>
      <c r="Q106" s="106">
        <v>-60.7</v>
      </c>
      <c r="R106" s="106">
        <v>-59.9</v>
      </c>
      <c r="S106" s="106">
        <v>-58</v>
      </c>
      <c r="T106" s="106">
        <v>-55</v>
      </c>
      <c r="U106" s="106">
        <v>-59.9</v>
      </c>
      <c r="V106" s="106">
        <v>-54.7</v>
      </c>
      <c r="W106" s="106">
        <v>-33.1</v>
      </c>
      <c r="X106" s="106">
        <v>4.3</v>
      </c>
      <c r="Y106" s="106">
        <v>-32.200000000000003</v>
      </c>
      <c r="Z106" s="106">
        <v>-36.799999999999997</v>
      </c>
      <c r="AA106" s="106">
        <v>-22.4</v>
      </c>
      <c r="AB106" s="106">
        <v>0</v>
      </c>
      <c r="AC106" s="106">
        <v>-38.200000000000003</v>
      </c>
      <c r="AD106" s="106">
        <v>-47.4</v>
      </c>
      <c r="AE106" s="106">
        <v>-45.6</v>
      </c>
      <c r="AF106" s="106">
        <v>-54</v>
      </c>
      <c r="AG106" s="107"/>
      <c r="AH106" s="48">
        <f t="shared" si="10"/>
        <v>53.5</v>
      </c>
      <c r="AI106" s="49">
        <f t="shared" si="11"/>
        <v>-65.3</v>
      </c>
    </row>
    <row r="107" spans="1:37" x14ac:dyDescent="0.25">
      <c r="A107" s="105" t="s">
        <v>111</v>
      </c>
      <c r="B107" s="106">
        <v>-51</v>
      </c>
      <c r="C107" s="106">
        <v>-51</v>
      </c>
      <c r="D107" s="106">
        <v>-26.8</v>
      </c>
      <c r="E107" s="106">
        <v>-28.3</v>
      </c>
      <c r="F107" s="106">
        <v>-28</v>
      </c>
      <c r="G107" s="106">
        <v>-33.200000000000003</v>
      </c>
      <c r="H107" s="106">
        <v>-45.2</v>
      </c>
      <c r="I107" s="106">
        <v>-43</v>
      </c>
      <c r="J107" s="106">
        <v>-48</v>
      </c>
      <c r="K107" s="106">
        <v>-67</v>
      </c>
      <c r="L107" s="106">
        <v>-54.7</v>
      </c>
      <c r="M107" s="106">
        <v>-74.7</v>
      </c>
      <c r="N107" s="106">
        <v>-78.7</v>
      </c>
      <c r="O107" s="106">
        <v>89.1</v>
      </c>
      <c r="P107" s="106">
        <v>-73</v>
      </c>
      <c r="Q107" s="106">
        <v>-54.9</v>
      </c>
      <c r="R107" s="106">
        <v>-66.900000000000006</v>
      </c>
      <c r="S107" s="106">
        <v>-76.599999999999994</v>
      </c>
      <c r="T107" s="106">
        <v>-62.4</v>
      </c>
      <c r="U107" s="106">
        <v>-66.400000000000006</v>
      </c>
      <c r="V107" s="106">
        <v>-60.9</v>
      </c>
      <c r="W107" s="106">
        <v>-45.2</v>
      </c>
      <c r="X107" s="106">
        <v>-33.1</v>
      </c>
      <c r="Y107" s="106">
        <v>-41</v>
      </c>
      <c r="Z107" s="106">
        <v>-54.8</v>
      </c>
      <c r="AA107" s="106">
        <v>-64.599999999999994</v>
      </c>
      <c r="AB107" s="106">
        <v>-37</v>
      </c>
      <c r="AC107" s="106">
        <v>-60.1</v>
      </c>
      <c r="AD107" s="106">
        <v>-79.2</v>
      </c>
      <c r="AE107" s="106">
        <v>-64.900000000000006</v>
      </c>
      <c r="AF107" s="106">
        <v>-45.9</v>
      </c>
      <c r="AG107" s="108"/>
      <c r="AH107" s="48">
        <f t="shared" si="10"/>
        <v>89.1</v>
      </c>
      <c r="AI107" s="49">
        <f t="shared" si="11"/>
        <v>-79.2</v>
      </c>
    </row>
    <row r="108" spans="1:37" x14ac:dyDescent="0.25">
      <c r="A108" s="109" t="s">
        <v>112</v>
      </c>
      <c r="B108" s="94">
        <v>107</v>
      </c>
      <c r="C108" s="94">
        <v>107</v>
      </c>
      <c r="D108" s="94">
        <v>107.9</v>
      </c>
      <c r="E108" s="94">
        <v>118.5</v>
      </c>
      <c r="F108" s="94">
        <v>112</v>
      </c>
      <c r="G108" s="94">
        <v>112</v>
      </c>
      <c r="H108" s="94">
        <v>111.2</v>
      </c>
      <c r="I108" s="94">
        <v>119.4</v>
      </c>
      <c r="J108" s="94">
        <v>118</v>
      </c>
      <c r="K108" s="94">
        <v>118</v>
      </c>
      <c r="L108" s="94">
        <v>116</v>
      </c>
      <c r="M108" s="94">
        <v>116.2</v>
      </c>
      <c r="N108" s="94">
        <v>124.9</v>
      </c>
      <c r="O108" s="94">
        <v>91.1</v>
      </c>
      <c r="P108" s="94">
        <v>120</v>
      </c>
      <c r="Q108" s="94">
        <v>116.8</v>
      </c>
      <c r="R108" s="94">
        <v>118.6</v>
      </c>
      <c r="S108" s="94">
        <v>113.6</v>
      </c>
      <c r="T108" s="94">
        <v>112</v>
      </c>
      <c r="U108" s="94">
        <v>117</v>
      </c>
      <c r="V108" s="94">
        <v>116</v>
      </c>
      <c r="W108" s="94">
        <v>77.7</v>
      </c>
      <c r="X108" s="106">
        <v>35.9</v>
      </c>
      <c r="Y108" s="94">
        <v>77.099999999999994</v>
      </c>
      <c r="Z108" s="94">
        <v>84.5</v>
      </c>
      <c r="AA108" s="94">
        <v>92.4</v>
      </c>
      <c r="AB108" s="94">
        <v>96.6</v>
      </c>
      <c r="AC108" s="94">
        <v>101.4</v>
      </c>
      <c r="AD108" s="94">
        <v>104.4</v>
      </c>
      <c r="AE108" s="94">
        <v>114.1</v>
      </c>
      <c r="AF108" s="94">
        <v>117.3</v>
      </c>
      <c r="AG108" s="108"/>
      <c r="AH108" s="48">
        <f t="shared" si="10"/>
        <v>124.9</v>
      </c>
      <c r="AI108" s="49">
        <f t="shared" si="11"/>
        <v>35.9</v>
      </c>
    </row>
    <row r="109" spans="1:37" ht="15.75" thickBot="1" x14ac:dyDescent="0.3">
      <c r="A109" s="109" t="s">
        <v>113</v>
      </c>
      <c r="B109" s="94">
        <v>95</v>
      </c>
      <c r="C109" s="94">
        <v>95</v>
      </c>
      <c r="D109" s="94">
        <v>100</v>
      </c>
      <c r="E109" s="94">
        <v>102</v>
      </c>
      <c r="F109" s="94">
        <v>101.8</v>
      </c>
      <c r="G109" s="94">
        <v>100.4</v>
      </c>
      <c r="H109" s="94">
        <v>102.7</v>
      </c>
      <c r="I109" s="94">
        <v>94.3</v>
      </c>
      <c r="J109" s="94">
        <v>92</v>
      </c>
      <c r="K109" s="94">
        <v>92.7</v>
      </c>
      <c r="L109" s="94">
        <v>91</v>
      </c>
      <c r="M109" s="94">
        <v>98.6</v>
      </c>
      <c r="N109" s="94">
        <v>98.3</v>
      </c>
      <c r="O109" s="94">
        <v>100.5</v>
      </c>
      <c r="P109" s="94">
        <v>97</v>
      </c>
      <c r="Q109" s="94">
        <v>98</v>
      </c>
      <c r="R109" s="94">
        <v>100.1</v>
      </c>
      <c r="S109" s="94">
        <v>98</v>
      </c>
      <c r="T109" s="94">
        <v>96</v>
      </c>
      <c r="U109" s="94">
        <v>100</v>
      </c>
      <c r="V109" s="94">
        <v>93.2</v>
      </c>
      <c r="W109" s="94">
        <v>77.099999999999994</v>
      </c>
      <c r="X109" s="94">
        <v>75.099999999999994</v>
      </c>
      <c r="Y109" s="94">
        <v>86</v>
      </c>
      <c r="Z109" s="94">
        <v>92</v>
      </c>
      <c r="AA109" s="94">
        <v>76.400000000000006</v>
      </c>
      <c r="AB109" s="94">
        <v>89.2</v>
      </c>
      <c r="AC109" s="94">
        <v>90.6</v>
      </c>
      <c r="AD109" s="94">
        <v>100.9</v>
      </c>
      <c r="AE109" s="94">
        <v>99.4</v>
      </c>
      <c r="AF109" s="94">
        <v>103</v>
      </c>
      <c r="AG109" s="108"/>
      <c r="AH109" s="48">
        <f t="shared" si="10"/>
        <v>103</v>
      </c>
      <c r="AI109" s="49">
        <f t="shared" si="11"/>
        <v>75.099999999999994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24">SUM(B111:B215)</f>
        <v>0</v>
      </c>
      <c r="C216" s="125">
        <f t="shared" si="24"/>
        <v>0</v>
      </c>
      <c r="D216" s="125">
        <f t="shared" si="24"/>
        <v>0</v>
      </c>
      <c r="E216" s="125">
        <f t="shared" si="24"/>
        <v>0</v>
      </c>
      <c r="F216" s="125">
        <f t="shared" si="24"/>
        <v>0</v>
      </c>
      <c r="G216" s="125">
        <f t="shared" si="24"/>
        <v>0</v>
      </c>
      <c r="H216" s="125">
        <f t="shared" si="24"/>
        <v>0</v>
      </c>
      <c r="I216" s="125">
        <f t="shared" si="24"/>
        <v>0</v>
      </c>
      <c r="J216" s="125">
        <f t="shared" si="24"/>
        <v>0</v>
      </c>
      <c r="K216" s="125">
        <f t="shared" si="24"/>
        <v>0</v>
      </c>
      <c r="L216" s="125">
        <f t="shared" si="24"/>
        <v>0</v>
      </c>
      <c r="M216" s="125">
        <f t="shared" si="24"/>
        <v>0</v>
      </c>
      <c r="N216" s="125">
        <f t="shared" si="24"/>
        <v>0</v>
      </c>
      <c r="O216" s="125">
        <f t="shared" si="24"/>
        <v>0</v>
      </c>
      <c r="P216" s="125">
        <f t="shared" si="24"/>
        <v>0</v>
      </c>
      <c r="Q216" s="125">
        <f t="shared" si="24"/>
        <v>0</v>
      </c>
      <c r="R216" s="125">
        <f t="shared" si="24"/>
        <v>0</v>
      </c>
      <c r="S216" s="125">
        <f t="shared" si="24"/>
        <v>0</v>
      </c>
      <c r="T216" s="125">
        <f t="shared" si="24"/>
        <v>0</v>
      </c>
      <c r="U216" s="125">
        <f t="shared" si="24"/>
        <v>0</v>
      </c>
      <c r="V216" s="125">
        <f t="shared" si="24"/>
        <v>0</v>
      </c>
      <c r="W216" s="125">
        <f t="shared" si="24"/>
        <v>0</v>
      </c>
      <c r="X216" s="125">
        <f t="shared" si="24"/>
        <v>0</v>
      </c>
      <c r="Y216" s="125">
        <f t="shared" si="24"/>
        <v>0</v>
      </c>
      <c r="Z216" s="125">
        <f t="shared" si="24"/>
        <v>0</v>
      </c>
      <c r="AA216" s="125">
        <f t="shared" si="24"/>
        <v>0</v>
      </c>
      <c r="AB216" s="125">
        <f t="shared" si="24"/>
        <v>0</v>
      </c>
      <c r="AC216" s="125">
        <f t="shared" si="24"/>
        <v>0</v>
      </c>
      <c r="AD216" s="125">
        <f t="shared" si="24"/>
        <v>0</v>
      </c>
      <c r="AE216" s="125">
        <f t="shared" si="24"/>
        <v>0</v>
      </c>
      <c r="AF216" s="126">
        <f t="shared" si="24"/>
        <v>0</v>
      </c>
      <c r="AG216" s="127">
        <f t="shared" si="24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25">AF218</f>
        <v>0</v>
      </c>
      <c r="C218" s="129">
        <v>0.3</v>
      </c>
      <c r="D218" s="129">
        <f t="shared" ref="D218:P223" si="26">C218</f>
        <v>0.3</v>
      </c>
      <c r="E218" s="129">
        <f t="shared" si="26"/>
        <v>0.3</v>
      </c>
      <c r="F218" s="129">
        <f t="shared" si="26"/>
        <v>0.3</v>
      </c>
      <c r="G218" s="129">
        <f t="shared" si="26"/>
        <v>0.3</v>
      </c>
      <c r="H218" s="129">
        <f t="shared" si="26"/>
        <v>0.3</v>
      </c>
      <c r="I218" s="129">
        <f t="shared" si="26"/>
        <v>0.3</v>
      </c>
      <c r="J218" s="129">
        <f t="shared" si="26"/>
        <v>0.3</v>
      </c>
      <c r="K218" s="129">
        <f t="shared" si="26"/>
        <v>0.3</v>
      </c>
      <c r="L218" s="129">
        <f t="shared" si="26"/>
        <v>0.3</v>
      </c>
      <c r="M218" s="129">
        <f t="shared" si="26"/>
        <v>0.3</v>
      </c>
      <c r="N218" s="129">
        <f t="shared" si="26"/>
        <v>0.3</v>
      </c>
      <c r="O218" s="129">
        <f t="shared" si="26"/>
        <v>0.3</v>
      </c>
      <c r="P218" s="129">
        <f t="shared" si="26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25"/>
        <v>0</v>
      </c>
      <c r="C219" s="117">
        <v>0.4</v>
      </c>
      <c r="D219" s="117">
        <f t="shared" si="26"/>
        <v>0.4</v>
      </c>
      <c r="E219" s="117">
        <f t="shared" si="26"/>
        <v>0.4</v>
      </c>
      <c r="F219" s="117">
        <f t="shared" si="26"/>
        <v>0.4</v>
      </c>
      <c r="G219" s="117">
        <f t="shared" si="26"/>
        <v>0.4</v>
      </c>
      <c r="H219" s="117">
        <f t="shared" si="26"/>
        <v>0.4</v>
      </c>
      <c r="I219" s="117">
        <f t="shared" si="26"/>
        <v>0.4</v>
      </c>
      <c r="J219" s="117">
        <f t="shared" si="26"/>
        <v>0.4</v>
      </c>
      <c r="K219" s="117">
        <f t="shared" si="26"/>
        <v>0.4</v>
      </c>
      <c r="L219" s="117">
        <f t="shared" si="26"/>
        <v>0.4</v>
      </c>
      <c r="M219" s="117">
        <f t="shared" si="26"/>
        <v>0.4</v>
      </c>
      <c r="N219" s="117">
        <f t="shared" si="26"/>
        <v>0.4</v>
      </c>
      <c r="O219" s="117">
        <f t="shared" si="26"/>
        <v>0.4</v>
      </c>
      <c r="P219" s="117">
        <f t="shared" si="26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25"/>
        <v>0</v>
      </c>
      <c r="C220" s="117">
        <v>1.5</v>
      </c>
      <c r="D220" s="117">
        <f t="shared" si="26"/>
        <v>1.5</v>
      </c>
      <c r="E220" s="117">
        <f t="shared" si="26"/>
        <v>1.5</v>
      </c>
      <c r="F220" s="117">
        <f t="shared" si="26"/>
        <v>1.5</v>
      </c>
      <c r="G220" s="117">
        <f t="shared" si="26"/>
        <v>1.5</v>
      </c>
      <c r="H220" s="117">
        <f t="shared" si="26"/>
        <v>1.5</v>
      </c>
      <c r="I220" s="117">
        <f t="shared" si="26"/>
        <v>1.5</v>
      </c>
      <c r="J220" s="117">
        <f t="shared" si="26"/>
        <v>1.5</v>
      </c>
      <c r="K220" s="117">
        <f t="shared" si="26"/>
        <v>1.5</v>
      </c>
      <c r="L220" s="117">
        <f t="shared" si="26"/>
        <v>1.5</v>
      </c>
      <c r="M220" s="117">
        <f t="shared" si="26"/>
        <v>1.5</v>
      </c>
      <c r="N220" s="117">
        <f t="shared" si="26"/>
        <v>1.5</v>
      </c>
      <c r="O220" s="117">
        <f t="shared" si="26"/>
        <v>1.5</v>
      </c>
      <c r="P220" s="117">
        <f t="shared" si="26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25"/>
        <v>0</v>
      </c>
      <c r="C221" s="117">
        <v>0.3</v>
      </c>
      <c r="D221" s="117">
        <f t="shared" si="26"/>
        <v>0.3</v>
      </c>
      <c r="E221" s="117">
        <f t="shared" si="26"/>
        <v>0.3</v>
      </c>
      <c r="F221" s="117">
        <f t="shared" si="26"/>
        <v>0.3</v>
      </c>
      <c r="G221" s="117">
        <f t="shared" si="26"/>
        <v>0.3</v>
      </c>
      <c r="H221" s="117">
        <f t="shared" si="26"/>
        <v>0.3</v>
      </c>
      <c r="I221" s="117">
        <f t="shared" si="26"/>
        <v>0.3</v>
      </c>
      <c r="J221" s="117">
        <f t="shared" si="26"/>
        <v>0.3</v>
      </c>
      <c r="K221" s="117">
        <f t="shared" si="26"/>
        <v>0.3</v>
      </c>
      <c r="L221" s="117">
        <f t="shared" si="26"/>
        <v>0.3</v>
      </c>
      <c r="M221" s="117">
        <f t="shared" si="26"/>
        <v>0.3</v>
      </c>
      <c r="N221" s="117">
        <f t="shared" si="26"/>
        <v>0.3</v>
      </c>
      <c r="O221" s="117">
        <f t="shared" si="26"/>
        <v>0.3</v>
      </c>
      <c r="P221" s="117">
        <f t="shared" si="26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25"/>
        <v>0</v>
      </c>
      <c r="C222" s="117">
        <v>0.4</v>
      </c>
      <c r="D222" s="117">
        <f t="shared" si="26"/>
        <v>0.4</v>
      </c>
      <c r="E222" s="117">
        <f t="shared" si="26"/>
        <v>0.4</v>
      </c>
      <c r="F222" s="117">
        <f t="shared" si="26"/>
        <v>0.4</v>
      </c>
      <c r="G222" s="117">
        <f t="shared" si="26"/>
        <v>0.4</v>
      </c>
      <c r="H222" s="117">
        <f t="shared" si="26"/>
        <v>0.4</v>
      </c>
      <c r="I222" s="117">
        <f t="shared" si="26"/>
        <v>0.4</v>
      </c>
      <c r="J222" s="117">
        <f t="shared" si="26"/>
        <v>0.4</v>
      </c>
      <c r="K222" s="117">
        <f t="shared" si="26"/>
        <v>0.4</v>
      </c>
      <c r="L222" s="117">
        <f t="shared" si="26"/>
        <v>0.4</v>
      </c>
      <c r="M222" s="117">
        <f t="shared" si="26"/>
        <v>0.4</v>
      </c>
      <c r="N222" s="117">
        <f t="shared" si="26"/>
        <v>0.4</v>
      </c>
      <c r="O222" s="117">
        <f t="shared" si="26"/>
        <v>0.4</v>
      </c>
      <c r="P222" s="117">
        <f t="shared" si="26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25"/>
        <v>0</v>
      </c>
      <c r="C223" s="121">
        <v>0.64</v>
      </c>
      <c r="D223" s="121">
        <f t="shared" si="26"/>
        <v>0.64</v>
      </c>
      <c r="E223" s="121">
        <f t="shared" si="26"/>
        <v>0.64</v>
      </c>
      <c r="F223" s="121">
        <f t="shared" si="26"/>
        <v>0.64</v>
      </c>
      <c r="G223" s="121">
        <f t="shared" si="26"/>
        <v>0.64</v>
      </c>
      <c r="H223" s="121">
        <f t="shared" si="26"/>
        <v>0.64</v>
      </c>
      <c r="I223" s="121">
        <f t="shared" si="26"/>
        <v>0.64</v>
      </c>
      <c r="J223" s="121">
        <f t="shared" si="26"/>
        <v>0.64</v>
      </c>
      <c r="K223" s="121">
        <f t="shared" si="26"/>
        <v>0.64</v>
      </c>
      <c r="L223" s="121">
        <f t="shared" si="26"/>
        <v>0.64</v>
      </c>
      <c r="M223" s="121">
        <f t="shared" si="26"/>
        <v>0.64</v>
      </c>
      <c r="N223" s="121">
        <f t="shared" si="26"/>
        <v>0.64</v>
      </c>
      <c r="O223" s="121">
        <f t="shared" si="26"/>
        <v>0.64</v>
      </c>
      <c r="P223" s="121">
        <f t="shared" si="26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7">SUM(B218:B223)</f>
        <v>0</v>
      </c>
      <c r="C224" s="125">
        <f t="shared" si="27"/>
        <v>3.54</v>
      </c>
      <c r="D224" s="125">
        <f t="shared" si="27"/>
        <v>3.54</v>
      </c>
      <c r="E224" s="125">
        <f t="shared" si="27"/>
        <v>3.54</v>
      </c>
      <c r="F224" s="125">
        <f t="shared" si="27"/>
        <v>3.54</v>
      </c>
      <c r="G224" s="125">
        <f t="shared" si="27"/>
        <v>3.54</v>
      </c>
      <c r="H224" s="125">
        <f t="shared" si="27"/>
        <v>3.54</v>
      </c>
      <c r="I224" s="125">
        <f t="shared" si="27"/>
        <v>3.54</v>
      </c>
      <c r="J224" s="125">
        <f t="shared" si="27"/>
        <v>3.54</v>
      </c>
      <c r="K224" s="125">
        <f t="shared" si="27"/>
        <v>3.54</v>
      </c>
      <c r="L224" s="125">
        <f t="shared" si="27"/>
        <v>3.54</v>
      </c>
      <c r="M224" s="125">
        <f t="shared" si="27"/>
        <v>3.54</v>
      </c>
      <c r="N224" s="125">
        <f t="shared" si="27"/>
        <v>3.54</v>
      </c>
      <c r="O224" s="125">
        <f t="shared" si="27"/>
        <v>3.54</v>
      </c>
      <c r="P224" s="125">
        <f t="shared" si="27"/>
        <v>3.54</v>
      </c>
      <c r="Q224" s="125">
        <f t="shared" si="27"/>
        <v>0</v>
      </c>
      <c r="R224" s="125">
        <f t="shared" si="27"/>
        <v>0</v>
      </c>
      <c r="S224" s="125">
        <f t="shared" si="27"/>
        <v>0</v>
      </c>
      <c r="T224" s="125">
        <f t="shared" si="27"/>
        <v>0</v>
      </c>
      <c r="U224" s="125">
        <f t="shared" si="27"/>
        <v>0</v>
      </c>
      <c r="V224" s="125">
        <f t="shared" si="27"/>
        <v>0</v>
      </c>
      <c r="W224" s="125">
        <f t="shared" si="27"/>
        <v>0</v>
      </c>
      <c r="X224" s="125">
        <f t="shared" si="27"/>
        <v>0</v>
      </c>
      <c r="Y224" s="125">
        <f t="shared" si="27"/>
        <v>0</v>
      </c>
      <c r="Z224" s="125">
        <f t="shared" si="27"/>
        <v>0</v>
      </c>
      <c r="AA224" s="125">
        <f t="shared" si="27"/>
        <v>0</v>
      </c>
      <c r="AB224" s="125">
        <f t="shared" si="27"/>
        <v>0</v>
      </c>
      <c r="AC224" s="125">
        <f t="shared" si="27"/>
        <v>0</v>
      </c>
      <c r="AD224" s="125">
        <f t="shared" si="27"/>
        <v>0</v>
      </c>
      <c r="AE224" s="125">
        <f t="shared" si="27"/>
        <v>0</v>
      </c>
      <c r="AF224" s="125">
        <f t="shared" si="27"/>
        <v>0</v>
      </c>
      <c r="AG224" s="134">
        <f t="shared" si="27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1162.7860000000001</v>
      </c>
      <c r="C233" s="150">
        <f>INDEX(G9:N9,1,MATCH(MAX(G81:N81),G81:N81,0))</f>
        <v>0.33333333333333331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8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2079/06/8)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2079/06/8)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28">B81</f>
        <v>1361.8400000000001</v>
      </c>
      <c r="U238" s="159">
        <f t="shared" si="28"/>
        <v>1059.74</v>
      </c>
      <c r="V238" s="159">
        <f t="shared" si="28"/>
        <v>1067.04</v>
      </c>
      <c r="W238" s="159">
        <f t="shared" si="28"/>
        <v>1059.1399999999999</v>
      </c>
      <c r="X238" s="159">
        <f t="shared" si="28"/>
        <v>1054.94</v>
      </c>
      <c r="Y238" s="159">
        <f t="shared" si="28"/>
        <v>1081.44</v>
      </c>
      <c r="Z238" s="159">
        <f t="shared" si="28"/>
        <v>1110.8399999999999</v>
      </c>
      <c r="AA238" s="159">
        <f t="shared" si="28"/>
        <v>1107.8399999999999</v>
      </c>
      <c r="AB238" s="159">
        <f t="shared" si="28"/>
        <v>1099.1399999999999</v>
      </c>
      <c r="AC238" s="159">
        <f t="shared" si="28"/>
        <v>1119.1399999999999</v>
      </c>
      <c r="AD238" s="159">
        <f t="shared" si="28"/>
        <v>1130.04</v>
      </c>
      <c r="AE238" s="159">
        <f t="shared" si="28"/>
        <v>1162.7860000000001</v>
      </c>
      <c r="AF238" s="159">
        <f t="shared" si="28"/>
        <v>1159.04</v>
      </c>
      <c r="AG238" s="159">
        <f t="shared" si="28"/>
        <v>1127.6399999999999</v>
      </c>
      <c r="AH238" s="159">
        <f t="shared" si="28"/>
        <v>1094.3399999999999</v>
      </c>
      <c r="AI238" s="159">
        <f t="shared" si="28"/>
        <v>1061.74</v>
      </c>
      <c r="AJ238" s="159">
        <f t="shared" si="28"/>
        <v>1047.3399999999999</v>
      </c>
      <c r="AK238" s="159">
        <f t="shared" si="28"/>
        <v>1072.54</v>
      </c>
      <c r="AL238" s="159">
        <f t="shared" si="28"/>
        <v>1072.6399999999999</v>
      </c>
      <c r="AM238" s="159">
        <f t="shared" si="28"/>
        <v>1072.7399999999998</v>
      </c>
      <c r="AN238" s="159">
        <f t="shared" si="28"/>
        <v>1072.7399999999998</v>
      </c>
      <c r="AO238" s="159">
        <f t="shared" si="28"/>
        <v>1176.54</v>
      </c>
      <c r="AP238" s="159">
        <f t="shared" si="28"/>
        <v>1400.34</v>
      </c>
      <c r="AQ238" s="159">
        <f t="shared" si="28"/>
        <v>1399.94</v>
      </c>
      <c r="AR238" s="159">
        <f t="shared" si="28"/>
        <v>1377.94</v>
      </c>
      <c r="AS238" s="159">
        <f t="shared" si="28"/>
        <v>1340.1399999999999</v>
      </c>
      <c r="AT238" s="159">
        <f t="shared" si="28"/>
        <v>1278.94</v>
      </c>
      <c r="AU238" s="159">
        <f t="shared" si="28"/>
        <v>1256.7399999999998</v>
      </c>
      <c r="AV238" s="159">
        <f t="shared" si="28"/>
        <v>1242.7399999999998</v>
      </c>
      <c r="AW238" s="159">
        <f t="shared" si="28"/>
        <v>1124.7399999999998</v>
      </c>
      <c r="AX238" s="159">
        <f t="shared" si="28"/>
        <v>1103.8399999999999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29">C223</f>
        <v>0.64</v>
      </c>
      <c r="C259" s="162">
        <f t="shared" si="29"/>
        <v>0.64</v>
      </c>
      <c r="D259" s="162">
        <f t="shared" si="29"/>
        <v>0.64</v>
      </c>
      <c r="E259" s="162">
        <f t="shared" si="29"/>
        <v>0.64</v>
      </c>
      <c r="F259" s="162">
        <f t="shared" si="29"/>
        <v>0.64</v>
      </c>
      <c r="G259" s="162">
        <f t="shared" si="29"/>
        <v>0.64</v>
      </c>
      <c r="H259" s="162">
        <f t="shared" si="29"/>
        <v>0.64</v>
      </c>
      <c r="I259" s="162">
        <f t="shared" si="29"/>
        <v>0.64</v>
      </c>
      <c r="J259" s="162">
        <f t="shared" si="29"/>
        <v>0.64</v>
      </c>
      <c r="K259" s="162">
        <f t="shared" si="29"/>
        <v>0.64</v>
      </c>
      <c r="L259" s="162">
        <f t="shared" si="29"/>
        <v>0.64</v>
      </c>
      <c r="M259" s="162">
        <f t="shared" si="29"/>
        <v>0.64</v>
      </c>
      <c r="N259" s="162">
        <f t="shared" si="29"/>
        <v>0.64</v>
      </c>
      <c r="O259" s="162">
        <f t="shared" si="29"/>
        <v>0.64</v>
      </c>
      <c r="P259" s="162">
        <f t="shared" si="29"/>
        <v>0</v>
      </c>
      <c r="Q259" s="162">
        <f t="shared" si="29"/>
        <v>0</v>
      </c>
      <c r="R259" s="162">
        <f t="shared" si="29"/>
        <v>0</v>
      </c>
      <c r="S259" s="162">
        <f t="shared" si="29"/>
        <v>0</v>
      </c>
      <c r="T259" s="162">
        <f t="shared" si="29"/>
        <v>0</v>
      </c>
      <c r="U259" s="162">
        <f t="shared" si="29"/>
        <v>0</v>
      </c>
      <c r="V259" s="162">
        <f t="shared" si="29"/>
        <v>0</v>
      </c>
      <c r="W259" s="162">
        <f t="shared" si="29"/>
        <v>0</v>
      </c>
      <c r="X259" s="162">
        <f t="shared" si="29"/>
        <v>0</v>
      </c>
      <c r="Y259" s="162">
        <f t="shared" si="29"/>
        <v>0</v>
      </c>
      <c r="Z259" s="162">
        <f t="shared" si="29"/>
        <v>0</v>
      </c>
      <c r="AA259" s="162">
        <f t="shared" si="29"/>
        <v>0</v>
      </c>
      <c r="AB259" s="162">
        <f t="shared" si="29"/>
        <v>0</v>
      </c>
      <c r="AC259" s="162">
        <f t="shared" si="29"/>
        <v>0</v>
      </c>
      <c r="AD259" s="162">
        <f t="shared" si="29"/>
        <v>0</v>
      </c>
      <c r="AE259" s="162">
        <f t="shared" si="29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30">IF(B227&lt;100,"",B227-520)</f>
        <v/>
      </c>
      <c r="C260" s="163" t="str">
        <f t="shared" si="30"/>
        <v/>
      </c>
      <c r="D260" s="163" t="str">
        <f t="shared" si="30"/>
        <v/>
      </c>
      <c r="E260" s="163" t="str">
        <f t="shared" si="30"/>
        <v/>
      </c>
      <c r="F260" s="163" t="str">
        <f t="shared" si="30"/>
        <v/>
      </c>
      <c r="G260" s="163" t="str">
        <f t="shared" si="30"/>
        <v/>
      </c>
      <c r="H260" s="163" t="str">
        <f t="shared" si="30"/>
        <v/>
      </c>
      <c r="I260" s="163" t="str">
        <f t="shared" si="30"/>
        <v/>
      </c>
      <c r="J260" s="163" t="str">
        <f t="shared" si="30"/>
        <v/>
      </c>
      <c r="K260" s="163" t="str">
        <f t="shared" si="30"/>
        <v/>
      </c>
      <c r="L260" s="163" t="str">
        <f t="shared" si="30"/>
        <v/>
      </c>
      <c r="M260" s="163" t="str">
        <f t="shared" si="30"/>
        <v/>
      </c>
      <c r="N260" s="163" t="str">
        <f t="shared" si="30"/>
        <v/>
      </c>
      <c r="O260" s="163" t="str">
        <f t="shared" si="30"/>
        <v/>
      </c>
      <c r="P260" s="163" t="str">
        <f t="shared" si="30"/>
        <v/>
      </c>
      <c r="Q260" s="163" t="str">
        <f t="shared" si="30"/>
        <v/>
      </c>
      <c r="R260" s="163" t="str">
        <f t="shared" si="30"/>
        <v/>
      </c>
      <c r="S260" s="163" t="str">
        <f t="shared" si="30"/>
        <v/>
      </c>
      <c r="T260" s="163" t="str">
        <f t="shared" si="30"/>
        <v/>
      </c>
      <c r="U260" s="163" t="str">
        <f t="shared" si="30"/>
        <v/>
      </c>
      <c r="V260" s="163" t="str">
        <f t="shared" si="30"/>
        <v/>
      </c>
      <c r="W260" s="163" t="str">
        <f t="shared" si="30"/>
        <v/>
      </c>
      <c r="X260" s="163" t="str">
        <f t="shared" si="30"/>
        <v/>
      </c>
      <c r="Y260" s="163" t="str">
        <f t="shared" si="30"/>
        <v/>
      </c>
      <c r="Z260" s="163" t="str">
        <f t="shared" si="30"/>
        <v/>
      </c>
      <c r="AA260" s="163" t="str">
        <f t="shared" si="30"/>
        <v/>
      </c>
      <c r="AB260" s="163" t="str">
        <f t="shared" si="30"/>
        <v/>
      </c>
      <c r="AC260" s="163" t="str">
        <f t="shared" si="30"/>
        <v/>
      </c>
      <c r="AD260" s="163" t="str">
        <f t="shared" si="30"/>
        <v/>
      </c>
      <c r="AE260" s="163" t="str">
        <f t="shared" si="30"/>
        <v/>
      </c>
      <c r="AF260" s="163" t="str">
        <f t="shared" si="30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31">IF(B228&lt;100,"",B228-620)</f>
        <v/>
      </c>
      <c r="C261" s="163" t="str">
        <f t="shared" si="31"/>
        <v/>
      </c>
      <c r="D261" s="163" t="str">
        <f t="shared" si="31"/>
        <v/>
      </c>
      <c r="E261" s="163" t="str">
        <f t="shared" si="31"/>
        <v/>
      </c>
      <c r="F261" s="163" t="str">
        <f t="shared" si="31"/>
        <v/>
      </c>
      <c r="G261" s="163" t="str">
        <f t="shared" si="31"/>
        <v/>
      </c>
      <c r="H261" s="163" t="str">
        <f t="shared" si="31"/>
        <v/>
      </c>
      <c r="I261" s="163" t="str">
        <f t="shared" si="31"/>
        <v/>
      </c>
      <c r="J261" s="163" t="str">
        <f t="shared" si="31"/>
        <v/>
      </c>
      <c r="K261" s="163" t="str">
        <f t="shared" si="31"/>
        <v/>
      </c>
      <c r="L261" s="163" t="str">
        <f t="shared" si="31"/>
        <v/>
      </c>
      <c r="M261" s="163" t="str">
        <f t="shared" si="31"/>
        <v/>
      </c>
      <c r="N261" s="163" t="str">
        <f t="shared" si="31"/>
        <v/>
      </c>
      <c r="O261" s="163" t="str">
        <f t="shared" si="31"/>
        <v/>
      </c>
      <c r="P261" s="163" t="str">
        <f t="shared" si="31"/>
        <v/>
      </c>
      <c r="Q261" s="163" t="str">
        <f t="shared" si="31"/>
        <v/>
      </c>
      <c r="R261" s="163" t="str">
        <f t="shared" si="31"/>
        <v/>
      </c>
      <c r="S261" s="163" t="str">
        <f t="shared" si="31"/>
        <v/>
      </c>
      <c r="T261" s="163" t="str">
        <f t="shared" si="31"/>
        <v/>
      </c>
      <c r="U261" s="163" t="str">
        <f t="shared" si="31"/>
        <v/>
      </c>
      <c r="V261" s="163" t="str">
        <f t="shared" si="31"/>
        <v/>
      </c>
      <c r="W261" s="163" t="str">
        <f t="shared" si="31"/>
        <v/>
      </c>
      <c r="X261" s="163" t="str">
        <f t="shared" si="31"/>
        <v/>
      </c>
      <c r="Y261" s="163" t="str">
        <f t="shared" si="31"/>
        <v/>
      </c>
      <c r="Z261" s="163" t="str">
        <f t="shared" si="31"/>
        <v/>
      </c>
      <c r="AA261" s="163" t="str">
        <f t="shared" si="31"/>
        <v/>
      </c>
      <c r="AB261" s="163" t="str">
        <f t="shared" si="31"/>
        <v/>
      </c>
      <c r="AC261" s="163" t="str">
        <f t="shared" si="31"/>
        <v/>
      </c>
      <c r="AD261" s="163" t="str">
        <f t="shared" si="31"/>
        <v/>
      </c>
      <c r="AE261" s="163" t="str">
        <f t="shared" si="31"/>
        <v/>
      </c>
      <c r="AF261" s="163" t="str">
        <f t="shared" si="31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2">IF(B229&lt;100,"",B229-330)</f>
        <v/>
      </c>
      <c r="C262" s="163" t="str">
        <f t="shared" si="32"/>
        <v/>
      </c>
      <c r="D262" s="163" t="str">
        <f t="shared" si="32"/>
        <v/>
      </c>
      <c r="E262" s="163" t="str">
        <f t="shared" si="32"/>
        <v/>
      </c>
      <c r="F262" s="163" t="str">
        <f t="shared" si="32"/>
        <v/>
      </c>
      <c r="G262" s="163" t="str">
        <f t="shared" si="32"/>
        <v/>
      </c>
      <c r="H262" s="163" t="str">
        <f t="shared" si="32"/>
        <v/>
      </c>
      <c r="I262" s="163" t="str">
        <f t="shared" si="32"/>
        <v/>
      </c>
      <c r="J262" s="163" t="str">
        <f t="shared" si="32"/>
        <v/>
      </c>
      <c r="K262" s="163" t="str">
        <f t="shared" si="32"/>
        <v/>
      </c>
      <c r="L262" s="163" t="str">
        <f t="shared" si="32"/>
        <v/>
      </c>
      <c r="M262" s="163" t="str">
        <f t="shared" si="32"/>
        <v/>
      </c>
      <c r="N262" s="163" t="str">
        <f t="shared" si="32"/>
        <v/>
      </c>
      <c r="O262" s="163" t="str">
        <f t="shared" si="32"/>
        <v/>
      </c>
      <c r="P262" s="163" t="str">
        <f t="shared" si="32"/>
        <v/>
      </c>
      <c r="Q262" s="163" t="str">
        <f t="shared" si="32"/>
        <v/>
      </c>
      <c r="R262" s="163" t="str">
        <f t="shared" si="32"/>
        <v/>
      </c>
      <c r="S262" s="163" t="str">
        <f t="shared" si="32"/>
        <v/>
      </c>
      <c r="T262" s="163" t="str">
        <f t="shared" si="32"/>
        <v/>
      </c>
      <c r="U262" s="163" t="str">
        <f t="shared" si="32"/>
        <v/>
      </c>
      <c r="V262" s="163" t="str">
        <f t="shared" si="32"/>
        <v/>
      </c>
      <c r="W262" s="163" t="str">
        <f t="shared" si="32"/>
        <v/>
      </c>
      <c r="X262" s="163" t="str">
        <f t="shared" si="32"/>
        <v/>
      </c>
      <c r="Y262" s="163" t="str">
        <f t="shared" si="32"/>
        <v/>
      </c>
      <c r="Z262" s="163" t="str">
        <f t="shared" si="32"/>
        <v/>
      </c>
      <c r="AA262" s="163" t="str">
        <f t="shared" si="32"/>
        <v/>
      </c>
      <c r="AB262" s="163" t="str">
        <f t="shared" si="32"/>
        <v/>
      </c>
      <c r="AC262" s="163" t="str">
        <f t="shared" si="32"/>
        <v/>
      </c>
      <c r="AD262" s="163" t="str">
        <f t="shared" si="32"/>
        <v/>
      </c>
      <c r="AE262" s="163" t="str">
        <f t="shared" si="32"/>
        <v/>
      </c>
      <c r="AF262" s="163" t="str">
        <f t="shared" si="32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3">IF(B230&lt;100,"",B230-1500)</f>
        <v/>
      </c>
      <c r="C263" s="163" t="str">
        <f t="shared" si="33"/>
        <v/>
      </c>
      <c r="D263" s="163" t="str">
        <f t="shared" si="33"/>
        <v/>
      </c>
      <c r="E263" s="163" t="str">
        <f t="shared" si="33"/>
        <v/>
      </c>
      <c r="F263" s="163" t="str">
        <f t="shared" si="33"/>
        <v/>
      </c>
      <c r="G263" s="163" t="str">
        <f t="shared" si="33"/>
        <v/>
      </c>
      <c r="H263" s="163" t="str">
        <f t="shared" si="33"/>
        <v/>
      </c>
      <c r="I263" s="163" t="str">
        <f t="shared" si="33"/>
        <v/>
      </c>
      <c r="J263" s="163" t="str">
        <f t="shared" si="33"/>
        <v/>
      </c>
      <c r="K263" s="163" t="str">
        <f t="shared" si="33"/>
        <v/>
      </c>
      <c r="L263" s="163" t="str">
        <f t="shared" si="33"/>
        <v/>
      </c>
      <c r="M263" s="163" t="str">
        <f t="shared" si="33"/>
        <v/>
      </c>
      <c r="N263" s="163" t="str">
        <f t="shared" si="33"/>
        <v/>
      </c>
      <c r="O263" s="163" t="str">
        <f t="shared" si="33"/>
        <v/>
      </c>
      <c r="P263" s="163" t="str">
        <f t="shared" si="33"/>
        <v/>
      </c>
      <c r="Q263" s="163" t="str">
        <f t="shared" si="33"/>
        <v/>
      </c>
      <c r="R263" s="163" t="str">
        <f t="shared" si="33"/>
        <v/>
      </c>
      <c r="S263" s="163" t="str">
        <f t="shared" si="33"/>
        <v/>
      </c>
      <c r="T263" s="163" t="str">
        <f t="shared" si="33"/>
        <v/>
      </c>
      <c r="U263" s="163" t="str">
        <f t="shared" si="33"/>
        <v/>
      </c>
      <c r="V263" s="163" t="str">
        <f t="shared" si="33"/>
        <v/>
      </c>
      <c r="W263" s="163" t="str">
        <f t="shared" si="33"/>
        <v/>
      </c>
      <c r="X263" s="163" t="str">
        <f t="shared" si="33"/>
        <v/>
      </c>
      <c r="Y263" s="163" t="str">
        <f t="shared" si="33"/>
        <v/>
      </c>
      <c r="Z263" s="163" t="str">
        <f t="shared" si="33"/>
        <v/>
      </c>
      <c r="AA263" s="163" t="str">
        <f t="shared" si="33"/>
        <v/>
      </c>
      <c r="AB263" s="163" t="str">
        <f t="shared" si="33"/>
        <v/>
      </c>
      <c r="AC263" s="163" t="str">
        <f t="shared" si="33"/>
        <v/>
      </c>
      <c r="AD263" s="163" t="str">
        <f t="shared" si="33"/>
        <v/>
      </c>
      <c r="AE263" s="163" t="str">
        <f t="shared" si="33"/>
        <v/>
      </c>
      <c r="AF263" s="163" t="str">
        <f t="shared" si="33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A11:A225">
    <cfRule type="expression" dxfId="1313" priority="273">
      <formula>$AH11=0</formula>
    </cfRule>
  </conditionalFormatting>
  <conditionalFormatting sqref="B8 M8 S8 AB8">
    <cfRule type="expression" dxfId="1312" priority="504">
      <formula>AND(C$9&gt;=8/24,C$9&lt;14/24)</formula>
    </cfRule>
    <cfRule type="expression" dxfId="1311" priority="505">
      <formula>C$9&lt;8/24</formula>
    </cfRule>
    <cfRule type="expression" dxfId="1310" priority="503">
      <formula>AND(C$9&gt;=14/24,C$9&lt;20/24)</formula>
    </cfRule>
  </conditionalFormatting>
  <conditionalFormatting sqref="B63:C73 D66:T73">
    <cfRule type="expression" dxfId="1309" priority="248">
      <formula>B$9&lt;8/24</formula>
    </cfRule>
  </conditionalFormatting>
  <conditionalFormatting sqref="B11:Q11">
    <cfRule type="expression" dxfId="1308" priority="398">
      <formula>B$9&gt;=20/24</formula>
    </cfRule>
    <cfRule type="expression" dxfId="1307" priority="399">
      <formula>AND(B$9&gt;=14/24,B$9&lt;20/24)</formula>
    </cfRule>
    <cfRule type="expression" dxfId="1306" priority="400">
      <formula>AND(B$9&gt;=8/24,B$9&lt;14/24)</formula>
    </cfRule>
    <cfRule type="expression" dxfId="1305" priority="401">
      <formula>B$9&lt;8/24</formula>
    </cfRule>
  </conditionalFormatting>
  <conditionalFormatting sqref="B11:Q16">
    <cfRule type="expression" dxfId="1304" priority="393">
      <formula>B11&gt;$AG11</formula>
    </cfRule>
  </conditionalFormatting>
  <conditionalFormatting sqref="B12:Q15">
    <cfRule type="expression" dxfId="1303" priority="365">
      <formula>AND(B$9&gt;=8/24,B$9&lt;14/24)</formula>
    </cfRule>
    <cfRule type="expression" dxfId="1302" priority="364">
      <formula>AND(B$9&gt;=14/24,B$9&lt;20/24)</formula>
    </cfRule>
    <cfRule type="expression" dxfId="1301" priority="363">
      <formula>B$9&gt;=20/24</formula>
    </cfRule>
    <cfRule type="expression" dxfId="1300" priority="366">
      <formula>B$9&lt;8/24</formula>
    </cfRule>
  </conditionalFormatting>
  <conditionalFormatting sqref="B50:R56">
    <cfRule type="expression" dxfId="1299" priority="357">
      <formula>B$9&lt;8/24</formula>
    </cfRule>
    <cfRule type="expression" dxfId="1298" priority="353">
      <formula>B50&gt;$AG50</formula>
    </cfRule>
    <cfRule type="expression" dxfId="1297" priority="354">
      <formula>B$9&gt;=20/24</formula>
    </cfRule>
    <cfRule type="expression" dxfId="1296" priority="356">
      <formula>AND(B$9&gt;=8/24,B$9&lt;14/24)</formula>
    </cfRule>
    <cfRule type="expression" dxfId="1295" priority="355">
      <formula>AND(B$9&gt;=14/24,B$9&lt;20/24)</formula>
    </cfRule>
  </conditionalFormatting>
  <conditionalFormatting sqref="B9:AF10 T11:AF11 B16:AF16 B216:AF216 B218:B224 D218:AF224 U237:AF237">
    <cfRule type="expression" dxfId="1294" priority="499">
      <formula>B$9&lt;8/24</formula>
    </cfRule>
    <cfRule type="expression" dxfId="1293" priority="498">
      <formula>AND(B$9&gt;=8/24,B$9&lt;14/24)</formula>
    </cfRule>
    <cfRule type="expression" dxfId="1292" priority="497">
      <formula>AND(B$9&gt;=14/24,B$9&lt;20/24)</formula>
    </cfRule>
  </conditionalFormatting>
  <conditionalFormatting sqref="B17:AF18">
    <cfRule type="expression" dxfId="1291" priority="275">
      <formula>B$9&gt;=20/24</formula>
    </cfRule>
    <cfRule type="expression" dxfId="1290" priority="276">
      <formula>AND(B$9&gt;=14/24,B$9&lt;20/24)</formula>
    </cfRule>
    <cfRule type="expression" dxfId="1289" priority="277">
      <formula>AND(B$9&gt;=8/24,B$9&lt;14/24)</formula>
    </cfRule>
    <cfRule type="expression" dxfId="1288" priority="278">
      <formula>B$9&lt;8/24</formula>
    </cfRule>
  </conditionalFormatting>
  <conditionalFormatting sqref="B17:AF24">
    <cfRule type="expression" dxfId="1287" priority="284">
      <formula>B17&gt;$AG17</formula>
    </cfRule>
  </conditionalFormatting>
  <conditionalFormatting sqref="B19:AF24">
    <cfRule type="expression" dxfId="1286" priority="346">
      <formula>AND(B$9&gt;=14/24,B$9&lt;20/24)</formula>
    </cfRule>
    <cfRule type="expression" dxfId="1285" priority="347">
      <formula>AND(B$9&gt;=8/24,B$9&lt;14/24)</formula>
    </cfRule>
    <cfRule type="expression" dxfId="1284" priority="348">
      <formula>B$9&lt;8/24</formula>
    </cfRule>
    <cfRule type="expression" dxfId="1283" priority="345">
      <formula>B$9&gt;=20/24</formula>
    </cfRule>
  </conditionalFormatting>
  <conditionalFormatting sqref="B25:AF27 B29:AF29 C59:AF61 B59:B62 C62:AG62 B75:B79 C79:AG79 B80:AF81 D63:D65">
    <cfRule type="expression" dxfId="1282" priority="379">
      <formula>B$9&lt;8/24</formula>
    </cfRule>
  </conditionalFormatting>
  <conditionalFormatting sqref="B25:AF27 B29:AF29 C59:AF61 B59:B62 C62:AG62 B75:B79 C79:AG79 B80:AF81">
    <cfRule type="expression" dxfId="1281" priority="376">
      <formula>B$9&gt;=20/24</formula>
    </cfRule>
    <cfRule type="expression" dxfId="1280" priority="377">
      <formula>AND(B$9&gt;=14/24,B$9&lt;20/24)</formula>
    </cfRule>
    <cfRule type="expression" dxfId="1279" priority="378">
      <formula>AND(B$9&gt;=8/24,B$9&lt;14/24)</formula>
    </cfRule>
  </conditionalFormatting>
  <conditionalFormatting sqref="B25:AF29 B40:AG40 B48:S49 C57:AG58 B57:B62 C59:AF61 C62:AG62">
    <cfRule type="expression" dxfId="1278" priority="371">
      <formula>B25&gt;$AG25</formula>
    </cfRule>
  </conditionalFormatting>
  <conditionalFormatting sqref="B28:AF28">
    <cfRule type="expression" dxfId="1277" priority="352">
      <formula>B$9&lt;8/24</formula>
    </cfRule>
    <cfRule type="expression" dxfId="1276" priority="351">
      <formula>AND(B$9&gt;=8/24,B$9&lt;14/24)</formula>
    </cfRule>
    <cfRule type="expression" dxfId="1275" priority="350">
      <formula>AND(B$9&gt;=14/24,B$9&lt;20/24)</formula>
    </cfRule>
    <cfRule type="expression" dxfId="1274" priority="349">
      <formula>B$9&gt;=20/24</formula>
    </cfRule>
  </conditionalFormatting>
  <conditionalFormatting sqref="B30:AF36">
    <cfRule type="expression" dxfId="1273" priority="258">
      <formula>B30&gt;$AG30</formula>
    </cfRule>
  </conditionalFormatting>
  <conditionalFormatting sqref="B30:AF37">
    <cfRule type="expression" dxfId="1272" priority="260">
      <formula>AND(B$9&gt;=14/24,B$9&lt;20/24)</formula>
    </cfRule>
    <cfRule type="expression" dxfId="1271" priority="261">
      <formula>AND(B$9&gt;=8/24,B$9&lt;14/24)</formula>
    </cfRule>
    <cfRule type="expression" dxfId="1270" priority="262">
      <formula>B$9&lt;8/24</formula>
    </cfRule>
    <cfRule type="expression" dxfId="1269" priority="259">
      <formula>B$9&gt;=20/24</formula>
    </cfRule>
  </conditionalFormatting>
  <conditionalFormatting sqref="B37:AF39 B45:AF47">
    <cfRule type="expression" dxfId="1268" priority="380">
      <formula>B37&gt;$AG37</formula>
    </cfRule>
  </conditionalFormatting>
  <conditionalFormatting sqref="B38:AF39">
    <cfRule type="expression" dxfId="1267" priority="386">
      <formula>AND(B$9&gt;=14/24,B$9&lt;20/24)</formula>
    </cfRule>
    <cfRule type="expression" dxfId="1266" priority="385">
      <formula>B$9&gt;=20/24</formula>
    </cfRule>
    <cfRule type="expression" dxfId="1265" priority="388">
      <formula>B$9&lt;8/24</formula>
    </cfRule>
    <cfRule type="expression" dxfId="1264" priority="387">
      <formula>AND(B$9&gt;=8/24,B$9&lt;14/24)</formula>
    </cfRule>
  </conditionalFormatting>
  <conditionalFormatting sqref="B41:AF43">
    <cfRule type="expression" dxfId="1263" priority="256">
      <formula>AND(B$9&gt;=8/24,B$9&lt;14/24)</formula>
    </cfRule>
    <cfRule type="expression" dxfId="1262" priority="257">
      <formula>B$9&lt;8/24</formula>
    </cfRule>
    <cfRule type="expression" dxfId="1261" priority="255">
      <formula>AND(B$9&gt;=14/24,B$9&lt;20/24)</formula>
    </cfRule>
    <cfRule type="expression" dxfId="1260" priority="253">
      <formula>B41&gt;$AG41</formula>
    </cfRule>
    <cfRule type="expression" dxfId="1259" priority="254">
      <formula>B$9&gt;=20/24</formula>
    </cfRule>
  </conditionalFormatting>
  <conditionalFormatting sqref="B45:AF47">
    <cfRule type="expression" dxfId="1258" priority="383">
      <formula>AND(B$9&gt;=8/24,B$9&lt;14/24)</formula>
    </cfRule>
    <cfRule type="expression" dxfId="1257" priority="382">
      <formula>AND(B$9&gt;=14/24,B$9&lt;20/24)</formula>
    </cfRule>
    <cfRule type="expression" dxfId="1256" priority="381">
      <formula>B$9&gt;=20/24</formula>
    </cfRule>
    <cfRule type="expression" dxfId="1255" priority="384">
      <formula>B$9&lt;8/24</formula>
    </cfRule>
  </conditionalFormatting>
  <conditionalFormatting sqref="B63:AF74">
    <cfRule type="expression" dxfId="1254" priority="245">
      <formula>B$9&gt;=20/24</formula>
    </cfRule>
    <cfRule type="expression" dxfId="1253" priority="247">
      <formula>AND(B$9&gt;=8/24,B$9&lt;14/24)</formula>
    </cfRule>
    <cfRule type="expression" dxfId="1252" priority="246">
      <formula>AND(B$9&gt;=14/24,B$9&lt;20/24)</formula>
    </cfRule>
  </conditionalFormatting>
  <conditionalFormatting sqref="B74:AF74">
    <cfRule type="expression" dxfId="1251" priority="342">
      <formula>B$9&lt;8/24</formula>
    </cfRule>
  </conditionalFormatting>
  <conditionalFormatting sqref="B83:AF99">
    <cfRule type="expression" dxfId="1246" priority="230">
      <formula>AND(B$9&gt;=14/24,B$9&lt;20/24)</formula>
    </cfRule>
    <cfRule type="expression" dxfId="1245" priority="231">
      <formula>AND(B$9&gt;=8/24,B$9&lt;14/24)</formula>
    </cfRule>
    <cfRule type="expression" dxfId="1244" priority="232">
      <formula>B$9&lt;8/24</formula>
    </cfRule>
    <cfRule type="expression" dxfId="1243" priority="229">
      <formula>B$9&gt;=20/24</formula>
    </cfRule>
  </conditionalFormatting>
  <conditionalFormatting sqref="B101:AF108">
    <cfRule type="expression" dxfId="1242" priority="116">
      <formula>B$9&lt;8/24</formula>
    </cfRule>
    <cfRule type="expression" dxfId="1241" priority="113">
      <formula>B$9&gt;=20/24</formula>
    </cfRule>
    <cfRule type="expression" dxfId="1240" priority="114">
      <formula>AND(B$9&gt;=14/24,B$9&lt;20/24)</formula>
    </cfRule>
    <cfRule type="expression" dxfId="1239" priority="115">
      <formula>AND(B$9&gt;=8/24,B$9&lt;14/24)</formula>
    </cfRule>
  </conditionalFormatting>
  <conditionalFormatting sqref="B44:AG44">
    <cfRule type="expression" dxfId="1234" priority="329">
      <formula>B$9&lt;8/24</formula>
    </cfRule>
    <cfRule type="expression" dxfId="1233" priority="328">
      <formula>AND(B$9&gt;=8/24,B$9&lt;14/24)</formula>
    </cfRule>
    <cfRule type="expression" dxfId="1232" priority="327">
      <formula>AND(B$9&gt;=14/24,B$9&lt;20/24)</formula>
    </cfRule>
    <cfRule type="expression" dxfId="1231" priority="326">
      <formula>B$9&gt;=20/24</formula>
    </cfRule>
    <cfRule type="expression" dxfId="1230" priority="325">
      <formula>B44&gt;$AG44</formula>
    </cfRule>
  </conditionalFormatting>
  <conditionalFormatting sqref="E63:AF63">
    <cfRule type="expression" dxfId="1229" priority="465">
      <formula>E$9&lt;8/24</formula>
    </cfRule>
  </conditionalFormatting>
  <conditionalFormatting sqref="M48:S49 T48:AB51 S50:S51">
    <cfRule type="expression" dxfId="1228" priority="428">
      <formula>AND(M$9&gt;=8/24,M$9&lt;14/24)</formula>
    </cfRule>
    <cfRule type="expression" dxfId="1227" priority="427">
      <formula>AND(M$9&gt;=14/24,M$9&lt;20/24)</formula>
    </cfRule>
    <cfRule type="expression" dxfId="1226" priority="429">
      <formula>M$9&lt;8/24</formula>
    </cfRule>
  </conditionalFormatting>
  <conditionalFormatting sqref="O3:P3">
    <cfRule type="iconSet" priority="500">
      <iconSet iconSet="3TrafficLights2" reverse="1">
        <cfvo type="percent" val="0"/>
        <cfvo type="num" val="1"/>
        <cfvo type="num" val="1"/>
      </iconSet>
    </cfRule>
  </conditionalFormatting>
  <conditionalFormatting sqref="R11:S11">
    <cfRule type="expression" dxfId="1225" priority="448">
      <formula>R11&gt;$AG11</formula>
    </cfRule>
  </conditionalFormatting>
  <conditionalFormatting sqref="R11:S14 T12:AF14 C75:AF78 E64:T65 U64:AF73">
    <cfRule type="expression" dxfId="1224" priority="456">
      <formula>C$9&lt;8/24</formula>
    </cfRule>
  </conditionalFormatting>
  <conditionalFormatting sqref="R11:S14 T12:AF14 C75:AF78">
    <cfRule type="expression" dxfId="1223" priority="453">
      <formula>C$9&gt;=20/24</formula>
    </cfRule>
    <cfRule type="expression" dxfId="1222" priority="454">
      <formula>AND(C$9&gt;=14/24,C$9&lt;20/24)</formula>
    </cfRule>
    <cfRule type="expression" dxfId="1221" priority="455">
      <formula>AND(C$9&gt;=8/24,C$9&lt;14/24)</formula>
    </cfRule>
  </conditionalFormatting>
  <conditionalFormatting sqref="R11:AF16">
    <cfRule type="expression" dxfId="1220" priority="490">
      <formula>R11&gt;$AG11</formula>
    </cfRule>
  </conditionalFormatting>
  <conditionalFormatting sqref="R15:AF15">
    <cfRule type="expression" dxfId="1219" priority="440">
      <formula>R$9&gt;=20/24</formula>
    </cfRule>
    <cfRule type="expression" dxfId="1218" priority="441">
      <formula>AND(R$9&gt;=14/24,R$9&lt;20/24)</formula>
    </cfRule>
    <cfRule type="expression" dxfId="1217" priority="442">
      <formula>AND(R$9&gt;=8/24,R$9&lt;14/24)</formula>
    </cfRule>
    <cfRule type="expression" dxfId="1216" priority="443">
      <formula>R$9&lt;8/24</formula>
    </cfRule>
  </conditionalFormatting>
  <conditionalFormatting sqref="S8 AB8 B8 M8">
    <cfRule type="expression" dxfId="1215" priority="502">
      <formula>C$9&gt;=20/24</formula>
    </cfRule>
  </conditionalFormatting>
  <conditionalFormatting sqref="S8">
    <cfRule type="expression" dxfId="1214" priority="471">
      <formula>U$9&gt;=20/24</formula>
    </cfRule>
    <cfRule type="expression" dxfId="1213" priority="473">
      <formula>AND(U$9&gt;=8/24,U$9&lt;14/24)</formula>
    </cfRule>
    <cfRule type="expression" dxfId="1212" priority="474">
      <formula>U$9&lt;8/24</formula>
    </cfRule>
    <cfRule type="expression" dxfId="1211" priority="472">
      <formula>AND(U$9&gt;=14/24,U$9&lt;20/24)</formula>
    </cfRule>
  </conditionalFormatting>
  <conditionalFormatting sqref="S52:AB56">
    <cfRule type="expression" dxfId="1210" priority="289">
      <formula>AND(S$9&gt;=8/24,S$9&lt;14/24)</formula>
    </cfRule>
    <cfRule type="expression" dxfId="1209" priority="288">
      <formula>AND(S$9&gt;=14/24,S$9&lt;20/24)</formula>
    </cfRule>
    <cfRule type="expression" dxfId="1208" priority="287">
      <formula>S$9&gt;=20/24</formula>
    </cfRule>
    <cfRule type="expression" dxfId="1207" priority="286">
      <formula>S52&gt;$AG52</formula>
    </cfRule>
    <cfRule type="expression" dxfId="1206" priority="290">
      <formula>S$9&lt;8/24</formula>
    </cfRule>
  </conditionalFormatting>
  <conditionalFormatting sqref="T237">
    <cfRule type="expression" dxfId="1205" priority="515">
      <formula>AX$9&gt;=20/24</formula>
    </cfRule>
    <cfRule type="expression" dxfId="1204" priority="517">
      <formula>AND(AX$9&gt;=8/24,AX$9&lt;14/24)</formula>
    </cfRule>
    <cfRule type="expression" dxfId="1203" priority="516">
      <formula>AND(AX$9&gt;=14/24,AX$9&lt;20/24)</formula>
    </cfRule>
    <cfRule type="expression" dxfId="1202" priority="518">
      <formula>AX$9&lt;8/24</formula>
    </cfRule>
  </conditionalFormatting>
  <conditionalFormatting sqref="T48:AB51 S50:S51 M48:S49">
    <cfRule type="expression" dxfId="1201" priority="426">
      <formula>M$9&gt;=20/24</formula>
    </cfRule>
  </conditionalFormatting>
  <conditionalFormatting sqref="T48:AB51 S50:S51">
    <cfRule type="expression" dxfId="1200" priority="425">
      <formula>S48&gt;$AG48</formula>
    </cfRule>
  </conditionalFormatting>
  <conditionalFormatting sqref="T11:AF11 B16:AF16 B9:AF10 B216:AF216 B218:B224 D218:AF224 U237:AF237">
    <cfRule type="expression" dxfId="1199" priority="496">
      <formula>B$9&gt;=20/24</formula>
    </cfRule>
  </conditionalFormatting>
  <conditionalFormatting sqref="V3 AB3">
    <cfRule type="iconSet" priority="501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198" priority="467">
      <formula>AD$9&gt;=20/24</formula>
    </cfRule>
    <cfRule type="expression" dxfId="1197" priority="468">
      <formula>AND(AD$9&gt;=14/24,AD$9&lt;20/24)</formula>
    </cfRule>
    <cfRule type="expression" dxfId="1196" priority="470">
      <formula>AD$9&lt;8/24</formula>
    </cfRule>
    <cfRule type="expression" dxfId="1195" priority="469">
      <formula>AND(AD$9&gt;=8/24,AD$9&lt;14/24)</formula>
    </cfRule>
  </conditionalFormatting>
  <conditionalFormatting sqref="AC48:AF56">
    <cfRule type="expression" dxfId="1194" priority="430">
      <formula>AC48&gt;$AG48</formula>
    </cfRule>
  </conditionalFormatting>
  <conditionalFormatting sqref="AC50:AF56">
    <cfRule type="expression" dxfId="1193" priority="431">
      <formula>AC$9&gt;=20/24</formula>
    </cfRule>
    <cfRule type="expression" dxfId="1192" priority="434">
      <formula>AC$9&lt;8/24</formula>
    </cfRule>
    <cfRule type="expression" dxfId="1191" priority="432">
      <formula>AND(AC$9&gt;=14/24,AC$9&lt;20/24)</formula>
    </cfRule>
    <cfRule type="expression" dxfId="1190" priority="433">
      <formula>AND(AC$9&gt;=8/24,AC$9&lt;14/24)</formula>
    </cfRule>
  </conditionalFormatting>
  <conditionalFormatting sqref="AG237">
    <cfRule type="expression" dxfId="1189" priority="508">
      <formula>AND(B$9&gt;=14/24,B$9&lt;20/24)</formula>
    </cfRule>
    <cfRule type="expression" dxfId="1188" priority="510">
      <formula>B$9&lt;8/24</formula>
    </cfRule>
    <cfRule type="expression" dxfId="1187" priority="509">
      <formula>AND(B$9&gt;=8/24,B$9&lt;14/24)</formula>
    </cfRule>
    <cfRule type="expression" dxfId="1186" priority="507">
      <formula>B$9&gt;=20/24</formula>
    </cfRule>
  </conditionalFormatting>
  <conditionalFormatting sqref="AH237:AX237">
    <cfRule type="expression" dxfId="1185" priority="514">
      <formula>AG$9&lt;8/24</formula>
    </cfRule>
    <cfRule type="expression" dxfId="1184" priority="513">
      <formula>AND(AG$9&gt;=8/24,AG$9&lt;14/24)</formula>
    </cfRule>
    <cfRule type="expression" dxfId="1183" priority="512">
      <formula>AND(AG$9&gt;=14/24,AG$9&lt;20/24)</formula>
    </cfRule>
    <cfRule type="expression" dxfId="1182" priority="511">
      <formula>AG$9&gt;=20/24</formula>
    </cfRule>
  </conditionalFormatting>
  <conditionalFormatting sqref="AK11 AK16">
    <cfRule type="expression" dxfId="1181" priority="217">
      <formula>AK$9&gt;=20/24</formula>
    </cfRule>
    <cfRule type="expression" dxfId="1180" priority="218">
      <formula>AND(AK$9&gt;=14/24,AK$9&lt;20/24)</formula>
    </cfRule>
    <cfRule type="expression" dxfId="1179" priority="219">
      <formula>AND(AK$9&gt;=8/24,AK$9&lt;14/24)</formula>
    </cfRule>
    <cfRule type="expression" dxfId="1178" priority="220">
      <formula>AK$9&lt;8/24</formula>
    </cfRule>
  </conditionalFormatting>
  <conditionalFormatting sqref="AK11:AK16 AK18">
    <cfRule type="expression" dxfId="1177" priority="212">
      <formula>AK11&gt;$AG11</formula>
    </cfRule>
  </conditionalFormatting>
  <conditionalFormatting sqref="AK12:AK15">
    <cfRule type="expression" dxfId="1176" priority="205">
      <formula>AND(AK$9&gt;=8/24,AK$9&lt;14/24)</formula>
    </cfRule>
    <cfRule type="expression" dxfId="1175" priority="203">
      <formula>AK$9&gt;=20/24</formula>
    </cfRule>
    <cfRule type="expression" dxfId="1174" priority="204">
      <formula>AND(AK$9&gt;=14/24,AK$9&lt;20/24)</formula>
    </cfRule>
    <cfRule type="expression" dxfId="1173" priority="206">
      <formula>AK$9&lt;8/24</formula>
    </cfRule>
  </conditionalFormatting>
  <conditionalFormatting sqref="AK17">
    <cfRule type="expression" dxfId="1172" priority="170">
      <formula>AK17&gt;$AG17</formula>
    </cfRule>
    <cfRule type="expression" dxfId="1171" priority="169">
      <formula>AK$9&lt;8/24</formula>
    </cfRule>
    <cfRule type="expression" dxfId="1170" priority="168">
      <formula>AND(AK$9&gt;=8/24,AK$9&lt;14/24)</formula>
    </cfRule>
    <cfRule type="expression" dxfId="1169" priority="167">
      <formula>AND(AK$9&gt;=14/24,AK$9&lt;20/24)</formula>
    </cfRule>
    <cfRule type="expression" dxfId="1168" priority="166">
      <formula>AK$9&gt;=20/24</formula>
    </cfRule>
  </conditionalFormatting>
  <conditionalFormatting sqref="AK18:AK24">
    <cfRule type="expression" dxfId="1167" priority="175">
      <formula>AK$9&lt;8/24</formula>
    </cfRule>
    <cfRule type="expression" dxfId="1166" priority="174">
      <formula>AND(AK$9&gt;=8/24,AK$9&lt;14/24)</formula>
    </cfRule>
    <cfRule type="expression" dxfId="1165" priority="173">
      <formula>AND(AK$9&gt;=14/24,AK$9&lt;20/24)</formula>
    </cfRule>
    <cfRule type="expression" dxfId="1164" priority="172">
      <formula>AK$9&gt;=20/24</formula>
    </cfRule>
  </conditionalFormatting>
  <conditionalFormatting sqref="AK19:AK24">
    <cfRule type="expression" dxfId="1163" priority="171">
      <formula>AK19&gt;$AG19</formula>
    </cfRule>
  </conditionalFormatting>
  <conditionalFormatting sqref="AK25:AK27 AK29">
    <cfRule type="expression" dxfId="1162" priority="195">
      <formula>AND(AK$9&gt;=14/24,AK$9&lt;20/24)</formula>
    </cfRule>
    <cfRule type="expression" dxfId="1161" priority="194">
      <formula>AK$9&gt;=20/24</formula>
    </cfRule>
    <cfRule type="expression" dxfId="1160" priority="196">
      <formula>AND(AK$9&gt;=8/24,AK$9&lt;14/24)</formula>
    </cfRule>
    <cfRule type="expression" dxfId="1159" priority="197">
      <formula>AK$9&lt;8/24</formula>
    </cfRule>
  </conditionalFormatting>
  <conditionalFormatting sqref="AK25:AK29 AK37:AK40">
    <cfRule type="expression" dxfId="1158" priority="189">
      <formula>AK25&gt;$AG25</formula>
    </cfRule>
  </conditionalFormatting>
  <conditionalFormatting sqref="AK28">
    <cfRule type="expression" dxfId="1157" priority="176">
      <formula>AK$9&gt;=20/24</formula>
    </cfRule>
    <cfRule type="expression" dxfId="1156" priority="177">
      <formula>AND(AK$9&gt;=14/24,AK$9&lt;20/24)</formula>
    </cfRule>
    <cfRule type="expression" dxfId="1155" priority="178">
      <formula>AND(AK$9&gt;=8/24,AK$9&lt;14/24)</formula>
    </cfRule>
    <cfRule type="expression" dxfId="1154" priority="179">
      <formula>AK$9&lt;8/24</formula>
    </cfRule>
  </conditionalFormatting>
  <conditionalFormatting sqref="AK30:AK36">
    <cfRule type="expression" dxfId="1153" priority="161">
      <formula>AK30&gt;$AG30</formula>
    </cfRule>
  </conditionalFormatting>
  <conditionalFormatting sqref="AK30:AK37">
    <cfRule type="expression" dxfId="1152" priority="165">
      <formula>AK$9&lt;8/24</formula>
    </cfRule>
    <cfRule type="expression" dxfId="1151" priority="164">
      <formula>AND(AK$9&gt;=8/24,AK$9&lt;14/24)</formula>
    </cfRule>
    <cfRule type="expression" dxfId="1150" priority="163">
      <formula>AND(AK$9&gt;=14/24,AK$9&lt;20/24)</formula>
    </cfRule>
    <cfRule type="expression" dxfId="1149" priority="162">
      <formula>AK$9&gt;=20/24</formula>
    </cfRule>
  </conditionalFormatting>
  <conditionalFormatting sqref="AK38:AK39">
    <cfRule type="expression" dxfId="1148" priority="211">
      <formula>AK$9&lt;8/24</formula>
    </cfRule>
    <cfRule type="expression" dxfId="1147" priority="210">
      <formula>AND(AK$9&gt;=8/24,AK$9&lt;14/24)</formula>
    </cfRule>
    <cfRule type="expression" dxfId="1146" priority="209">
      <formula>AND(AK$9&gt;=14/24,AK$9&lt;20/24)</formula>
    </cfRule>
    <cfRule type="expression" dxfId="1145" priority="208">
      <formula>AK$9&gt;=20/24</formula>
    </cfRule>
  </conditionalFormatting>
  <conditionalFormatting sqref="AK41:AK47">
    <cfRule type="expression" dxfId="1144" priority="141">
      <formula>AK$9&lt;8/24</formula>
    </cfRule>
    <cfRule type="expression" dxfId="1143" priority="140">
      <formula>AND(AK$9&gt;=8/24,AK$9&lt;14/24)</formula>
    </cfRule>
    <cfRule type="expression" dxfId="1142" priority="139">
      <formula>AND(AK$9&gt;=14/24,AK$9&lt;20/24)</formula>
    </cfRule>
    <cfRule type="expression" dxfId="1141" priority="138">
      <formula>AK$9&gt;=20/24</formula>
    </cfRule>
  </conditionalFormatting>
  <conditionalFormatting sqref="AK41:AK58">
    <cfRule type="expression" dxfId="1140" priority="128">
      <formula>AK41&gt;$AG41</formula>
    </cfRule>
  </conditionalFormatting>
  <conditionalFormatting sqref="AK50:AK56">
    <cfRule type="expression" dxfId="1139" priority="133">
      <formula>AND(AK$9&gt;=14/24,AK$9&lt;20/24)</formula>
    </cfRule>
    <cfRule type="expression" dxfId="1138" priority="135">
      <formula>AK$9&lt;8/24</formula>
    </cfRule>
    <cfRule type="expression" dxfId="1137" priority="132">
      <formula>AK$9&gt;=20/24</formula>
    </cfRule>
    <cfRule type="expression" dxfId="1136" priority="134">
      <formula>AND(AK$9&gt;=8/24,AK$9&lt;14/24)</formula>
    </cfRule>
  </conditionalFormatting>
  <conditionalFormatting sqref="AK62">
    <cfRule type="expression" dxfId="1135" priority="124">
      <formula>AK$9&gt;=20/24</formula>
    </cfRule>
    <cfRule type="expression" dxfId="1134" priority="126">
      <formula>AND(AK$9&gt;=8/24,AK$9&lt;14/24)</formula>
    </cfRule>
    <cfRule type="expression" dxfId="1133" priority="123">
      <formula>AK62&gt;$AG62</formula>
    </cfRule>
    <cfRule type="expression" dxfId="1132" priority="127">
      <formula>AK$9&lt;8/24</formula>
    </cfRule>
    <cfRule type="expression" dxfId="1131" priority="125">
      <formula>AND(AK$9&gt;=14/24,AK$9&lt;20/24)</formula>
    </cfRule>
  </conditionalFormatting>
  <conditionalFormatting sqref="AL4:AL6">
    <cfRule type="iconSet" priority="495">
      <iconSet iconSet="3TrafficLights2" reverse="1">
        <cfvo type="percent" val="0"/>
        <cfvo type="num" val="1"/>
        <cfvo type="num" val="1"/>
      </iconSet>
    </cfRule>
  </conditionalFormatting>
  <conditionalFormatting sqref="AL17">
    <cfRule type="iconSet" priority="285">
      <iconSet iconSet="3TrafficLights2" reverse="1">
        <cfvo type="percent" val="0"/>
        <cfvo type="num" val="1"/>
        <cfvo type="num" val="1"/>
      </iconSet>
    </cfRule>
  </conditionalFormatting>
  <conditionalFormatting sqref="AL30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316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487">
      <iconSet iconSet="3TrafficLights2" reverse="1">
        <cfvo type="percent" val="0"/>
        <cfvo type="num" val="1"/>
        <cfvo type="num" val="1"/>
      </iconSet>
    </cfRule>
  </conditionalFormatting>
  <conditionalFormatting sqref="AL36">
    <cfRule type="iconSet" priority="475">
      <iconSet iconSet="3TrafficLights2" reverse="1">
        <cfvo type="percent" val="0"/>
        <cfvo type="num" val="1"/>
        <cfvo type="num" val="1"/>
      </iconSet>
    </cfRule>
  </conditionalFormatting>
  <conditionalFormatting sqref="AL37 AL34 AL18:AL29 AL7:AL16 AL31:AL32">
    <cfRule type="iconSet" priority="519">
      <iconSet iconSet="3TrafficLights2" reverse="1">
        <cfvo type="percent" val="0"/>
        <cfvo type="num" val="1"/>
        <cfvo type="num" val="1"/>
      </iconSet>
    </cfRule>
  </conditionalFormatting>
  <conditionalFormatting sqref="AM11 AM16">
    <cfRule type="expression" dxfId="1130" priority="110">
      <formula>AND(AM$9&gt;=14/24,AM$9&lt;20/24)</formula>
    </cfRule>
    <cfRule type="expression" dxfId="1129" priority="109">
      <formula>AM$9&gt;=20/24</formula>
    </cfRule>
    <cfRule type="expression" dxfId="1128" priority="112">
      <formula>AM$9&lt;8/24</formula>
    </cfRule>
    <cfRule type="expression" dxfId="1127" priority="111">
      <formula>AND(AM$9&gt;=8/24,AM$9&lt;14/24)</formula>
    </cfRule>
  </conditionalFormatting>
  <conditionalFormatting sqref="AM11:AM16">
    <cfRule type="expression" dxfId="1126" priority="108">
      <formula>AM11&gt;$AG11</formula>
    </cfRule>
  </conditionalFormatting>
  <conditionalFormatting sqref="AM40:AM62">
    <cfRule type="expression" dxfId="1125" priority="117">
      <formula>AM40&gt;$AG40</formula>
    </cfRule>
  </conditionalFormatting>
  <conditionalFormatting sqref="AM41:AM62">
    <cfRule type="expression" dxfId="1124" priority="121">
      <formula>AM$9&lt;8/24</formula>
    </cfRule>
    <cfRule type="expression" dxfId="1123" priority="120">
      <formula>AND(AM$9&gt;=8/24,AM$9&lt;14/24)</formula>
    </cfRule>
    <cfRule type="expression" dxfId="1122" priority="119">
      <formula>AND(AM$9&gt;=14/24,AM$9&lt;20/24)</formula>
    </cfRule>
    <cfRule type="expression" dxfId="1121" priority="118">
      <formula>AM$9&gt;=20/24</formula>
    </cfRule>
  </conditionalFormatting>
  <conditionalFormatting sqref="AM12:AN15">
    <cfRule type="expression" dxfId="1120" priority="44">
      <formula>AND(AM$9&gt;=14/24,AM$9&lt;20/24)</formula>
    </cfRule>
    <cfRule type="expression" dxfId="1119" priority="45">
      <formula>AND(AM$9&gt;=8/24,AM$9&lt;14/24)</formula>
    </cfRule>
    <cfRule type="expression" dxfId="1118" priority="46">
      <formula>AM$9&lt;8/24</formula>
    </cfRule>
    <cfRule type="expression" dxfId="1117" priority="43">
      <formula>AM$9&gt;=20/24</formula>
    </cfRule>
  </conditionalFormatting>
  <conditionalFormatting sqref="AM17:AN17">
    <cfRule type="expression" dxfId="1116" priority="6">
      <formula>AM$9&gt;=20/24</formula>
    </cfRule>
    <cfRule type="expression" dxfId="1115" priority="9">
      <formula>AM$9&lt;8/24</formula>
    </cfRule>
    <cfRule type="expression" dxfId="1114" priority="10">
      <formula>AM17&gt;$AG17</formula>
    </cfRule>
    <cfRule type="expression" dxfId="1113" priority="7">
      <formula>AND(AM$9&gt;=14/24,AM$9&lt;20/24)</formula>
    </cfRule>
    <cfRule type="expression" dxfId="1112" priority="8">
      <formula>AND(AM$9&gt;=8/24,AM$9&lt;14/24)</formula>
    </cfRule>
  </conditionalFormatting>
  <conditionalFormatting sqref="AM18:AN24">
    <cfRule type="expression" dxfId="1111" priority="12">
      <formula>AM$9&gt;=20/24</formula>
    </cfRule>
    <cfRule type="expression" dxfId="1110" priority="13">
      <formula>AND(AM$9&gt;=14/24,AM$9&lt;20/24)</formula>
    </cfRule>
    <cfRule type="expression" dxfId="1109" priority="15">
      <formula>AM$9&lt;8/24</formula>
    </cfRule>
    <cfRule type="expression" dxfId="1108" priority="14">
      <formula>AND(AM$9&gt;=8/24,AM$9&lt;14/24)</formula>
    </cfRule>
  </conditionalFormatting>
  <conditionalFormatting sqref="AM19:AN24">
    <cfRule type="expression" dxfId="1107" priority="11">
      <formula>AM19&gt;$AG19</formula>
    </cfRule>
  </conditionalFormatting>
  <conditionalFormatting sqref="AM25:AN27 AM29:AN29">
    <cfRule type="expression" dxfId="1106" priority="34">
      <formula>AM$9&gt;=20/24</formula>
    </cfRule>
    <cfRule type="expression" dxfId="1105" priority="35">
      <formula>AND(AM$9&gt;=14/24,AM$9&lt;20/24)</formula>
    </cfRule>
    <cfRule type="expression" dxfId="1104" priority="36">
      <formula>AND(AM$9&gt;=8/24,AM$9&lt;14/24)</formula>
    </cfRule>
    <cfRule type="expression" dxfId="1103" priority="37">
      <formula>AM$9&lt;8/24</formula>
    </cfRule>
  </conditionalFormatting>
  <conditionalFormatting sqref="AM25:AN29">
    <cfRule type="expression" dxfId="1102" priority="29">
      <formula>AM25&gt;$AG25</formula>
    </cfRule>
  </conditionalFormatting>
  <conditionalFormatting sqref="AM28:AN28">
    <cfRule type="expression" dxfId="1101" priority="16">
      <formula>AM$9&gt;=20/24</formula>
    </cfRule>
    <cfRule type="expression" dxfId="1100" priority="19">
      <formula>AM$9&lt;8/24</formula>
    </cfRule>
    <cfRule type="expression" dxfId="1099" priority="18">
      <formula>AND(AM$9&gt;=8/24,AM$9&lt;14/24)</formula>
    </cfRule>
    <cfRule type="expression" dxfId="1098" priority="17">
      <formula>AND(AM$9&gt;=14/24,AM$9&lt;20/24)</formula>
    </cfRule>
  </conditionalFormatting>
  <conditionalFormatting sqref="AM30:AN36">
    <cfRule type="expression" dxfId="1097" priority="1">
      <formula>AM30&gt;$AG30</formula>
    </cfRule>
  </conditionalFormatting>
  <conditionalFormatting sqref="AM30:AN37">
    <cfRule type="expression" dxfId="1096" priority="2">
      <formula>AM$9&gt;=20/24</formula>
    </cfRule>
    <cfRule type="expression" dxfId="1095" priority="5">
      <formula>AM$9&lt;8/24</formula>
    </cfRule>
    <cfRule type="expression" dxfId="1094" priority="4">
      <formula>AND(AM$9&gt;=8/24,AM$9&lt;14/24)</formula>
    </cfRule>
    <cfRule type="expression" dxfId="1093" priority="3">
      <formula>AND(AM$9&gt;=14/24,AM$9&lt;20/24)</formula>
    </cfRule>
  </conditionalFormatting>
  <conditionalFormatting sqref="AM37:AN38">
    <cfRule type="expression" dxfId="1092" priority="47">
      <formula>AM37&gt;$AG37</formula>
    </cfRule>
  </conditionalFormatting>
  <conditionalFormatting sqref="AM38:AN38">
    <cfRule type="expression" dxfId="1091" priority="51">
      <formula>AM$9&lt;8/24</formula>
    </cfRule>
    <cfRule type="expression" dxfId="1090" priority="49">
      <formula>AND(AM$9&gt;=14/24,AM$9&lt;20/24)</formula>
    </cfRule>
    <cfRule type="expression" dxfId="1089" priority="50">
      <formula>AND(AM$9&gt;=8/24,AM$9&lt;14/24)</formula>
    </cfRule>
    <cfRule type="expression" dxfId="1088" priority="48">
      <formula>AM$9&gt;=20/24</formula>
    </cfRule>
  </conditionalFormatting>
  <conditionalFormatting sqref="AN12:AN16 AM18:AN18">
    <cfRule type="expression" dxfId="1087" priority="52">
      <formula>AM12&gt;$AG12</formula>
    </cfRule>
  </conditionalFormatting>
  <conditionalFormatting sqref="AN16">
    <cfRule type="expression" dxfId="1086" priority="53">
      <formula>AN$9&gt;=20/24</formula>
    </cfRule>
    <cfRule type="expression" dxfId="1085" priority="54">
      <formula>AND(AN$9&gt;=14/24,AN$9&lt;20/24)</formula>
    </cfRule>
    <cfRule type="expression" dxfId="1084" priority="55">
      <formula>AND(AN$9&gt;=8/24,AN$9&lt;14/24)</formula>
    </cfRule>
    <cfRule type="expression" dxfId="1083" priority="56">
      <formula>AN$9&lt;8/24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14" id="{684921A3-ED73-4C92-889E-886262344DF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13" id="{F06C3E5A-AC83-42AE-883D-7B6BD029E1CD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12" id="{E2DE8A05-EB66-4DA9-AA61-D6C6B296F84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15" id="{2179CFB9-030D-4B49-8132-280EE3973C9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225" id="{3F8FE14D-1F1E-4331-94D3-9A2AF7C1A13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28" id="{28C993FC-476F-4ED9-A080-8ABE5D08EE60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227" id="{A214CBFC-BAC1-4CFA-B42B-5F758716297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26" id="{D79B4FCC-8C77-4737-A606-72536F2F543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m:sqref>B109:AF109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J270"/>
  <sheetViews>
    <sheetView zoomScale="90" zoomScaleNormal="90" workbookViewId="0">
      <pane xSplit="1" ySplit="10" topLeftCell="B26" activePane="bottomRight" state="frozen"/>
      <selection activeCell="AF88" sqref="AF88"/>
      <selection pane="topRight" activeCell="AF88" sqref="AF88"/>
      <selection pane="bottomLeft" activeCell="AF88" sqref="AF88"/>
      <selection pane="bottomRight" activeCell="AJ7" sqref="AJ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24.5703125" style="1" bestFit="1" customWidth="1"/>
    <col min="37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2079/06/9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1114MW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Load=980</v>
      </c>
      <c r="B7" s="35">
        <f t="shared" ref="B7:AF7" si="1">B81</f>
        <v>1049.8399999999999</v>
      </c>
      <c r="C7" s="35">
        <f t="shared" si="1"/>
        <v>1047.74</v>
      </c>
      <c r="D7" s="35">
        <f t="shared" si="1"/>
        <v>1026.2400000000002</v>
      </c>
      <c r="E7" s="35">
        <f t="shared" si="1"/>
        <v>1009.3400000000001</v>
      </c>
      <c r="F7" s="35">
        <f t="shared" si="1"/>
        <v>1015.7400000000001</v>
      </c>
      <c r="G7" s="35">
        <f t="shared" si="1"/>
        <v>1024.44</v>
      </c>
      <c r="H7" s="35">
        <f t="shared" si="1"/>
        <v>1054.3400000000001</v>
      </c>
      <c r="I7" s="35">
        <f t="shared" si="1"/>
        <v>1067.1400000000001</v>
      </c>
      <c r="J7" s="35">
        <f t="shared" si="1"/>
        <v>1066.2400000000002</v>
      </c>
      <c r="K7" s="35">
        <f t="shared" si="1"/>
        <v>1097.1400000000001</v>
      </c>
      <c r="L7" s="35">
        <f t="shared" si="1"/>
        <v>1096.04</v>
      </c>
      <c r="M7" s="35">
        <f t="shared" si="1"/>
        <v>1113.94</v>
      </c>
      <c r="N7" s="35">
        <f t="shared" si="1"/>
        <v>1093.8400000000001</v>
      </c>
      <c r="O7" s="35">
        <f t="shared" si="1"/>
        <v>1079.44</v>
      </c>
      <c r="P7" s="35">
        <f t="shared" si="1"/>
        <v>1022.34</v>
      </c>
      <c r="Q7" s="35">
        <f t="shared" si="1"/>
        <v>1017.34</v>
      </c>
      <c r="R7" s="35">
        <f t="shared" si="1"/>
        <v>979.54</v>
      </c>
      <c r="S7" s="35">
        <f t="shared" si="1"/>
        <v>983.6400000000001</v>
      </c>
      <c r="T7" s="35">
        <f t="shared" si="1"/>
        <v>995.94</v>
      </c>
      <c r="U7" s="35">
        <f t="shared" si="1"/>
        <v>1006.04</v>
      </c>
      <c r="V7" s="35">
        <f t="shared" si="1"/>
        <v>1055.1399999999999</v>
      </c>
      <c r="W7" s="35">
        <f t="shared" si="1"/>
        <v>1120.2399999999998</v>
      </c>
      <c r="X7" s="35">
        <f t="shared" si="1"/>
        <v>1335.54</v>
      </c>
      <c r="Y7" s="35">
        <f t="shared" si="1"/>
        <v>1344.04</v>
      </c>
      <c r="Z7" s="35">
        <f t="shared" si="1"/>
        <v>1333.24</v>
      </c>
      <c r="AA7" s="35">
        <f t="shared" si="1"/>
        <v>1288.44</v>
      </c>
      <c r="AB7" s="35">
        <f t="shared" si="1"/>
        <v>1266.74</v>
      </c>
      <c r="AC7" s="35">
        <f t="shared" si="1"/>
        <v>1222.74</v>
      </c>
      <c r="AD7" s="35">
        <f t="shared" si="1"/>
        <v>1190.1399999999999</v>
      </c>
      <c r="AE7" s="35">
        <f t="shared" si="1"/>
        <v>1131.44</v>
      </c>
      <c r="AF7" s="35">
        <f t="shared" si="1"/>
        <v>1080.44</v>
      </c>
      <c r="AG7" s="36"/>
      <c r="AI7" s="37"/>
      <c r="AJ7" s="10">
        <f>1425*24-(B7+C7+D7+E7+F7+G7+I7+K7+M7+N7+O7+P7+Q7+R7+S7+T7+U7+V7+X7+Z7+AB7+AD7+AE7+AF7)</f>
        <v>8177.6399999999994</v>
      </c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J8" s="10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52.7</v>
      </c>
      <c r="C11" s="45">
        <v>52.7</v>
      </c>
      <c r="D11" s="45">
        <v>52.7</v>
      </c>
      <c r="E11" s="45">
        <v>52.7</v>
      </c>
      <c r="F11" s="45">
        <v>52.7</v>
      </c>
      <c r="G11" s="45">
        <v>52.7</v>
      </c>
      <c r="H11" s="45">
        <v>52.7</v>
      </c>
      <c r="I11" s="45">
        <v>52.7</v>
      </c>
      <c r="J11" s="45">
        <v>52.7</v>
      </c>
      <c r="K11" s="45">
        <v>52.7</v>
      </c>
      <c r="L11" s="45">
        <v>52.7</v>
      </c>
      <c r="M11" s="45">
        <v>52.8</v>
      </c>
      <c r="N11" s="45">
        <v>52.8</v>
      </c>
      <c r="O11" s="45">
        <v>52.8</v>
      </c>
      <c r="P11" s="45">
        <v>52.8</v>
      </c>
      <c r="Q11" s="45">
        <v>52.8</v>
      </c>
      <c r="R11" s="45">
        <v>52.8</v>
      </c>
      <c r="S11" s="45">
        <v>52.7</v>
      </c>
      <c r="T11" s="46">
        <v>52.6</v>
      </c>
      <c r="U11" s="46">
        <v>52.6</v>
      </c>
      <c r="V11" s="46">
        <v>52.6</v>
      </c>
      <c r="W11" s="46">
        <v>52.6</v>
      </c>
      <c r="X11" s="46">
        <v>52.7</v>
      </c>
      <c r="Y11" s="46">
        <v>52.7</v>
      </c>
      <c r="Z11" s="46">
        <v>52.7</v>
      </c>
      <c r="AA11" s="46">
        <v>52.7</v>
      </c>
      <c r="AB11" s="46">
        <v>52.7</v>
      </c>
      <c r="AC11" s="46">
        <v>52.7</v>
      </c>
      <c r="AD11" s="46">
        <v>52.7</v>
      </c>
      <c r="AE11" s="46">
        <v>52.7</v>
      </c>
      <c r="AF11" s="46">
        <v>52.8</v>
      </c>
      <c r="AG11" s="47">
        <v>52.4</v>
      </c>
      <c r="AH11" s="48">
        <f>MAX(B11:AF11)</f>
        <v>52.8</v>
      </c>
      <c r="AI11" s="49">
        <f>MIN(B11:AF11)</f>
        <v>52.6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50.2</v>
      </c>
      <c r="C12" s="45">
        <v>50.2</v>
      </c>
      <c r="D12" s="45">
        <v>50.2</v>
      </c>
      <c r="E12" s="45">
        <v>50.2</v>
      </c>
      <c r="F12" s="45">
        <v>50.2</v>
      </c>
      <c r="G12" s="45">
        <v>50.2</v>
      </c>
      <c r="H12" s="45">
        <v>50.2</v>
      </c>
      <c r="I12" s="45">
        <v>50.2</v>
      </c>
      <c r="J12" s="45">
        <v>50.2</v>
      </c>
      <c r="K12" s="45">
        <v>50.2</v>
      </c>
      <c r="L12" s="45">
        <v>50.2</v>
      </c>
      <c r="M12" s="45">
        <v>50.4</v>
      </c>
      <c r="N12" s="45">
        <v>50.4</v>
      </c>
      <c r="O12" s="45">
        <v>50.4</v>
      </c>
      <c r="P12" s="45">
        <v>50.4</v>
      </c>
      <c r="Q12" s="45">
        <v>50.4</v>
      </c>
      <c r="R12" s="45">
        <v>50.4</v>
      </c>
      <c r="S12" s="45">
        <v>50.4</v>
      </c>
      <c r="T12" s="45">
        <v>50.4</v>
      </c>
      <c r="U12" s="45">
        <v>50.4</v>
      </c>
      <c r="V12" s="45">
        <v>50.2</v>
      </c>
      <c r="W12" s="45">
        <v>50.2</v>
      </c>
      <c r="X12" s="45">
        <v>50.7</v>
      </c>
      <c r="Y12" s="45">
        <v>50.7</v>
      </c>
      <c r="Z12" s="45">
        <v>50.7</v>
      </c>
      <c r="AA12" s="45">
        <v>50.7</v>
      </c>
      <c r="AB12" s="45">
        <v>50.7</v>
      </c>
      <c r="AC12" s="45">
        <v>50.7</v>
      </c>
      <c r="AD12" s="45">
        <v>50.7</v>
      </c>
      <c r="AE12" s="45">
        <v>50.7</v>
      </c>
      <c r="AF12" s="45">
        <v>50.7</v>
      </c>
      <c r="AG12" s="51">
        <v>50</v>
      </c>
      <c r="AH12" s="48">
        <f t="shared" ref="AH12:AH75" si="2">MAX(B12:AF12)</f>
        <v>50.7</v>
      </c>
      <c r="AI12" s="49">
        <f t="shared" ref="AI12:AI75" si="3">MIN(B12:AF12)</f>
        <v>50.2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28.8</v>
      </c>
      <c r="C13" s="45">
        <v>28.8</v>
      </c>
      <c r="D13" s="45">
        <v>28.8</v>
      </c>
      <c r="E13" s="45">
        <v>28.8</v>
      </c>
      <c r="F13" s="45">
        <v>28.8</v>
      </c>
      <c r="G13" s="45">
        <v>28.8</v>
      </c>
      <c r="H13" s="45">
        <v>28.8</v>
      </c>
      <c r="I13" s="45">
        <v>28.8</v>
      </c>
      <c r="J13" s="45">
        <v>28.8</v>
      </c>
      <c r="K13" s="45">
        <v>41.4</v>
      </c>
      <c r="L13" s="45">
        <v>41.4</v>
      </c>
      <c r="M13" s="45">
        <v>41.4</v>
      </c>
      <c r="N13" s="45">
        <v>41.4</v>
      </c>
      <c r="O13" s="45">
        <v>36</v>
      </c>
      <c r="P13" s="45">
        <v>36</v>
      </c>
      <c r="Q13" s="45">
        <v>36</v>
      </c>
      <c r="R13" s="45">
        <v>36</v>
      </c>
      <c r="S13" s="45">
        <v>36.9</v>
      </c>
      <c r="T13" s="45">
        <v>36.9</v>
      </c>
      <c r="U13" s="45">
        <v>36.9</v>
      </c>
      <c r="V13" s="45">
        <v>36.9</v>
      </c>
      <c r="W13" s="45">
        <v>36.9</v>
      </c>
      <c r="X13" s="45">
        <v>45.6</v>
      </c>
      <c r="Y13" s="45">
        <v>45.6</v>
      </c>
      <c r="Z13" s="45">
        <v>45.6</v>
      </c>
      <c r="AA13" s="45">
        <v>45.6</v>
      </c>
      <c r="AB13" s="45">
        <v>45.6</v>
      </c>
      <c r="AC13" s="45">
        <v>45.6</v>
      </c>
      <c r="AD13" s="45">
        <v>45.6</v>
      </c>
      <c r="AE13" s="45">
        <v>36.799999999999997</v>
      </c>
      <c r="AF13" s="45">
        <v>36.799999999999997</v>
      </c>
      <c r="AG13" s="51">
        <v>45</v>
      </c>
      <c r="AH13" s="48">
        <f t="shared" si="2"/>
        <v>45.6</v>
      </c>
      <c r="AI13" s="49">
        <f t="shared" si="3"/>
        <v>28.8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15.5</v>
      </c>
      <c r="C14" s="45">
        <v>15.5</v>
      </c>
      <c r="D14" s="45">
        <v>15.5</v>
      </c>
      <c r="E14" s="45">
        <v>15.5</v>
      </c>
      <c r="F14" s="45">
        <v>15.5</v>
      </c>
      <c r="G14" s="45">
        <v>15.5</v>
      </c>
      <c r="H14" s="45">
        <v>15.5</v>
      </c>
      <c r="I14" s="45">
        <v>15.5</v>
      </c>
      <c r="J14" s="45">
        <v>15.5</v>
      </c>
      <c r="K14" s="45">
        <v>15.5</v>
      </c>
      <c r="L14" s="45">
        <v>15.5</v>
      </c>
      <c r="M14" s="45">
        <v>15.5</v>
      </c>
      <c r="N14" s="45">
        <v>15.5</v>
      </c>
      <c r="O14" s="45">
        <v>15.5</v>
      </c>
      <c r="P14" s="45">
        <v>10.9</v>
      </c>
      <c r="Q14" s="45">
        <v>10.9</v>
      </c>
      <c r="R14" s="45">
        <v>10.9</v>
      </c>
      <c r="S14" s="45">
        <v>10.4</v>
      </c>
      <c r="T14" s="45">
        <v>10.4</v>
      </c>
      <c r="U14" s="45">
        <v>10.4</v>
      </c>
      <c r="V14" s="45">
        <v>10.5</v>
      </c>
      <c r="W14" s="45">
        <v>10.5</v>
      </c>
      <c r="X14" s="45">
        <v>28</v>
      </c>
      <c r="Y14" s="45">
        <v>40.5</v>
      </c>
      <c r="Z14" s="45">
        <v>40.5</v>
      </c>
      <c r="AA14" s="45">
        <v>32.5</v>
      </c>
      <c r="AB14" s="45">
        <v>32</v>
      </c>
      <c r="AC14" s="45">
        <v>20</v>
      </c>
      <c r="AD14" s="45">
        <v>20</v>
      </c>
      <c r="AE14" s="45">
        <v>15</v>
      </c>
      <c r="AF14" s="45">
        <v>15</v>
      </c>
      <c r="AG14" s="51">
        <v>42</v>
      </c>
      <c r="AH14" s="48">
        <f t="shared" si="2"/>
        <v>40.5</v>
      </c>
      <c r="AI14" s="49">
        <f t="shared" si="3"/>
        <v>10.4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20.6</v>
      </c>
      <c r="Y15" s="45">
        <v>22.3</v>
      </c>
      <c r="Z15" s="45">
        <v>21.6</v>
      </c>
      <c r="AA15" s="45">
        <v>10.8</v>
      </c>
      <c r="AB15" s="45">
        <v>10.8</v>
      </c>
      <c r="AC15" s="45">
        <v>0</v>
      </c>
      <c r="AD15" s="45">
        <v>0</v>
      </c>
      <c r="AE15" s="45">
        <v>0</v>
      </c>
      <c r="AF15" s="45">
        <v>0</v>
      </c>
      <c r="AG15" s="52">
        <v>30</v>
      </c>
      <c r="AH15" s="48">
        <f t="shared" si="2"/>
        <v>22.3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14.8</v>
      </c>
      <c r="C16" s="45">
        <v>14.8</v>
      </c>
      <c r="D16" s="45">
        <v>14.8</v>
      </c>
      <c r="E16" s="45">
        <v>14.8</v>
      </c>
      <c r="F16" s="45">
        <v>14.8</v>
      </c>
      <c r="G16" s="45">
        <v>14.8</v>
      </c>
      <c r="H16" s="45">
        <v>14.8</v>
      </c>
      <c r="I16" s="45">
        <v>14.8</v>
      </c>
      <c r="J16" s="45">
        <v>14.8</v>
      </c>
      <c r="K16" s="45">
        <v>14.8</v>
      </c>
      <c r="L16" s="45">
        <v>14.8</v>
      </c>
      <c r="M16" s="45">
        <v>14.8</v>
      </c>
      <c r="N16" s="45">
        <v>14.8</v>
      </c>
      <c r="O16" s="45">
        <v>14.8</v>
      </c>
      <c r="P16" s="45">
        <v>14.8</v>
      </c>
      <c r="Q16" s="45">
        <v>14.8</v>
      </c>
      <c r="R16" s="45">
        <v>14.8</v>
      </c>
      <c r="S16" s="45">
        <v>15.5</v>
      </c>
      <c r="T16" s="45">
        <v>15.5</v>
      </c>
      <c r="U16" s="45">
        <v>15.5</v>
      </c>
      <c r="V16" s="45">
        <v>15.5</v>
      </c>
      <c r="W16" s="45">
        <v>15.5</v>
      </c>
      <c r="X16" s="45">
        <v>15.5</v>
      </c>
      <c r="Y16" s="45">
        <v>15.5</v>
      </c>
      <c r="Z16" s="45">
        <v>15.5</v>
      </c>
      <c r="AA16" s="45">
        <v>15.5</v>
      </c>
      <c r="AB16" s="45">
        <v>15.5</v>
      </c>
      <c r="AC16" s="45">
        <v>15.5</v>
      </c>
      <c r="AD16" s="45">
        <v>15.5</v>
      </c>
      <c r="AE16" s="45">
        <v>15.5</v>
      </c>
      <c r="AF16" s="45">
        <v>15.5</v>
      </c>
      <c r="AG16" s="51">
        <v>24.2</v>
      </c>
      <c r="AH16" s="48">
        <f t="shared" si="2"/>
        <v>15.5</v>
      </c>
      <c r="AI16" s="49">
        <f t="shared" si="3"/>
        <v>14.8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27</v>
      </c>
      <c r="Y17" s="45">
        <v>20</v>
      </c>
      <c r="Z17" s="45">
        <v>20</v>
      </c>
      <c r="AA17" s="45">
        <v>10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52">
        <v>30</v>
      </c>
      <c r="AH17" s="48">
        <f t="shared" si="2"/>
        <v>27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16.2</v>
      </c>
      <c r="C18" s="45">
        <v>16.2</v>
      </c>
      <c r="D18" s="45">
        <v>12.3</v>
      </c>
      <c r="E18" s="45">
        <v>12.3</v>
      </c>
      <c r="F18" s="45">
        <v>12.3</v>
      </c>
      <c r="G18" s="45">
        <v>12.3</v>
      </c>
      <c r="H18" s="45">
        <v>12.3</v>
      </c>
      <c r="I18" s="45">
        <v>12.3</v>
      </c>
      <c r="J18" s="45">
        <v>12.3</v>
      </c>
      <c r="K18" s="45">
        <v>12.3</v>
      </c>
      <c r="L18" s="45">
        <v>12.3</v>
      </c>
      <c r="M18" s="45">
        <v>12.3</v>
      </c>
      <c r="N18" s="45">
        <v>12.3</v>
      </c>
      <c r="O18" s="45">
        <v>12.3</v>
      </c>
      <c r="P18" s="45">
        <v>10.3</v>
      </c>
      <c r="Q18" s="45">
        <v>10.3</v>
      </c>
      <c r="R18" s="45">
        <v>12</v>
      </c>
      <c r="S18" s="45">
        <v>10.6</v>
      </c>
      <c r="T18" s="45">
        <v>10.6</v>
      </c>
      <c r="U18" s="45">
        <v>10.6</v>
      </c>
      <c r="V18" s="45">
        <v>10.6</v>
      </c>
      <c r="W18" s="45">
        <v>10.6</v>
      </c>
      <c r="X18" s="45">
        <v>25.2</v>
      </c>
      <c r="Y18" s="45">
        <v>25.2</v>
      </c>
      <c r="Z18" s="45">
        <v>25.2</v>
      </c>
      <c r="AA18" s="45">
        <v>25.2</v>
      </c>
      <c r="AB18" s="45">
        <v>25.2</v>
      </c>
      <c r="AC18" s="45">
        <v>25.2</v>
      </c>
      <c r="AD18" s="45">
        <v>18.3</v>
      </c>
      <c r="AE18" s="45">
        <v>18.3</v>
      </c>
      <c r="AF18" s="45">
        <v>18.3</v>
      </c>
      <c r="AG18" s="51">
        <v>25</v>
      </c>
      <c r="AH18" s="48">
        <f t="shared" si="2"/>
        <v>25.2</v>
      </c>
      <c r="AI18" s="49">
        <f t="shared" si="3"/>
        <v>10.3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25</v>
      </c>
      <c r="C19" s="45">
        <v>25</v>
      </c>
      <c r="D19" s="45">
        <v>25</v>
      </c>
      <c r="E19" s="45">
        <v>25</v>
      </c>
      <c r="F19" s="45">
        <v>25</v>
      </c>
      <c r="G19" s="45">
        <v>25</v>
      </c>
      <c r="H19" s="45">
        <v>25</v>
      </c>
      <c r="I19" s="45">
        <v>25</v>
      </c>
      <c r="J19" s="45">
        <v>25</v>
      </c>
      <c r="K19" s="45">
        <v>25</v>
      </c>
      <c r="L19" s="45">
        <v>25</v>
      </c>
      <c r="M19" s="45">
        <v>25</v>
      </c>
      <c r="N19" s="45">
        <v>25</v>
      </c>
      <c r="O19" s="45">
        <v>25</v>
      </c>
      <c r="P19" s="45">
        <v>18</v>
      </c>
      <c r="Q19" s="45">
        <v>18</v>
      </c>
      <c r="R19" s="45">
        <v>18</v>
      </c>
      <c r="S19" s="45">
        <v>18</v>
      </c>
      <c r="T19" s="45">
        <v>18</v>
      </c>
      <c r="U19" s="45">
        <v>18</v>
      </c>
      <c r="V19" s="45">
        <v>25</v>
      </c>
      <c r="W19" s="45">
        <v>25</v>
      </c>
      <c r="X19" s="45">
        <v>25</v>
      </c>
      <c r="Y19" s="45">
        <v>25</v>
      </c>
      <c r="Z19" s="45">
        <v>25</v>
      </c>
      <c r="AA19" s="45">
        <v>25</v>
      </c>
      <c r="AB19" s="45">
        <v>25</v>
      </c>
      <c r="AC19" s="45">
        <v>25</v>
      </c>
      <c r="AD19" s="45">
        <v>25</v>
      </c>
      <c r="AE19" s="45">
        <v>25</v>
      </c>
      <c r="AF19" s="45">
        <v>25</v>
      </c>
      <c r="AG19" s="51">
        <v>25</v>
      </c>
      <c r="AH19" s="48">
        <f t="shared" si="2"/>
        <v>25</v>
      </c>
      <c r="AI19" s="49">
        <f t="shared" si="3"/>
        <v>18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15</v>
      </c>
      <c r="C20" s="45">
        <v>15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25</v>
      </c>
      <c r="Y20" s="45">
        <v>25</v>
      </c>
      <c r="Z20" s="45">
        <v>25</v>
      </c>
      <c r="AA20" s="45">
        <v>25</v>
      </c>
      <c r="AB20" s="45">
        <v>25</v>
      </c>
      <c r="AC20" s="45">
        <v>15</v>
      </c>
      <c r="AD20" s="45">
        <v>15</v>
      </c>
      <c r="AE20" s="45">
        <v>15</v>
      </c>
      <c r="AF20" s="45">
        <v>15</v>
      </c>
      <c r="AG20" s="51">
        <v>25</v>
      </c>
      <c r="AH20" s="48">
        <f t="shared" si="2"/>
        <v>25</v>
      </c>
      <c r="AI20" s="49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23.1</v>
      </c>
      <c r="C21" s="45">
        <v>23.1</v>
      </c>
      <c r="D21" s="45">
        <v>23.1</v>
      </c>
      <c r="E21" s="45">
        <v>23.1</v>
      </c>
      <c r="F21" s="45">
        <v>23.1</v>
      </c>
      <c r="G21" s="45">
        <v>23.1</v>
      </c>
      <c r="H21" s="45">
        <v>23.1</v>
      </c>
      <c r="I21" s="45">
        <v>23.1</v>
      </c>
      <c r="J21" s="45">
        <v>23.1</v>
      </c>
      <c r="K21" s="45">
        <v>23.1</v>
      </c>
      <c r="L21" s="45">
        <v>23.1</v>
      </c>
      <c r="M21" s="45">
        <v>23</v>
      </c>
      <c r="N21" s="45">
        <v>23</v>
      </c>
      <c r="O21" s="45">
        <v>23</v>
      </c>
      <c r="P21" s="45">
        <v>23</v>
      </c>
      <c r="Q21" s="45">
        <v>18</v>
      </c>
      <c r="R21" s="45">
        <v>18</v>
      </c>
      <c r="S21" s="45">
        <v>23</v>
      </c>
      <c r="T21" s="45">
        <v>23</v>
      </c>
      <c r="U21" s="45">
        <v>23</v>
      </c>
      <c r="V21" s="45">
        <v>23</v>
      </c>
      <c r="W21" s="45">
        <v>23</v>
      </c>
      <c r="X21" s="45">
        <v>22.7</v>
      </c>
      <c r="Y21" s="45">
        <v>22.7</v>
      </c>
      <c r="Z21" s="45">
        <v>22.7</v>
      </c>
      <c r="AA21" s="45">
        <v>22.7</v>
      </c>
      <c r="AB21" s="45">
        <v>22.7</v>
      </c>
      <c r="AC21" s="45">
        <v>22.7</v>
      </c>
      <c r="AD21" s="45">
        <v>22.7</v>
      </c>
      <c r="AE21" s="45">
        <v>22.7</v>
      </c>
      <c r="AF21" s="45">
        <v>22.7</v>
      </c>
      <c r="AG21" s="51">
        <v>23.5</v>
      </c>
      <c r="AH21" s="48">
        <f t="shared" si="2"/>
        <v>23.1</v>
      </c>
      <c r="AI21" s="49">
        <f t="shared" si="3"/>
        <v>18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12</v>
      </c>
      <c r="C22" s="45">
        <v>12</v>
      </c>
      <c r="D22" s="45">
        <v>8</v>
      </c>
      <c r="E22" s="45">
        <v>8</v>
      </c>
      <c r="F22" s="45">
        <v>8</v>
      </c>
      <c r="G22" s="45">
        <v>8</v>
      </c>
      <c r="H22" s="45">
        <v>8</v>
      </c>
      <c r="I22" s="45">
        <v>8</v>
      </c>
      <c r="J22" s="45">
        <v>8</v>
      </c>
      <c r="K22" s="45">
        <v>8</v>
      </c>
      <c r="L22" s="45">
        <v>8</v>
      </c>
      <c r="M22" s="45">
        <v>8</v>
      </c>
      <c r="N22" s="45">
        <v>8</v>
      </c>
      <c r="O22" s="45">
        <v>8</v>
      </c>
      <c r="P22" s="45">
        <v>8</v>
      </c>
      <c r="Q22" s="45">
        <v>8</v>
      </c>
      <c r="R22" s="45">
        <v>8</v>
      </c>
      <c r="S22" s="45">
        <v>8</v>
      </c>
      <c r="T22" s="45">
        <v>8</v>
      </c>
      <c r="U22" s="45">
        <v>8</v>
      </c>
      <c r="V22" s="45">
        <v>8</v>
      </c>
      <c r="W22" s="45">
        <v>8</v>
      </c>
      <c r="X22" s="45">
        <v>16</v>
      </c>
      <c r="Y22" s="45">
        <v>16</v>
      </c>
      <c r="Z22" s="45">
        <v>16</v>
      </c>
      <c r="AA22" s="45">
        <v>16</v>
      </c>
      <c r="AB22" s="45">
        <v>16</v>
      </c>
      <c r="AC22" s="45">
        <v>16</v>
      </c>
      <c r="AD22" s="45">
        <v>16</v>
      </c>
      <c r="AE22" s="45">
        <v>16</v>
      </c>
      <c r="AF22" s="45">
        <v>16</v>
      </c>
      <c r="AG22" s="51">
        <v>22.2</v>
      </c>
      <c r="AH22" s="48">
        <f t="shared" si="2"/>
        <v>16</v>
      </c>
      <c r="AI22" s="49">
        <f t="shared" si="3"/>
        <v>8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22</v>
      </c>
      <c r="C23" s="45">
        <v>22</v>
      </c>
      <c r="D23" s="45">
        <v>22</v>
      </c>
      <c r="E23" s="45">
        <v>22</v>
      </c>
      <c r="F23" s="45">
        <v>22</v>
      </c>
      <c r="G23" s="45">
        <v>22</v>
      </c>
      <c r="H23" s="45">
        <v>22</v>
      </c>
      <c r="I23" s="45">
        <v>22</v>
      </c>
      <c r="J23" s="45">
        <v>22</v>
      </c>
      <c r="K23" s="45">
        <v>22</v>
      </c>
      <c r="L23" s="45">
        <v>22</v>
      </c>
      <c r="M23" s="45">
        <v>22</v>
      </c>
      <c r="N23" s="45">
        <v>22</v>
      </c>
      <c r="O23" s="45">
        <v>22</v>
      </c>
      <c r="P23" s="45">
        <v>15</v>
      </c>
      <c r="Q23" s="45">
        <v>15</v>
      </c>
      <c r="R23" s="45">
        <v>15</v>
      </c>
      <c r="S23" s="45">
        <v>15</v>
      </c>
      <c r="T23" s="45">
        <v>15</v>
      </c>
      <c r="U23" s="45">
        <v>15</v>
      </c>
      <c r="V23" s="45">
        <v>15</v>
      </c>
      <c r="W23" s="45">
        <v>15</v>
      </c>
      <c r="X23" s="45">
        <v>22</v>
      </c>
      <c r="Y23" s="45">
        <v>22</v>
      </c>
      <c r="Z23" s="45">
        <v>22</v>
      </c>
      <c r="AA23" s="45">
        <v>22</v>
      </c>
      <c r="AB23" s="45">
        <v>22</v>
      </c>
      <c r="AC23" s="45">
        <v>22</v>
      </c>
      <c r="AD23" s="45">
        <v>22</v>
      </c>
      <c r="AE23" s="45">
        <v>22</v>
      </c>
      <c r="AF23" s="45">
        <v>22</v>
      </c>
      <c r="AG23" s="51">
        <v>22.1</v>
      </c>
      <c r="AH23" s="48">
        <f t="shared" si="2"/>
        <v>22</v>
      </c>
      <c r="AI23" s="49">
        <f t="shared" si="3"/>
        <v>15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22</v>
      </c>
      <c r="C24" s="45">
        <v>22</v>
      </c>
      <c r="D24" s="45">
        <v>22</v>
      </c>
      <c r="E24" s="45">
        <v>22</v>
      </c>
      <c r="F24" s="45">
        <v>22</v>
      </c>
      <c r="G24" s="45">
        <v>22</v>
      </c>
      <c r="H24" s="45">
        <v>22</v>
      </c>
      <c r="I24" s="45">
        <v>22</v>
      </c>
      <c r="J24" s="45">
        <v>22</v>
      </c>
      <c r="K24" s="45">
        <v>22</v>
      </c>
      <c r="L24" s="45">
        <v>22</v>
      </c>
      <c r="M24" s="45">
        <v>22</v>
      </c>
      <c r="N24" s="45">
        <v>22</v>
      </c>
      <c r="O24" s="45">
        <v>22</v>
      </c>
      <c r="P24" s="45">
        <v>22</v>
      </c>
      <c r="Q24" s="45">
        <v>22</v>
      </c>
      <c r="R24" s="45">
        <v>22</v>
      </c>
      <c r="S24" s="45">
        <v>20</v>
      </c>
      <c r="T24" s="45">
        <v>20</v>
      </c>
      <c r="U24" s="45">
        <v>20</v>
      </c>
      <c r="V24" s="45">
        <v>20</v>
      </c>
      <c r="W24" s="45">
        <v>20</v>
      </c>
      <c r="X24" s="45">
        <v>22</v>
      </c>
      <c r="Y24" s="45">
        <v>22</v>
      </c>
      <c r="Z24" s="45">
        <v>22</v>
      </c>
      <c r="AA24" s="45">
        <v>22</v>
      </c>
      <c r="AB24" s="45">
        <v>22</v>
      </c>
      <c r="AC24" s="45">
        <v>22</v>
      </c>
      <c r="AD24" s="45">
        <v>22</v>
      </c>
      <c r="AE24" s="45">
        <v>22</v>
      </c>
      <c r="AF24" s="45">
        <v>22</v>
      </c>
      <c r="AG24" s="51">
        <v>22</v>
      </c>
      <c r="AH24" s="48">
        <f t="shared" si="2"/>
        <v>22</v>
      </c>
      <c r="AI24" s="49">
        <f t="shared" si="3"/>
        <v>20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15</v>
      </c>
      <c r="C25" s="45">
        <v>15</v>
      </c>
      <c r="D25" s="45">
        <v>10</v>
      </c>
      <c r="E25" s="45">
        <v>10</v>
      </c>
      <c r="F25" s="45">
        <v>10</v>
      </c>
      <c r="G25" s="45">
        <v>10</v>
      </c>
      <c r="H25" s="45">
        <v>10</v>
      </c>
      <c r="I25" s="45">
        <v>10</v>
      </c>
      <c r="J25" s="45">
        <v>10</v>
      </c>
      <c r="K25" s="45">
        <v>20</v>
      </c>
      <c r="L25" s="45">
        <v>20</v>
      </c>
      <c r="M25" s="45">
        <v>20</v>
      </c>
      <c r="N25" s="45">
        <v>20</v>
      </c>
      <c r="O25" s="45">
        <v>20</v>
      </c>
      <c r="P25" s="45">
        <v>20</v>
      </c>
      <c r="Q25" s="45">
        <v>20</v>
      </c>
      <c r="R25" s="45">
        <v>20</v>
      </c>
      <c r="S25" s="45">
        <v>20</v>
      </c>
      <c r="T25" s="45">
        <v>20</v>
      </c>
      <c r="U25" s="45">
        <v>20</v>
      </c>
      <c r="V25" s="45">
        <v>20</v>
      </c>
      <c r="W25" s="45">
        <v>20</v>
      </c>
      <c r="X25" s="45">
        <v>20</v>
      </c>
      <c r="Y25" s="45">
        <v>20</v>
      </c>
      <c r="Z25" s="45">
        <v>20</v>
      </c>
      <c r="AA25" s="45">
        <v>20</v>
      </c>
      <c r="AB25" s="45">
        <v>20</v>
      </c>
      <c r="AC25" s="45">
        <v>20</v>
      </c>
      <c r="AD25" s="45">
        <v>20</v>
      </c>
      <c r="AE25" s="45">
        <v>20</v>
      </c>
      <c r="AF25" s="45">
        <v>20</v>
      </c>
      <c r="AG25" s="51">
        <v>22</v>
      </c>
      <c r="AH25" s="48">
        <f t="shared" si="2"/>
        <v>20</v>
      </c>
      <c r="AI25" s="49">
        <f t="shared" si="3"/>
        <v>10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10</v>
      </c>
      <c r="Y26" s="45">
        <v>10</v>
      </c>
      <c r="Z26" s="45">
        <v>10</v>
      </c>
      <c r="AA26" s="45">
        <v>10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>
        <v>14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14.9</v>
      </c>
      <c r="AH27" s="48">
        <f t="shared" si="2"/>
        <v>14</v>
      </c>
      <c r="AI27" s="49">
        <f t="shared" si="3"/>
        <v>14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51">
        <v>13.6</v>
      </c>
      <c r="AH28" s="48">
        <f t="shared" si="2"/>
        <v>6</v>
      </c>
      <c r="AI28" s="49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3</v>
      </c>
      <c r="C29" s="45">
        <v>3</v>
      </c>
      <c r="D29" s="45">
        <v>3</v>
      </c>
      <c r="E29" s="45">
        <v>3</v>
      </c>
      <c r="F29" s="45">
        <v>3</v>
      </c>
      <c r="G29" s="45">
        <v>3</v>
      </c>
      <c r="H29" s="45">
        <v>3</v>
      </c>
      <c r="I29" s="45">
        <v>3</v>
      </c>
      <c r="J29" s="45">
        <v>3</v>
      </c>
      <c r="K29" s="45">
        <v>3</v>
      </c>
      <c r="L29" s="45">
        <v>3</v>
      </c>
      <c r="M29" s="45">
        <v>3</v>
      </c>
      <c r="N29" s="45">
        <v>3</v>
      </c>
      <c r="O29" s="45">
        <v>3</v>
      </c>
      <c r="P29" s="45">
        <v>3</v>
      </c>
      <c r="Q29" s="45">
        <v>3</v>
      </c>
      <c r="R29" s="45">
        <v>3</v>
      </c>
      <c r="S29" s="45">
        <v>3</v>
      </c>
      <c r="T29" s="45">
        <v>3</v>
      </c>
      <c r="U29" s="45">
        <v>3</v>
      </c>
      <c r="V29" s="45">
        <v>3</v>
      </c>
      <c r="W29" s="45">
        <v>3</v>
      </c>
      <c r="X29" s="45">
        <v>10</v>
      </c>
      <c r="Y29" s="45">
        <v>12</v>
      </c>
      <c r="Z29" s="45">
        <v>12</v>
      </c>
      <c r="AA29" s="45">
        <v>12</v>
      </c>
      <c r="AB29" s="45">
        <v>12</v>
      </c>
      <c r="AC29" s="45">
        <v>12</v>
      </c>
      <c r="AD29" s="45">
        <v>12</v>
      </c>
      <c r="AE29" s="45">
        <v>12</v>
      </c>
      <c r="AF29" s="45">
        <v>12</v>
      </c>
      <c r="AG29" s="51">
        <v>13</v>
      </c>
      <c r="AH29" s="48">
        <f t="shared" si="2"/>
        <v>12</v>
      </c>
      <c r="AI29" s="49">
        <f t="shared" si="3"/>
        <v>3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12</v>
      </c>
      <c r="Y30" s="45">
        <v>6</v>
      </c>
      <c r="Z30" s="45">
        <v>6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51">
        <v>12</v>
      </c>
      <c r="AH30" s="48">
        <f t="shared" si="2"/>
        <v>12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4</v>
      </c>
      <c r="C31" s="45">
        <v>4</v>
      </c>
      <c r="D31" s="45">
        <v>4</v>
      </c>
      <c r="E31" s="45">
        <v>4</v>
      </c>
      <c r="F31" s="45">
        <v>4</v>
      </c>
      <c r="G31" s="45">
        <v>4</v>
      </c>
      <c r="H31" s="45">
        <v>4</v>
      </c>
      <c r="I31" s="45">
        <v>4</v>
      </c>
      <c r="J31" s="45">
        <v>4</v>
      </c>
      <c r="K31" s="45">
        <v>4</v>
      </c>
      <c r="L31" s="45">
        <v>4</v>
      </c>
      <c r="M31" s="45">
        <v>4</v>
      </c>
      <c r="N31" s="45">
        <v>4</v>
      </c>
      <c r="O31" s="45">
        <v>4</v>
      </c>
      <c r="P31" s="45">
        <v>4</v>
      </c>
      <c r="Q31" s="45">
        <v>4</v>
      </c>
      <c r="R31" s="45">
        <v>4</v>
      </c>
      <c r="S31" s="45">
        <v>4</v>
      </c>
      <c r="T31" s="45">
        <v>4</v>
      </c>
      <c r="U31" s="45">
        <v>4</v>
      </c>
      <c r="V31" s="45">
        <v>4</v>
      </c>
      <c r="W31" s="45">
        <v>4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0</v>
      </c>
      <c r="AD31" s="45">
        <v>0</v>
      </c>
      <c r="AE31" s="45">
        <v>0</v>
      </c>
      <c r="AF31" s="45">
        <v>0</v>
      </c>
      <c r="AG31" s="51">
        <v>12</v>
      </c>
      <c r="AH31" s="48">
        <f t="shared" si="2"/>
        <v>12</v>
      </c>
      <c r="AI31" s="49">
        <f t="shared" si="3"/>
        <v>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</v>
      </c>
      <c r="C32" s="45">
        <v>2</v>
      </c>
      <c r="D32" s="45">
        <v>2</v>
      </c>
      <c r="E32" s="45">
        <v>2</v>
      </c>
      <c r="F32" s="45">
        <v>2</v>
      </c>
      <c r="G32" s="45">
        <v>2</v>
      </c>
      <c r="H32" s="45">
        <v>2</v>
      </c>
      <c r="I32" s="45">
        <v>2</v>
      </c>
      <c r="J32" s="45">
        <v>2</v>
      </c>
      <c r="K32" s="45">
        <v>2</v>
      </c>
      <c r="L32" s="45">
        <v>2</v>
      </c>
      <c r="M32" s="45">
        <v>2</v>
      </c>
      <c r="N32" s="45">
        <v>2</v>
      </c>
      <c r="O32" s="45">
        <v>2</v>
      </c>
      <c r="P32" s="45">
        <v>2</v>
      </c>
      <c r="Q32" s="45">
        <v>2</v>
      </c>
      <c r="R32" s="45">
        <v>2</v>
      </c>
      <c r="S32" s="45">
        <v>2</v>
      </c>
      <c r="T32" s="45">
        <v>2</v>
      </c>
      <c r="U32" s="45">
        <v>2</v>
      </c>
      <c r="V32" s="45">
        <v>2</v>
      </c>
      <c r="W32" s="45">
        <v>2</v>
      </c>
      <c r="X32" s="45">
        <v>2</v>
      </c>
      <c r="Y32" s="45">
        <v>2</v>
      </c>
      <c r="Z32" s="45">
        <v>2</v>
      </c>
      <c r="AA32" s="45">
        <v>2</v>
      </c>
      <c r="AB32" s="45">
        <v>2</v>
      </c>
      <c r="AC32" s="45">
        <v>2</v>
      </c>
      <c r="AD32" s="45">
        <v>2</v>
      </c>
      <c r="AE32" s="45">
        <v>2</v>
      </c>
      <c r="AF32" s="45">
        <v>2</v>
      </c>
      <c r="AG32" s="51">
        <v>12</v>
      </c>
      <c r="AH32" s="48">
        <f t="shared" si="2"/>
        <v>2</v>
      </c>
      <c r="AI32" s="49">
        <f t="shared" si="3"/>
        <v>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4</v>
      </c>
      <c r="C33" s="45">
        <v>4</v>
      </c>
      <c r="D33" s="45">
        <v>4</v>
      </c>
      <c r="E33" s="45">
        <v>4</v>
      </c>
      <c r="F33" s="45">
        <v>4</v>
      </c>
      <c r="G33" s="45">
        <v>4</v>
      </c>
      <c r="H33" s="45">
        <v>4</v>
      </c>
      <c r="I33" s="45">
        <v>4</v>
      </c>
      <c r="J33" s="45">
        <v>4</v>
      </c>
      <c r="K33" s="45">
        <v>4</v>
      </c>
      <c r="L33" s="45">
        <v>4</v>
      </c>
      <c r="M33" s="45">
        <v>4</v>
      </c>
      <c r="N33" s="45">
        <v>4</v>
      </c>
      <c r="O33" s="45">
        <v>4</v>
      </c>
      <c r="P33" s="45">
        <v>4</v>
      </c>
      <c r="Q33" s="45">
        <v>4</v>
      </c>
      <c r="R33" s="45">
        <v>4</v>
      </c>
      <c r="S33" s="45">
        <v>4</v>
      </c>
      <c r="T33" s="45">
        <v>4</v>
      </c>
      <c r="U33" s="45">
        <v>4</v>
      </c>
      <c r="V33" s="45">
        <v>4</v>
      </c>
      <c r="W33" s="45">
        <v>4</v>
      </c>
      <c r="X33" s="45">
        <v>4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3">
        <v>22</v>
      </c>
      <c r="AH33" s="48">
        <f t="shared" si="2"/>
        <v>8</v>
      </c>
      <c r="AI33" s="49">
        <f t="shared" si="3"/>
        <v>4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3</v>
      </c>
      <c r="C34" s="45">
        <v>3</v>
      </c>
      <c r="D34" s="45">
        <v>3</v>
      </c>
      <c r="E34" s="45">
        <v>3</v>
      </c>
      <c r="F34" s="45">
        <v>3</v>
      </c>
      <c r="G34" s="45">
        <v>3</v>
      </c>
      <c r="H34" s="45">
        <v>3</v>
      </c>
      <c r="I34" s="45">
        <v>3</v>
      </c>
      <c r="J34" s="45">
        <v>3</v>
      </c>
      <c r="K34" s="45">
        <v>3</v>
      </c>
      <c r="L34" s="45">
        <v>3</v>
      </c>
      <c r="M34" s="45">
        <v>3</v>
      </c>
      <c r="N34" s="45">
        <v>3</v>
      </c>
      <c r="O34" s="45">
        <v>3</v>
      </c>
      <c r="P34" s="45">
        <v>3</v>
      </c>
      <c r="Q34" s="45">
        <v>3</v>
      </c>
      <c r="R34" s="45">
        <v>3</v>
      </c>
      <c r="S34" s="45">
        <v>3</v>
      </c>
      <c r="T34" s="45">
        <v>3</v>
      </c>
      <c r="U34" s="45">
        <v>3</v>
      </c>
      <c r="V34" s="45">
        <v>3</v>
      </c>
      <c r="W34" s="45">
        <v>3</v>
      </c>
      <c r="X34" s="45">
        <v>10</v>
      </c>
      <c r="Y34" s="45">
        <v>11</v>
      </c>
      <c r="Z34" s="45">
        <v>11</v>
      </c>
      <c r="AA34" s="45">
        <v>11</v>
      </c>
      <c r="AB34" s="45">
        <v>11</v>
      </c>
      <c r="AC34" s="45">
        <v>11</v>
      </c>
      <c r="AD34" s="45">
        <v>7</v>
      </c>
      <c r="AE34" s="45">
        <v>7</v>
      </c>
      <c r="AF34" s="45">
        <v>7</v>
      </c>
      <c r="AG34" s="52">
        <v>11.88</v>
      </c>
      <c r="AH34" s="48">
        <f t="shared" si="2"/>
        <v>11</v>
      </c>
      <c r="AI34" s="49">
        <f t="shared" si="3"/>
        <v>3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5</v>
      </c>
      <c r="C35" s="45">
        <v>5</v>
      </c>
      <c r="D35" s="45">
        <v>5</v>
      </c>
      <c r="E35" s="45">
        <v>5</v>
      </c>
      <c r="F35" s="45">
        <v>5</v>
      </c>
      <c r="G35" s="45">
        <v>5</v>
      </c>
      <c r="H35" s="45">
        <v>5</v>
      </c>
      <c r="I35" s="45">
        <v>5</v>
      </c>
      <c r="J35" s="45">
        <v>5</v>
      </c>
      <c r="K35" s="45">
        <v>5</v>
      </c>
      <c r="L35" s="45">
        <v>5</v>
      </c>
      <c r="M35" s="45">
        <v>5</v>
      </c>
      <c r="N35" s="45">
        <v>5</v>
      </c>
      <c r="O35" s="45">
        <v>5</v>
      </c>
      <c r="P35" s="45">
        <v>5</v>
      </c>
      <c r="Q35" s="45">
        <v>5</v>
      </c>
      <c r="R35" s="45">
        <v>5</v>
      </c>
      <c r="S35" s="45">
        <v>5</v>
      </c>
      <c r="T35" s="45">
        <v>5</v>
      </c>
      <c r="U35" s="45">
        <v>5</v>
      </c>
      <c r="V35" s="45">
        <v>5</v>
      </c>
      <c r="W35" s="45">
        <v>5</v>
      </c>
      <c r="X35" s="45">
        <v>11</v>
      </c>
      <c r="Y35" s="45">
        <v>11</v>
      </c>
      <c r="Z35" s="45">
        <v>11</v>
      </c>
      <c r="AA35" s="45">
        <v>11</v>
      </c>
      <c r="AB35" s="45">
        <v>11</v>
      </c>
      <c r="AC35" s="45">
        <v>11</v>
      </c>
      <c r="AD35" s="45">
        <v>11</v>
      </c>
      <c r="AE35" s="45">
        <v>7</v>
      </c>
      <c r="AF35" s="45">
        <v>7</v>
      </c>
      <c r="AG35" s="55">
        <v>11</v>
      </c>
      <c r="AH35" s="48">
        <f t="shared" si="2"/>
        <v>11</v>
      </c>
      <c r="AI35" s="49">
        <f t="shared" si="3"/>
        <v>5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5</v>
      </c>
      <c r="C36" s="45">
        <v>5</v>
      </c>
      <c r="D36" s="45">
        <v>5</v>
      </c>
      <c r="E36" s="45">
        <v>5</v>
      </c>
      <c r="F36" s="45">
        <v>5</v>
      </c>
      <c r="G36" s="45">
        <v>5</v>
      </c>
      <c r="H36" s="45">
        <v>5</v>
      </c>
      <c r="I36" s="45">
        <v>5</v>
      </c>
      <c r="J36" s="45">
        <v>5</v>
      </c>
      <c r="K36" s="45">
        <v>5</v>
      </c>
      <c r="L36" s="45">
        <v>5</v>
      </c>
      <c r="M36" s="45">
        <v>5</v>
      </c>
      <c r="N36" s="45">
        <v>5</v>
      </c>
      <c r="O36" s="45">
        <v>5</v>
      </c>
      <c r="P36" s="45">
        <v>5</v>
      </c>
      <c r="Q36" s="45">
        <v>5</v>
      </c>
      <c r="R36" s="45">
        <v>5</v>
      </c>
      <c r="S36" s="45">
        <v>5</v>
      </c>
      <c r="T36" s="45">
        <v>5</v>
      </c>
      <c r="U36" s="45">
        <v>5</v>
      </c>
      <c r="V36" s="45">
        <v>5</v>
      </c>
      <c r="W36" s="45">
        <v>5</v>
      </c>
      <c r="X36" s="45">
        <v>9</v>
      </c>
      <c r="Y36" s="45">
        <v>9</v>
      </c>
      <c r="Z36" s="45">
        <v>9</v>
      </c>
      <c r="AA36" s="45">
        <v>9</v>
      </c>
      <c r="AB36" s="45">
        <v>9</v>
      </c>
      <c r="AC36" s="45">
        <v>9</v>
      </c>
      <c r="AD36" s="45">
        <v>9</v>
      </c>
      <c r="AE36" s="45">
        <v>6</v>
      </c>
      <c r="AF36" s="45">
        <v>6</v>
      </c>
      <c r="AG36" s="55">
        <v>10</v>
      </c>
      <c r="AH36" s="48">
        <f t="shared" si="2"/>
        <v>9</v>
      </c>
      <c r="AI36" s="49">
        <f t="shared" si="3"/>
        <v>5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2</v>
      </c>
      <c r="N37" s="45">
        <v>2</v>
      </c>
      <c r="O37" s="45">
        <v>2</v>
      </c>
      <c r="P37" s="45">
        <v>2</v>
      </c>
      <c r="Q37" s="45">
        <v>2</v>
      </c>
      <c r="R37" s="45">
        <v>2</v>
      </c>
      <c r="S37" s="45">
        <v>2</v>
      </c>
      <c r="T37" s="45">
        <v>2</v>
      </c>
      <c r="U37" s="45">
        <v>2</v>
      </c>
      <c r="V37" s="45">
        <v>2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2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270</v>
      </c>
      <c r="C38" s="57">
        <v>270</v>
      </c>
      <c r="D38" s="57">
        <v>270</v>
      </c>
      <c r="E38" s="57">
        <v>270</v>
      </c>
      <c r="F38" s="57">
        <v>270</v>
      </c>
      <c r="G38" s="57">
        <v>270</v>
      </c>
      <c r="H38" s="57">
        <v>270</v>
      </c>
      <c r="I38" s="57">
        <v>270</v>
      </c>
      <c r="J38" s="57">
        <v>270</v>
      </c>
      <c r="K38" s="57">
        <v>270</v>
      </c>
      <c r="L38" s="57">
        <v>270</v>
      </c>
      <c r="M38" s="57">
        <v>270</v>
      </c>
      <c r="N38" s="57">
        <v>270</v>
      </c>
      <c r="O38" s="57">
        <v>270</v>
      </c>
      <c r="P38" s="57">
        <v>270</v>
      </c>
      <c r="Q38" s="57">
        <v>270</v>
      </c>
      <c r="R38" s="57">
        <v>270</v>
      </c>
      <c r="S38" s="57">
        <v>270</v>
      </c>
      <c r="T38" s="57">
        <v>270</v>
      </c>
      <c r="U38" s="57">
        <v>270</v>
      </c>
      <c r="V38" s="57">
        <v>270</v>
      </c>
      <c r="W38" s="57">
        <v>270</v>
      </c>
      <c r="X38" s="57">
        <v>300</v>
      </c>
      <c r="Y38" s="57">
        <v>300</v>
      </c>
      <c r="Z38" s="57">
        <v>290</v>
      </c>
      <c r="AA38" s="57">
        <v>280</v>
      </c>
      <c r="AB38" s="57">
        <v>280</v>
      </c>
      <c r="AC38" s="57">
        <v>280</v>
      </c>
      <c r="AD38" s="57">
        <v>280</v>
      </c>
      <c r="AE38" s="57">
        <v>280</v>
      </c>
      <c r="AF38" s="57">
        <v>280</v>
      </c>
      <c r="AG38" s="55">
        <v>85</v>
      </c>
      <c r="AH38" s="48">
        <f t="shared" si="2"/>
        <v>300</v>
      </c>
      <c r="AI38" s="49">
        <f t="shared" si="3"/>
        <v>270</v>
      </c>
      <c r="AK38" s="50"/>
    </row>
    <row r="39" spans="1:88" ht="15.75" thickBot="1" x14ac:dyDescent="0.3">
      <c r="A39" s="58" t="s">
        <v>47</v>
      </c>
      <c r="B39" s="59">
        <f>71.6+97.4</f>
        <v>169</v>
      </c>
      <c r="C39" s="59">
        <f>71.8+97.2</f>
        <v>169</v>
      </c>
      <c r="D39" s="59">
        <f>70.9+97.4</f>
        <v>168.3</v>
      </c>
      <c r="E39" s="59">
        <f>71.9+97.1</f>
        <v>169</v>
      </c>
      <c r="F39" s="59">
        <f>96.1+71.7</f>
        <v>167.8</v>
      </c>
      <c r="G39" s="59">
        <v>170</v>
      </c>
      <c r="H39" s="59">
        <f>95+73</f>
        <v>168</v>
      </c>
      <c r="I39" s="59">
        <f>95.3+73.1</f>
        <v>168.39999999999998</v>
      </c>
      <c r="J39" s="59">
        <v>169</v>
      </c>
      <c r="K39" s="59">
        <f>89.1+72</f>
        <v>161.1</v>
      </c>
      <c r="L39" s="57">
        <f>87.1+70.9</f>
        <v>158</v>
      </c>
      <c r="M39" s="57">
        <f>70.9+85.1</f>
        <v>156</v>
      </c>
      <c r="N39" s="57">
        <f>72+87.2</f>
        <v>159.19999999999999</v>
      </c>
      <c r="O39" s="57">
        <f>72+87.2</f>
        <v>159.19999999999999</v>
      </c>
      <c r="P39" s="57">
        <f>72+87.2</f>
        <v>159.19999999999999</v>
      </c>
      <c r="Q39" s="57">
        <f>72+87.2</f>
        <v>159.19999999999999</v>
      </c>
      <c r="R39" s="57">
        <f>64.1+96.5</f>
        <v>160.6</v>
      </c>
      <c r="S39" s="59">
        <v>160.5</v>
      </c>
      <c r="T39" s="59">
        <v>161</v>
      </c>
      <c r="U39" s="59">
        <v>161</v>
      </c>
      <c r="V39" s="59">
        <v>161</v>
      </c>
      <c r="W39" s="59">
        <f>92.3+70.5</f>
        <v>162.80000000000001</v>
      </c>
      <c r="X39" s="59">
        <f>69.9+91.4</f>
        <v>161.30000000000001</v>
      </c>
      <c r="Y39" s="59">
        <f>69.8+92.8</f>
        <v>162.6</v>
      </c>
      <c r="Z39" s="59">
        <f>70.1+93.4</f>
        <v>163.5</v>
      </c>
      <c r="AA39" s="59">
        <f>69+93.1</f>
        <v>162.1</v>
      </c>
      <c r="AB39" s="59">
        <f>68.1+91.3</f>
        <v>159.39999999999998</v>
      </c>
      <c r="AC39" s="59">
        <f>68.3+92.7</f>
        <v>161</v>
      </c>
      <c r="AD39" s="59">
        <v>158</v>
      </c>
      <c r="AE39" s="59">
        <v>162</v>
      </c>
      <c r="AF39" s="59">
        <v>162</v>
      </c>
      <c r="AG39" s="55">
        <v>240</v>
      </c>
      <c r="AH39" s="48">
        <f t="shared" si="2"/>
        <v>170</v>
      </c>
      <c r="AI39" s="49">
        <f t="shared" si="3"/>
        <v>156</v>
      </c>
      <c r="AK39" s="50"/>
    </row>
    <row r="40" spans="1:88" ht="15.75" thickBot="1" x14ac:dyDescent="0.3">
      <c r="A40" s="60" t="s">
        <v>48</v>
      </c>
      <c r="B40" s="61">
        <f t="shared" ref="B40:AG40" si="4">SUM(B11:B38)</f>
        <v>628.29999999999995</v>
      </c>
      <c r="C40" s="61">
        <f t="shared" si="4"/>
        <v>628.29999999999995</v>
      </c>
      <c r="D40" s="61">
        <f t="shared" si="4"/>
        <v>610.40000000000009</v>
      </c>
      <c r="E40" s="61">
        <f t="shared" si="4"/>
        <v>610.40000000000009</v>
      </c>
      <c r="F40" s="61">
        <f t="shared" si="4"/>
        <v>610.40000000000009</v>
      </c>
      <c r="G40" s="61">
        <f t="shared" si="4"/>
        <v>610.40000000000009</v>
      </c>
      <c r="H40" s="61">
        <f t="shared" si="4"/>
        <v>610.40000000000009</v>
      </c>
      <c r="I40" s="61">
        <f t="shared" si="4"/>
        <v>610.40000000000009</v>
      </c>
      <c r="J40" s="61">
        <f t="shared" si="4"/>
        <v>610.40000000000009</v>
      </c>
      <c r="K40" s="61">
        <f t="shared" si="4"/>
        <v>633</v>
      </c>
      <c r="L40" s="61">
        <f t="shared" si="4"/>
        <v>633</v>
      </c>
      <c r="M40" s="61">
        <f t="shared" si="4"/>
        <v>635.20000000000005</v>
      </c>
      <c r="N40" s="61">
        <f t="shared" si="4"/>
        <v>635.20000000000005</v>
      </c>
      <c r="O40" s="61">
        <f t="shared" si="4"/>
        <v>629.79999999999995</v>
      </c>
      <c r="P40" s="61">
        <f t="shared" si="4"/>
        <v>609.20000000000005</v>
      </c>
      <c r="Q40" s="61">
        <f t="shared" si="4"/>
        <v>604.20000000000005</v>
      </c>
      <c r="R40" s="61">
        <f t="shared" si="4"/>
        <v>605.9</v>
      </c>
      <c r="S40" s="61">
        <f t="shared" si="4"/>
        <v>608.5</v>
      </c>
      <c r="T40" s="61">
        <f t="shared" si="4"/>
        <v>608.4</v>
      </c>
      <c r="U40" s="61">
        <f t="shared" si="4"/>
        <v>608.4</v>
      </c>
      <c r="V40" s="61">
        <f t="shared" si="4"/>
        <v>615.29999999999995</v>
      </c>
      <c r="W40" s="61">
        <f t="shared" si="4"/>
        <v>613.29999999999995</v>
      </c>
      <c r="X40" s="61">
        <f t="shared" si="4"/>
        <v>818</v>
      </c>
      <c r="Y40" s="61">
        <f t="shared" si="4"/>
        <v>826.2</v>
      </c>
      <c r="Z40" s="61">
        <f t="shared" si="4"/>
        <v>815.5</v>
      </c>
      <c r="AA40" s="61">
        <f t="shared" si="4"/>
        <v>770.7</v>
      </c>
      <c r="AB40" s="61">
        <f t="shared" si="4"/>
        <v>750.2</v>
      </c>
      <c r="AC40" s="61">
        <f t="shared" si="4"/>
        <v>705.4</v>
      </c>
      <c r="AD40" s="61">
        <f t="shared" si="4"/>
        <v>694.5</v>
      </c>
      <c r="AE40" s="61">
        <f t="shared" si="4"/>
        <v>673.7</v>
      </c>
      <c r="AF40" s="61">
        <f t="shared" si="4"/>
        <v>673.8</v>
      </c>
      <c r="AG40" s="62">
        <f t="shared" si="4"/>
        <v>707.78000000000009</v>
      </c>
      <c r="AH40" s="48">
        <f t="shared" si="2"/>
        <v>826.2</v>
      </c>
      <c r="AI40" s="49">
        <f t="shared" si="3"/>
        <v>604.20000000000005</v>
      </c>
      <c r="AK40" s="50"/>
    </row>
    <row r="41" spans="1:88" x14ac:dyDescent="0.25">
      <c r="A41" s="6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2">
        <v>456</v>
      </c>
      <c r="AH41" s="48">
        <f t="shared" si="2"/>
        <v>0</v>
      </c>
      <c r="AI41" s="49">
        <f t="shared" si="3"/>
        <v>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16.100000000000001</v>
      </c>
      <c r="C43" s="67">
        <v>16.100000000000001</v>
      </c>
      <c r="D43" s="67">
        <v>16.100000000000001</v>
      </c>
      <c r="E43" s="67">
        <v>16.100000000000001</v>
      </c>
      <c r="F43" s="67">
        <v>16.100000000000001</v>
      </c>
      <c r="G43" s="67">
        <v>16.100000000000001</v>
      </c>
      <c r="H43" s="67">
        <v>16.100000000000001</v>
      </c>
      <c r="I43" s="67">
        <v>16.100000000000001</v>
      </c>
      <c r="J43" s="67">
        <v>16.100000000000001</v>
      </c>
      <c r="K43" s="67">
        <v>22</v>
      </c>
      <c r="L43" s="67">
        <v>22</v>
      </c>
      <c r="M43" s="67">
        <v>22.5</v>
      </c>
      <c r="N43" s="67">
        <v>22</v>
      </c>
      <c r="O43" s="67">
        <v>16</v>
      </c>
      <c r="P43" s="67">
        <v>16</v>
      </c>
      <c r="Q43" s="67">
        <v>16</v>
      </c>
      <c r="R43" s="67">
        <v>16</v>
      </c>
      <c r="S43" s="67">
        <v>16.2</v>
      </c>
      <c r="T43" s="67">
        <v>16.2</v>
      </c>
      <c r="U43" s="67">
        <v>16.2</v>
      </c>
      <c r="V43" s="67">
        <v>16.2</v>
      </c>
      <c r="W43" s="67">
        <v>22</v>
      </c>
      <c r="X43" s="67">
        <v>22</v>
      </c>
      <c r="Y43" s="67">
        <v>22.5</v>
      </c>
      <c r="Z43" s="67">
        <v>22.4</v>
      </c>
      <c r="AA43" s="67">
        <v>22.4</v>
      </c>
      <c r="AB43" s="67">
        <v>22.5</v>
      </c>
      <c r="AC43" s="67">
        <v>22.5</v>
      </c>
      <c r="AD43" s="67">
        <v>22</v>
      </c>
      <c r="AE43" s="67">
        <v>22</v>
      </c>
      <c r="AF43" s="67">
        <v>22</v>
      </c>
      <c r="AG43" s="68">
        <v>22.1</v>
      </c>
      <c r="AH43" s="48">
        <f t="shared" si="2"/>
        <v>22.5</v>
      </c>
      <c r="AI43" s="49">
        <f t="shared" si="3"/>
        <v>16</v>
      </c>
      <c r="AK43" s="50"/>
    </row>
    <row r="44" spans="1:88" ht="15.75" thickBot="1" x14ac:dyDescent="0.3">
      <c r="A44" s="69" t="s">
        <v>52</v>
      </c>
      <c r="B44" s="61">
        <f t="shared" ref="B44:AG44" si="5">SUM(B41:B43)</f>
        <v>76.099999999999994</v>
      </c>
      <c r="C44" s="61">
        <f t="shared" si="5"/>
        <v>76.099999999999994</v>
      </c>
      <c r="D44" s="61">
        <f t="shared" si="5"/>
        <v>76.099999999999994</v>
      </c>
      <c r="E44" s="61">
        <f t="shared" si="5"/>
        <v>76.099999999999994</v>
      </c>
      <c r="F44" s="61">
        <f t="shared" si="5"/>
        <v>76.099999999999994</v>
      </c>
      <c r="G44" s="61">
        <f t="shared" si="5"/>
        <v>76.099999999999994</v>
      </c>
      <c r="H44" s="61">
        <f t="shared" si="5"/>
        <v>76.099999999999994</v>
      </c>
      <c r="I44" s="61">
        <f t="shared" si="5"/>
        <v>76.099999999999994</v>
      </c>
      <c r="J44" s="61">
        <f t="shared" si="5"/>
        <v>76.099999999999994</v>
      </c>
      <c r="K44" s="61">
        <f t="shared" si="5"/>
        <v>82</v>
      </c>
      <c r="L44" s="61">
        <f t="shared" si="5"/>
        <v>82</v>
      </c>
      <c r="M44" s="61">
        <f t="shared" si="5"/>
        <v>82.5</v>
      </c>
      <c r="N44" s="61">
        <f t="shared" si="5"/>
        <v>82</v>
      </c>
      <c r="O44" s="61">
        <f t="shared" si="5"/>
        <v>76</v>
      </c>
      <c r="P44" s="61">
        <f t="shared" si="5"/>
        <v>76</v>
      </c>
      <c r="Q44" s="61">
        <f t="shared" si="5"/>
        <v>76</v>
      </c>
      <c r="R44" s="61">
        <f t="shared" si="5"/>
        <v>76</v>
      </c>
      <c r="S44" s="61">
        <f t="shared" si="5"/>
        <v>76.2</v>
      </c>
      <c r="T44" s="61">
        <f t="shared" si="5"/>
        <v>76.2</v>
      </c>
      <c r="U44" s="61">
        <f t="shared" si="5"/>
        <v>76.2</v>
      </c>
      <c r="V44" s="61">
        <f t="shared" si="5"/>
        <v>76.2</v>
      </c>
      <c r="W44" s="61">
        <f t="shared" si="5"/>
        <v>82</v>
      </c>
      <c r="X44" s="61">
        <f t="shared" si="5"/>
        <v>82</v>
      </c>
      <c r="Y44" s="61">
        <f t="shared" si="5"/>
        <v>82.5</v>
      </c>
      <c r="Z44" s="61">
        <f t="shared" si="5"/>
        <v>82.4</v>
      </c>
      <c r="AA44" s="61">
        <f t="shared" si="5"/>
        <v>82.4</v>
      </c>
      <c r="AB44" s="61">
        <f t="shared" si="5"/>
        <v>82.5</v>
      </c>
      <c r="AC44" s="61">
        <f t="shared" si="5"/>
        <v>82.5</v>
      </c>
      <c r="AD44" s="61">
        <f t="shared" si="5"/>
        <v>82</v>
      </c>
      <c r="AE44" s="61">
        <f t="shared" si="5"/>
        <v>82</v>
      </c>
      <c r="AF44" s="61">
        <f t="shared" si="5"/>
        <v>82</v>
      </c>
      <c r="AG44" s="62">
        <f t="shared" si="5"/>
        <v>538.1</v>
      </c>
      <c r="AH44" s="48">
        <f t="shared" si="2"/>
        <v>82.5</v>
      </c>
      <c r="AI44" s="49">
        <f t="shared" si="3"/>
        <v>76</v>
      </c>
      <c r="AK44" s="50"/>
    </row>
    <row r="45" spans="1:88" x14ac:dyDescent="0.25">
      <c r="A45" s="44" t="s">
        <v>53</v>
      </c>
      <c r="B45" s="45">
        <v>111.1</v>
      </c>
      <c r="C45" s="45">
        <v>111.1</v>
      </c>
      <c r="D45" s="45">
        <v>111.1</v>
      </c>
      <c r="E45" s="45">
        <v>105.2</v>
      </c>
      <c r="F45" s="45">
        <v>106</v>
      </c>
      <c r="G45" s="45">
        <v>105</v>
      </c>
      <c r="H45" s="45">
        <v>116</v>
      </c>
      <c r="I45" s="45">
        <v>116.4</v>
      </c>
      <c r="J45" s="45">
        <v>116.4</v>
      </c>
      <c r="K45" s="45">
        <v>116.3</v>
      </c>
      <c r="L45" s="45">
        <v>116.3</v>
      </c>
      <c r="M45" s="45">
        <v>125.8</v>
      </c>
      <c r="N45" s="45">
        <v>121.4</v>
      </c>
      <c r="O45" s="45">
        <v>121.4</v>
      </c>
      <c r="P45" s="45">
        <v>112</v>
      </c>
      <c r="Q45" s="45">
        <v>112</v>
      </c>
      <c r="R45" s="45">
        <v>80.400000000000006</v>
      </c>
      <c r="S45" s="45">
        <v>81</v>
      </c>
      <c r="T45" s="45">
        <v>81.3</v>
      </c>
      <c r="U45" s="45">
        <v>90</v>
      </c>
      <c r="V45" s="45">
        <v>101.9</v>
      </c>
      <c r="W45" s="45">
        <v>135.1</v>
      </c>
      <c r="X45" s="45">
        <v>142.4</v>
      </c>
      <c r="Y45" s="45">
        <v>142.30000000000001</v>
      </c>
      <c r="Z45" s="45">
        <v>142.30000000000001</v>
      </c>
      <c r="AA45" s="45">
        <v>142.30000000000001</v>
      </c>
      <c r="AB45" s="45">
        <v>142.1</v>
      </c>
      <c r="AC45" s="45">
        <v>142.1</v>
      </c>
      <c r="AD45" s="45">
        <v>142.4</v>
      </c>
      <c r="AE45" s="45">
        <v>131</v>
      </c>
      <c r="AF45" s="45">
        <v>121</v>
      </c>
      <c r="AG45" s="52">
        <v>144</v>
      </c>
      <c r="AH45" s="48">
        <f t="shared" si="2"/>
        <v>142.4</v>
      </c>
      <c r="AI45" s="49">
        <f t="shared" si="3"/>
        <v>80.400000000000006</v>
      </c>
      <c r="AK45" s="50"/>
    </row>
    <row r="46" spans="1:88" x14ac:dyDescent="0.25">
      <c r="A46" s="54" t="s">
        <v>54</v>
      </c>
      <c r="B46" s="65">
        <v>60.9</v>
      </c>
      <c r="C46" s="65">
        <v>60.9</v>
      </c>
      <c r="D46" s="65">
        <v>55.4</v>
      </c>
      <c r="E46" s="65">
        <v>55.4</v>
      </c>
      <c r="F46" s="65">
        <v>55.2</v>
      </c>
      <c r="G46" s="65">
        <v>55.2</v>
      </c>
      <c r="H46" s="65">
        <v>60</v>
      </c>
      <c r="I46" s="65">
        <v>71.3</v>
      </c>
      <c r="J46" s="65">
        <v>70.400000000000006</v>
      </c>
      <c r="K46" s="65">
        <v>72.900000000000006</v>
      </c>
      <c r="L46" s="65">
        <v>72</v>
      </c>
      <c r="M46" s="65">
        <v>72.2</v>
      </c>
      <c r="N46" s="45">
        <v>61.3</v>
      </c>
      <c r="O46" s="45">
        <v>61.3</v>
      </c>
      <c r="P46" s="45">
        <v>51.7</v>
      </c>
      <c r="Q46" s="45">
        <v>51.7</v>
      </c>
      <c r="R46" s="45">
        <v>51.7</v>
      </c>
      <c r="S46" s="65">
        <v>52.6</v>
      </c>
      <c r="T46" s="65">
        <v>54.2</v>
      </c>
      <c r="U46" s="65">
        <v>54</v>
      </c>
      <c r="V46" s="65">
        <v>61</v>
      </c>
      <c r="W46" s="65">
        <v>70</v>
      </c>
      <c r="X46" s="65">
        <v>70.8</v>
      </c>
      <c r="Y46" s="65">
        <v>71.3</v>
      </c>
      <c r="Z46" s="65">
        <v>71.3</v>
      </c>
      <c r="AA46" s="65">
        <v>71.3</v>
      </c>
      <c r="AB46" s="65">
        <v>70.3</v>
      </c>
      <c r="AC46" s="65">
        <v>71.099999999999994</v>
      </c>
      <c r="AD46" s="65">
        <v>71.599999999999994</v>
      </c>
      <c r="AE46" s="65">
        <v>60</v>
      </c>
      <c r="AF46" s="65">
        <v>50</v>
      </c>
      <c r="AG46" s="55">
        <v>70</v>
      </c>
      <c r="AH46" s="48">
        <f t="shared" si="2"/>
        <v>72.900000000000006</v>
      </c>
      <c r="AI46" s="49">
        <f t="shared" si="3"/>
        <v>50</v>
      </c>
      <c r="AK46" s="50"/>
    </row>
    <row r="47" spans="1:88" x14ac:dyDescent="0.25">
      <c r="A47" s="54" t="s">
        <v>55</v>
      </c>
      <c r="B47" s="65">
        <v>60.3</v>
      </c>
      <c r="C47" s="65">
        <v>60.3</v>
      </c>
      <c r="D47" s="65">
        <v>62.1</v>
      </c>
      <c r="E47" s="65">
        <v>51.1</v>
      </c>
      <c r="F47" s="65">
        <v>56.9</v>
      </c>
      <c r="G47" s="65">
        <v>56.9</v>
      </c>
      <c r="H47" s="65">
        <v>61</v>
      </c>
      <c r="I47" s="65">
        <v>60.9</v>
      </c>
      <c r="J47" s="65">
        <v>60.9</v>
      </c>
      <c r="K47" s="65">
        <v>60.9</v>
      </c>
      <c r="L47" s="65">
        <v>61</v>
      </c>
      <c r="M47" s="65">
        <v>61.3</v>
      </c>
      <c r="N47" s="45">
        <v>61.5</v>
      </c>
      <c r="O47" s="45">
        <v>61.5</v>
      </c>
      <c r="P47" s="45">
        <v>53.1</v>
      </c>
      <c r="Q47" s="45">
        <v>53.1</v>
      </c>
      <c r="R47" s="45">
        <v>53.1</v>
      </c>
      <c r="S47" s="65">
        <v>51.9</v>
      </c>
      <c r="T47" s="65">
        <v>62.4</v>
      </c>
      <c r="U47" s="65">
        <v>64</v>
      </c>
      <c r="V47" s="65">
        <v>70</v>
      </c>
      <c r="W47" s="65">
        <v>69.900000000000006</v>
      </c>
      <c r="X47" s="65">
        <v>70.599999999999994</v>
      </c>
      <c r="Y47" s="65">
        <v>70</v>
      </c>
      <c r="Z47" s="65">
        <v>70</v>
      </c>
      <c r="AA47" s="65">
        <v>70</v>
      </c>
      <c r="AB47" s="65">
        <v>69.900000000000006</v>
      </c>
      <c r="AC47" s="65">
        <v>70</v>
      </c>
      <c r="AD47" s="65">
        <v>59.3</v>
      </c>
      <c r="AE47" s="65">
        <v>60.5</v>
      </c>
      <c r="AF47" s="65">
        <v>55.7</v>
      </c>
      <c r="AG47" s="55">
        <v>69</v>
      </c>
      <c r="AH47" s="48">
        <f t="shared" si="2"/>
        <v>70.599999999999994</v>
      </c>
      <c r="AI47" s="49">
        <f t="shared" si="3"/>
        <v>51.1</v>
      </c>
      <c r="AK47" s="50"/>
    </row>
    <row r="48" spans="1:88" x14ac:dyDescent="0.25">
      <c r="A48" s="54" t="s">
        <v>56</v>
      </c>
      <c r="B48" s="57">
        <v>40.299999999999997</v>
      </c>
      <c r="C48" s="57">
        <v>40.299999999999997</v>
      </c>
      <c r="D48" s="57">
        <v>40.299999999999997</v>
      </c>
      <c r="E48" s="57">
        <v>40.299999999999997</v>
      </c>
      <c r="F48" s="57">
        <v>40.299999999999997</v>
      </c>
      <c r="G48" s="57">
        <v>50</v>
      </c>
      <c r="H48" s="57">
        <v>60</v>
      </c>
      <c r="I48" s="57">
        <v>61.2</v>
      </c>
      <c r="J48" s="57">
        <v>61.2</v>
      </c>
      <c r="K48" s="57">
        <v>61.2</v>
      </c>
      <c r="L48" s="57">
        <v>60.9</v>
      </c>
      <c r="M48" s="65">
        <v>60.9</v>
      </c>
      <c r="N48" s="45">
        <v>50.9</v>
      </c>
      <c r="O48" s="45">
        <v>50.9</v>
      </c>
      <c r="P48" s="45">
        <v>41.8</v>
      </c>
      <c r="Q48" s="45">
        <v>41.8</v>
      </c>
      <c r="R48" s="45">
        <v>39</v>
      </c>
      <c r="S48" s="45">
        <v>40</v>
      </c>
      <c r="T48" s="45">
        <v>40</v>
      </c>
      <c r="U48" s="45">
        <v>40</v>
      </c>
      <c r="V48" s="65">
        <v>60.9</v>
      </c>
      <c r="W48" s="65">
        <v>60.9</v>
      </c>
      <c r="X48" s="65">
        <v>60.9</v>
      </c>
      <c r="Y48" s="65">
        <v>60.9</v>
      </c>
      <c r="Z48" s="65">
        <v>60.9</v>
      </c>
      <c r="AA48" s="65">
        <v>60.9</v>
      </c>
      <c r="AB48" s="65">
        <v>60.9</v>
      </c>
      <c r="AC48" s="65">
        <v>60.9</v>
      </c>
      <c r="AD48" s="57">
        <v>52.4</v>
      </c>
      <c r="AE48" s="57">
        <v>40.6</v>
      </c>
      <c r="AF48" s="57">
        <v>30</v>
      </c>
      <c r="AG48" s="55">
        <v>60</v>
      </c>
      <c r="AH48" s="48">
        <f t="shared" si="2"/>
        <v>61.2</v>
      </c>
      <c r="AI48" s="49">
        <f t="shared" si="3"/>
        <v>30</v>
      </c>
      <c r="AK48" s="50"/>
    </row>
    <row r="49" spans="1:41" x14ac:dyDescent="0.25">
      <c r="A49" s="54" t="s">
        <v>57</v>
      </c>
      <c r="B49" s="57">
        <v>15</v>
      </c>
      <c r="C49" s="57">
        <v>15</v>
      </c>
      <c r="D49" s="57">
        <v>15</v>
      </c>
      <c r="E49" s="57">
        <v>15</v>
      </c>
      <c r="F49" s="57">
        <v>15</v>
      </c>
      <c r="G49" s="57">
        <v>15</v>
      </c>
      <c r="H49" s="57">
        <v>15</v>
      </c>
      <c r="I49" s="57">
        <v>15</v>
      </c>
      <c r="J49" s="57">
        <v>15</v>
      </c>
      <c r="K49" s="57">
        <v>15</v>
      </c>
      <c r="L49" s="57">
        <v>15</v>
      </c>
      <c r="M49" s="65">
        <v>15</v>
      </c>
      <c r="N49" s="45">
        <v>15</v>
      </c>
      <c r="O49" s="45">
        <v>15</v>
      </c>
      <c r="P49" s="45">
        <v>15</v>
      </c>
      <c r="Q49" s="45">
        <v>15</v>
      </c>
      <c r="R49" s="45">
        <v>15</v>
      </c>
      <c r="S49" s="45">
        <v>15</v>
      </c>
      <c r="T49" s="45">
        <v>15</v>
      </c>
      <c r="U49" s="45">
        <v>15</v>
      </c>
      <c r="V49" s="65">
        <v>15</v>
      </c>
      <c r="W49" s="65">
        <v>30</v>
      </c>
      <c r="X49" s="65">
        <v>29.9</v>
      </c>
      <c r="Y49" s="65">
        <v>29.9</v>
      </c>
      <c r="Z49" s="65">
        <v>29.9</v>
      </c>
      <c r="AA49" s="65">
        <v>29.9</v>
      </c>
      <c r="AB49" s="65">
        <v>29.9</v>
      </c>
      <c r="AC49" s="65">
        <v>29.8</v>
      </c>
      <c r="AD49" s="57">
        <v>27</v>
      </c>
      <c r="AE49" s="57">
        <v>26.8</v>
      </c>
      <c r="AF49" s="57">
        <v>15</v>
      </c>
      <c r="AG49" s="55">
        <v>30</v>
      </c>
      <c r="AH49" s="48">
        <f t="shared" si="2"/>
        <v>30</v>
      </c>
      <c r="AI49" s="49">
        <f t="shared" si="3"/>
        <v>15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2</v>
      </c>
      <c r="N50" s="65">
        <v>8</v>
      </c>
      <c r="O50" s="65">
        <v>8</v>
      </c>
      <c r="P50" s="65">
        <v>8</v>
      </c>
      <c r="Q50" s="65">
        <v>8</v>
      </c>
      <c r="R50" s="65">
        <v>8</v>
      </c>
      <c r="S50" s="45">
        <v>8</v>
      </c>
      <c r="T50" s="45">
        <v>8</v>
      </c>
      <c r="U50" s="45">
        <v>8</v>
      </c>
      <c r="V50" s="45">
        <v>0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45">
        <v>0</v>
      </c>
      <c r="AC50" s="45">
        <v>0</v>
      </c>
      <c r="AD50" s="45">
        <v>0</v>
      </c>
      <c r="AE50" s="45">
        <v>0</v>
      </c>
      <c r="AF50" s="45">
        <v>0</v>
      </c>
      <c r="AG50" s="55">
        <v>25</v>
      </c>
      <c r="AH50" s="48">
        <f t="shared" si="2"/>
        <v>8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16.2</v>
      </c>
      <c r="C51" s="65">
        <v>14.1</v>
      </c>
      <c r="D51" s="65">
        <v>14.1</v>
      </c>
      <c r="E51" s="65">
        <v>14.1</v>
      </c>
      <c r="F51" s="65">
        <v>14.1</v>
      </c>
      <c r="G51" s="65">
        <v>14.1</v>
      </c>
      <c r="H51" s="65">
        <v>14.1</v>
      </c>
      <c r="I51" s="65">
        <v>14.1</v>
      </c>
      <c r="J51" s="65">
        <v>14.1</v>
      </c>
      <c r="K51" s="65">
        <v>14.1</v>
      </c>
      <c r="L51" s="65">
        <v>14.1</v>
      </c>
      <c r="M51" s="65">
        <v>17.600000000000001</v>
      </c>
      <c r="N51" s="65">
        <v>17.100000000000001</v>
      </c>
      <c r="O51" s="65">
        <v>17.100000000000001</v>
      </c>
      <c r="P51" s="65">
        <v>17.100000000000001</v>
      </c>
      <c r="Q51" s="65">
        <v>17.100000000000001</v>
      </c>
      <c r="R51" s="65">
        <v>17.100000000000001</v>
      </c>
      <c r="S51" s="45">
        <v>17.100000000000001</v>
      </c>
      <c r="T51" s="45">
        <v>17.100000000000001</v>
      </c>
      <c r="U51" s="45">
        <v>17.100000000000001</v>
      </c>
      <c r="V51" s="45">
        <v>17.3</v>
      </c>
      <c r="W51" s="45">
        <v>17.3</v>
      </c>
      <c r="X51" s="45">
        <v>17.2</v>
      </c>
      <c r="Y51" s="45">
        <v>17.2</v>
      </c>
      <c r="Z51" s="45">
        <v>17.2</v>
      </c>
      <c r="AA51" s="45">
        <v>17.2</v>
      </c>
      <c r="AB51" s="45">
        <v>17.2</v>
      </c>
      <c r="AC51" s="45">
        <v>17.2</v>
      </c>
      <c r="AD51" s="45">
        <v>17.2</v>
      </c>
      <c r="AE51" s="45">
        <v>17.2</v>
      </c>
      <c r="AF51" s="45">
        <v>12.8</v>
      </c>
      <c r="AG51" s="55">
        <v>24</v>
      </c>
      <c r="AH51" s="48">
        <f t="shared" si="2"/>
        <v>17.600000000000001</v>
      </c>
      <c r="AI51" s="49">
        <f t="shared" si="3"/>
        <v>12.8</v>
      </c>
      <c r="AK51" s="50"/>
    </row>
    <row r="52" spans="1:41" x14ac:dyDescent="0.25">
      <c r="A52" s="54" t="s">
        <v>60</v>
      </c>
      <c r="B52" s="65">
        <v>3</v>
      </c>
      <c r="C52" s="65">
        <v>3</v>
      </c>
      <c r="D52" s="65">
        <v>3</v>
      </c>
      <c r="E52" s="65">
        <v>3</v>
      </c>
      <c r="F52" s="65">
        <v>3</v>
      </c>
      <c r="G52" s="65">
        <v>3</v>
      </c>
      <c r="H52" s="65">
        <v>3</v>
      </c>
      <c r="I52" s="65">
        <v>3</v>
      </c>
      <c r="J52" s="65">
        <v>3</v>
      </c>
      <c r="K52" s="65">
        <v>3</v>
      </c>
      <c r="L52" s="65">
        <v>3</v>
      </c>
      <c r="M52" s="65">
        <v>3</v>
      </c>
      <c r="N52" s="65">
        <v>3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3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10.199999999999999</v>
      </c>
      <c r="C53" s="65">
        <v>10.199999999999999</v>
      </c>
      <c r="D53" s="65">
        <v>10.199999999999999</v>
      </c>
      <c r="E53" s="65">
        <v>10.199999999999999</v>
      </c>
      <c r="F53" s="65">
        <v>10.199999999999999</v>
      </c>
      <c r="G53" s="65">
        <v>10.199999999999999</v>
      </c>
      <c r="H53" s="65">
        <v>10.199999999999999</v>
      </c>
      <c r="I53" s="65">
        <v>10.199999999999999</v>
      </c>
      <c r="J53" s="65">
        <v>10.199999999999999</v>
      </c>
      <c r="K53" s="65">
        <v>10.199999999999999</v>
      </c>
      <c r="L53" s="65">
        <v>10.199999999999999</v>
      </c>
      <c r="M53" s="65">
        <v>9.6999999999999993</v>
      </c>
      <c r="N53" s="65">
        <v>9.6999999999999993</v>
      </c>
      <c r="O53" s="65">
        <v>9.6999999999999993</v>
      </c>
      <c r="P53" s="65">
        <v>9.6999999999999993</v>
      </c>
      <c r="Q53" s="65">
        <v>9.6999999999999993</v>
      </c>
      <c r="R53" s="65">
        <v>9.6999999999999993</v>
      </c>
      <c r="S53" s="65">
        <v>9.6999999999999993</v>
      </c>
      <c r="T53" s="65">
        <v>9.6999999999999993</v>
      </c>
      <c r="U53" s="65">
        <v>9.6999999999999993</v>
      </c>
      <c r="V53" s="65">
        <v>10.9</v>
      </c>
      <c r="W53" s="65">
        <v>10.9</v>
      </c>
      <c r="X53" s="65">
        <v>10.9</v>
      </c>
      <c r="Y53" s="65">
        <v>10.9</v>
      </c>
      <c r="Z53" s="65">
        <v>10.9</v>
      </c>
      <c r="AA53" s="65">
        <v>10.9</v>
      </c>
      <c r="AB53" s="65">
        <v>10.9</v>
      </c>
      <c r="AC53" s="65">
        <v>10.9</v>
      </c>
      <c r="AD53" s="65">
        <v>10.9</v>
      </c>
      <c r="AE53" s="65">
        <v>10.9</v>
      </c>
      <c r="AF53" s="65">
        <v>11.4</v>
      </c>
      <c r="AG53" s="55">
        <v>14.1</v>
      </c>
      <c r="AH53" s="48">
        <f t="shared" si="2"/>
        <v>11.4</v>
      </c>
      <c r="AI53" s="49">
        <f t="shared" si="3"/>
        <v>9.6999999999999993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9.6999999999999993</v>
      </c>
      <c r="C54" s="65">
        <v>9.6999999999999993</v>
      </c>
      <c r="D54" s="65">
        <v>9.8000000000000007</v>
      </c>
      <c r="E54" s="65">
        <v>9.8000000000000007</v>
      </c>
      <c r="F54" s="65">
        <v>9.8000000000000007</v>
      </c>
      <c r="G54" s="65">
        <v>9.8000000000000007</v>
      </c>
      <c r="H54" s="65">
        <v>9.8000000000000007</v>
      </c>
      <c r="I54" s="65">
        <v>9.8000000000000007</v>
      </c>
      <c r="J54" s="65">
        <v>9.8000000000000007</v>
      </c>
      <c r="K54" s="65">
        <v>9.8000000000000007</v>
      </c>
      <c r="L54" s="65">
        <v>9.8000000000000007</v>
      </c>
      <c r="M54" s="65">
        <v>10</v>
      </c>
      <c r="N54" s="65">
        <v>10</v>
      </c>
      <c r="O54" s="65">
        <v>10</v>
      </c>
      <c r="P54" s="65">
        <v>10</v>
      </c>
      <c r="Q54" s="65">
        <v>10</v>
      </c>
      <c r="R54" s="65">
        <v>7</v>
      </c>
      <c r="S54" s="65">
        <v>7</v>
      </c>
      <c r="T54" s="65">
        <v>7</v>
      </c>
      <c r="U54" s="65">
        <v>7</v>
      </c>
      <c r="V54" s="65">
        <v>10</v>
      </c>
      <c r="W54" s="65">
        <v>14.2</v>
      </c>
      <c r="X54" s="65">
        <v>14.1</v>
      </c>
      <c r="Y54" s="65">
        <v>14.1</v>
      </c>
      <c r="Z54" s="65">
        <v>14.1</v>
      </c>
      <c r="AA54" s="65">
        <v>14.1</v>
      </c>
      <c r="AB54" s="65">
        <v>14.1</v>
      </c>
      <c r="AC54" s="65">
        <v>14.1</v>
      </c>
      <c r="AD54" s="65">
        <v>14.1</v>
      </c>
      <c r="AE54" s="65">
        <v>10</v>
      </c>
      <c r="AF54" s="65">
        <v>10</v>
      </c>
      <c r="AG54" s="55">
        <v>14</v>
      </c>
      <c r="AH54" s="48">
        <f t="shared" si="2"/>
        <v>14.2</v>
      </c>
      <c r="AI54" s="49">
        <f t="shared" si="3"/>
        <v>7</v>
      </c>
      <c r="AK54" s="50"/>
    </row>
    <row r="55" spans="1:41" x14ac:dyDescent="0.25">
      <c r="A55" s="54" t="s">
        <v>63</v>
      </c>
      <c r="B55" s="65">
        <v>9</v>
      </c>
      <c r="C55" s="65">
        <v>9</v>
      </c>
      <c r="D55" s="65">
        <v>9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6.9</v>
      </c>
      <c r="S55" s="65">
        <v>6.9</v>
      </c>
      <c r="T55" s="65">
        <v>6.9</v>
      </c>
      <c r="U55" s="65">
        <v>6.9</v>
      </c>
      <c r="V55" s="65">
        <v>6.9</v>
      </c>
      <c r="W55" s="65">
        <v>6.9</v>
      </c>
      <c r="X55" s="65">
        <v>9</v>
      </c>
      <c r="Y55" s="65">
        <v>9</v>
      </c>
      <c r="Z55" s="65">
        <v>9</v>
      </c>
      <c r="AA55" s="65">
        <v>9</v>
      </c>
      <c r="AB55" s="65">
        <v>9</v>
      </c>
      <c r="AC55" s="65">
        <v>9</v>
      </c>
      <c r="AD55" s="65">
        <v>9</v>
      </c>
      <c r="AE55" s="65">
        <v>9</v>
      </c>
      <c r="AF55" s="65">
        <v>9</v>
      </c>
      <c r="AG55" s="55">
        <v>10.050000000000001</v>
      </c>
      <c r="AH55" s="48">
        <f t="shared" si="2"/>
        <v>9</v>
      </c>
      <c r="AI55" s="49">
        <f t="shared" si="3"/>
        <v>6.9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:AG58" si="6">SUM(B45:B57)</f>
        <v>345.44</v>
      </c>
      <c r="C58" s="61">
        <f t="shared" si="6"/>
        <v>343.34000000000003</v>
      </c>
      <c r="D58" s="61">
        <f t="shared" si="6"/>
        <v>339.74</v>
      </c>
      <c r="E58" s="61">
        <f t="shared" si="6"/>
        <v>322.84000000000003</v>
      </c>
      <c r="F58" s="61">
        <f t="shared" si="6"/>
        <v>329.24</v>
      </c>
      <c r="G58" s="61">
        <f t="shared" si="6"/>
        <v>337.94000000000005</v>
      </c>
      <c r="H58" s="61">
        <f t="shared" si="6"/>
        <v>367.84000000000003</v>
      </c>
      <c r="I58" s="61">
        <f t="shared" si="6"/>
        <v>380.64000000000004</v>
      </c>
      <c r="J58" s="61">
        <f t="shared" si="6"/>
        <v>379.74000000000007</v>
      </c>
      <c r="K58" s="61">
        <f t="shared" si="6"/>
        <v>382.14000000000004</v>
      </c>
      <c r="L58" s="61">
        <f t="shared" si="6"/>
        <v>381.04</v>
      </c>
      <c r="M58" s="61">
        <f t="shared" si="6"/>
        <v>396.24</v>
      </c>
      <c r="N58" s="61">
        <f t="shared" si="6"/>
        <v>376.64</v>
      </c>
      <c r="O58" s="61">
        <f t="shared" si="6"/>
        <v>373.64</v>
      </c>
      <c r="P58" s="61">
        <f t="shared" si="6"/>
        <v>337.14</v>
      </c>
      <c r="Q58" s="61">
        <f t="shared" si="6"/>
        <v>337.14</v>
      </c>
      <c r="R58" s="61">
        <f t="shared" si="6"/>
        <v>297.64</v>
      </c>
      <c r="S58" s="61">
        <f t="shared" ref="S58" si="7">SUM(S45:S57)</f>
        <v>298.94</v>
      </c>
      <c r="T58" s="61">
        <f t="shared" si="6"/>
        <v>311.33999999999997</v>
      </c>
      <c r="U58" s="61">
        <f t="shared" si="6"/>
        <v>321.44</v>
      </c>
      <c r="V58" s="61">
        <f t="shared" si="6"/>
        <v>363.64</v>
      </c>
      <c r="W58" s="61">
        <f t="shared" si="6"/>
        <v>424.93999999999994</v>
      </c>
      <c r="X58" s="61">
        <f t="shared" si="6"/>
        <v>435.53999999999991</v>
      </c>
      <c r="Y58" s="61">
        <f t="shared" si="6"/>
        <v>435.34</v>
      </c>
      <c r="Z58" s="61">
        <f t="shared" si="6"/>
        <v>435.34</v>
      </c>
      <c r="AA58" s="61">
        <f t="shared" si="6"/>
        <v>435.34</v>
      </c>
      <c r="AB58" s="61">
        <f t="shared" si="6"/>
        <v>434.03999999999991</v>
      </c>
      <c r="AC58" s="61">
        <f t="shared" si="6"/>
        <v>434.84</v>
      </c>
      <c r="AD58" s="61">
        <f t="shared" si="6"/>
        <v>413.64</v>
      </c>
      <c r="AE58" s="61">
        <f t="shared" si="6"/>
        <v>375.74</v>
      </c>
      <c r="AF58" s="61">
        <f t="shared" si="6"/>
        <v>324.64</v>
      </c>
      <c r="AG58" s="62">
        <f t="shared" si="6"/>
        <v>489.91</v>
      </c>
      <c r="AH58" s="48">
        <f t="shared" si="2"/>
        <v>435.53999999999991</v>
      </c>
      <c r="AI58" s="49">
        <f t="shared" si="3"/>
        <v>297.64</v>
      </c>
      <c r="AK58" s="50"/>
    </row>
    <row r="59" spans="1:41" x14ac:dyDescent="0.25">
      <c r="A59" s="44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67">
        <v>0</v>
      </c>
      <c r="AB61" s="67">
        <v>0</v>
      </c>
      <c r="AC61" s="67">
        <v>0</v>
      </c>
      <c r="AD61" s="67">
        <v>0</v>
      </c>
      <c r="AE61" s="67">
        <v>0</v>
      </c>
      <c r="AF61" s="67">
        <v>0</v>
      </c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AG62" si="8">SUM(B59:B61)</f>
        <v>0</v>
      </c>
      <c r="C62" s="61">
        <f t="shared" si="8"/>
        <v>0</v>
      </c>
      <c r="D62" s="61">
        <f t="shared" si="8"/>
        <v>0</v>
      </c>
      <c r="E62" s="61">
        <f t="shared" si="8"/>
        <v>0</v>
      </c>
      <c r="F62" s="61">
        <f t="shared" si="8"/>
        <v>0</v>
      </c>
      <c r="G62" s="61">
        <f t="shared" si="8"/>
        <v>0</v>
      </c>
      <c r="H62" s="61">
        <f t="shared" si="8"/>
        <v>0</v>
      </c>
      <c r="I62" s="61">
        <f t="shared" si="8"/>
        <v>0</v>
      </c>
      <c r="J62" s="61">
        <f t="shared" si="8"/>
        <v>0</v>
      </c>
      <c r="K62" s="61">
        <f t="shared" si="8"/>
        <v>0</v>
      </c>
      <c r="L62" s="61">
        <f t="shared" si="8"/>
        <v>0</v>
      </c>
      <c r="M62" s="61">
        <f t="shared" si="8"/>
        <v>0</v>
      </c>
      <c r="N62" s="61">
        <f t="shared" si="8"/>
        <v>0</v>
      </c>
      <c r="O62" s="61">
        <f t="shared" si="8"/>
        <v>0</v>
      </c>
      <c r="P62" s="61">
        <f t="shared" si="8"/>
        <v>0</v>
      </c>
      <c r="Q62" s="61">
        <f t="shared" si="8"/>
        <v>0</v>
      </c>
      <c r="R62" s="61">
        <f t="shared" si="8"/>
        <v>0</v>
      </c>
      <c r="S62" s="61">
        <f t="shared" si="8"/>
        <v>0</v>
      </c>
      <c r="T62" s="61">
        <f t="shared" si="8"/>
        <v>0</v>
      </c>
      <c r="U62" s="61">
        <f t="shared" si="8"/>
        <v>0</v>
      </c>
      <c r="V62" s="61">
        <f t="shared" si="8"/>
        <v>0</v>
      </c>
      <c r="W62" s="61">
        <f t="shared" si="8"/>
        <v>0</v>
      </c>
      <c r="X62" s="61">
        <f t="shared" si="8"/>
        <v>0</v>
      </c>
      <c r="Y62" s="61">
        <f t="shared" si="8"/>
        <v>0</v>
      </c>
      <c r="Z62" s="61">
        <f t="shared" si="8"/>
        <v>0</v>
      </c>
      <c r="AA62" s="61">
        <f t="shared" si="8"/>
        <v>0</v>
      </c>
      <c r="AB62" s="61">
        <f t="shared" si="8"/>
        <v>0</v>
      </c>
      <c r="AC62" s="61">
        <f t="shared" si="8"/>
        <v>0</v>
      </c>
      <c r="AD62" s="61">
        <f t="shared" si="8"/>
        <v>0</v>
      </c>
      <c r="AE62" s="61">
        <f t="shared" si="8"/>
        <v>0</v>
      </c>
      <c r="AF62" s="61">
        <f t="shared" si="8"/>
        <v>0</v>
      </c>
      <c r="AG62" s="62">
        <f t="shared" si="8"/>
        <v>106</v>
      </c>
      <c r="AH62" s="48">
        <f t="shared" si="2"/>
        <v>0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-250</v>
      </c>
      <c r="C65" s="65">
        <v>-254.2</v>
      </c>
      <c r="D65" s="65">
        <v>-236.8</v>
      </c>
      <c r="E65" s="65">
        <v>-250.6</v>
      </c>
      <c r="F65" s="65">
        <v>-254</v>
      </c>
      <c r="G65" s="65">
        <v>-235</v>
      </c>
      <c r="H65" s="65">
        <v>-240</v>
      </c>
      <c r="I65" s="65">
        <v>-258</v>
      </c>
      <c r="J65" s="65">
        <v>-280</v>
      </c>
      <c r="K65" s="65">
        <v>-267</v>
      </c>
      <c r="L65" s="65">
        <v>-273</v>
      </c>
      <c r="M65" s="65">
        <v>-275.3</v>
      </c>
      <c r="N65" s="65">
        <v>-280.39999999999998</v>
      </c>
      <c r="O65" s="65">
        <v>-293</v>
      </c>
      <c r="P65" s="65">
        <v>-284</v>
      </c>
      <c r="Q65" s="65">
        <v>-296</v>
      </c>
      <c r="R65" s="65">
        <v>-279</v>
      </c>
      <c r="S65" s="65">
        <v>-289</v>
      </c>
      <c r="T65" s="65">
        <v>-296.5</v>
      </c>
      <c r="U65" s="65">
        <v>-286</v>
      </c>
      <c r="V65" s="65">
        <v>-260</v>
      </c>
      <c r="W65" s="65">
        <v>-215</v>
      </c>
      <c r="X65" s="65">
        <v>-105</v>
      </c>
      <c r="Y65" s="65">
        <v>-118</v>
      </c>
      <c r="Z65" s="65">
        <v>-134.9</v>
      </c>
      <c r="AA65" s="65">
        <v>-143.30000000000001</v>
      </c>
      <c r="AB65" s="65">
        <v>-145.4</v>
      </c>
      <c r="AC65" s="65">
        <v>-148</v>
      </c>
      <c r="AD65" s="65">
        <v>-166.8</v>
      </c>
      <c r="AE65" s="65">
        <v>-205.3</v>
      </c>
      <c r="AF65" s="65">
        <v>-214.6</v>
      </c>
      <c r="AG65" s="75"/>
      <c r="AH65" s="48">
        <f t="shared" si="2"/>
        <v>-105</v>
      </c>
      <c r="AI65" s="49">
        <f t="shared" si="3"/>
        <v>-296.5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>
        <v>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9">
        <v>0</v>
      </c>
      <c r="C72" s="79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9">
        <v>0</v>
      </c>
      <c r="C73" s="79">
        <v>0</v>
      </c>
      <c r="D73" s="79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:AF74" si="9">SUMIF(B63:B73,"&gt;0")</f>
        <v>0</v>
      </c>
      <c r="C74" s="61">
        <f t="shared" si="9"/>
        <v>0</v>
      </c>
      <c r="D74" s="61">
        <f t="shared" si="9"/>
        <v>0</v>
      </c>
      <c r="E74" s="61">
        <f t="shared" si="9"/>
        <v>0</v>
      </c>
      <c r="F74" s="61">
        <f t="shared" si="9"/>
        <v>0</v>
      </c>
      <c r="G74" s="61">
        <f t="shared" si="9"/>
        <v>0</v>
      </c>
      <c r="H74" s="61">
        <f t="shared" si="9"/>
        <v>0</v>
      </c>
      <c r="I74" s="61">
        <f t="shared" si="9"/>
        <v>0</v>
      </c>
      <c r="J74" s="61">
        <f t="shared" si="9"/>
        <v>0</v>
      </c>
      <c r="K74" s="61">
        <f t="shared" si="9"/>
        <v>0</v>
      </c>
      <c r="L74" s="61">
        <f t="shared" si="9"/>
        <v>0</v>
      </c>
      <c r="M74" s="61">
        <f t="shared" si="9"/>
        <v>0</v>
      </c>
      <c r="N74" s="61">
        <f t="shared" si="9"/>
        <v>0</v>
      </c>
      <c r="O74" s="61">
        <f t="shared" si="9"/>
        <v>0</v>
      </c>
      <c r="P74" s="61">
        <f t="shared" si="9"/>
        <v>0</v>
      </c>
      <c r="Q74" s="61">
        <f t="shared" si="9"/>
        <v>0</v>
      </c>
      <c r="R74" s="61">
        <f t="shared" si="9"/>
        <v>0</v>
      </c>
      <c r="S74" s="61">
        <f t="shared" si="9"/>
        <v>0</v>
      </c>
      <c r="T74" s="61">
        <f t="shared" si="9"/>
        <v>0</v>
      </c>
      <c r="U74" s="61">
        <f t="shared" si="9"/>
        <v>0</v>
      </c>
      <c r="V74" s="61">
        <f t="shared" si="9"/>
        <v>0</v>
      </c>
      <c r="W74" s="61">
        <f t="shared" si="9"/>
        <v>0</v>
      </c>
      <c r="X74" s="61">
        <f t="shared" si="9"/>
        <v>0</v>
      </c>
      <c r="Y74" s="61">
        <f t="shared" si="9"/>
        <v>0</v>
      </c>
      <c r="Z74" s="61">
        <f t="shared" si="9"/>
        <v>0</v>
      </c>
      <c r="AA74" s="61">
        <f t="shared" si="9"/>
        <v>0</v>
      </c>
      <c r="AB74" s="61">
        <f t="shared" si="9"/>
        <v>0</v>
      </c>
      <c r="AC74" s="61">
        <f t="shared" si="9"/>
        <v>0</v>
      </c>
      <c r="AD74" s="61">
        <f t="shared" si="9"/>
        <v>0</v>
      </c>
      <c r="AE74" s="61">
        <f t="shared" si="9"/>
        <v>0</v>
      </c>
      <c r="AF74" s="61">
        <f t="shared" si="9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44" t="s">
        <v>83</v>
      </c>
      <c r="B75" s="76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75">
        <v>14.4</v>
      </c>
      <c r="AH76" s="48">
        <f t="shared" ref="AH76:AH109" si="10">MAX(B76:AF76)</f>
        <v>0</v>
      </c>
      <c r="AI76" s="49">
        <f t="shared" ref="AI76:AI109" si="11">MIN(B76:AF76)</f>
        <v>0</v>
      </c>
      <c r="AK76" s="50"/>
    </row>
    <row r="77" spans="1:37" ht="15.75" thickBot="1" x14ac:dyDescent="0.3">
      <c r="A77" s="78" t="s">
        <v>85</v>
      </c>
      <c r="B77" s="79">
        <v>0</v>
      </c>
      <c r="C77" s="79">
        <v>0</v>
      </c>
      <c r="D77" s="79">
        <v>0</v>
      </c>
      <c r="E77" s="79">
        <v>0</v>
      </c>
      <c r="F77" s="79">
        <v>0</v>
      </c>
      <c r="G77" s="79">
        <v>0</v>
      </c>
      <c r="H77" s="79">
        <v>0</v>
      </c>
      <c r="I77" s="79">
        <v>0</v>
      </c>
      <c r="J77" s="79">
        <v>0</v>
      </c>
      <c r="K77" s="79">
        <v>0</v>
      </c>
      <c r="L77" s="79">
        <v>0</v>
      </c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>
        <v>0</v>
      </c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79">
        <v>0</v>
      </c>
      <c r="AC77" s="79">
        <v>0</v>
      </c>
      <c r="AD77" s="79">
        <v>0</v>
      </c>
      <c r="AE77" s="79">
        <v>0</v>
      </c>
      <c r="AF77" s="79">
        <v>0</v>
      </c>
      <c r="AG77" s="80">
        <v>2</v>
      </c>
      <c r="AH77" s="48">
        <f t="shared" si="10"/>
        <v>0</v>
      </c>
      <c r="AI77" s="49">
        <f t="shared" si="11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10"/>
        <v>0</v>
      </c>
      <c r="AI78" s="49">
        <f t="shared" si="11"/>
        <v>0</v>
      </c>
    </row>
    <row r="79" spans="1:37" ht="15.75" thickBot="1" x14ac:dyDescent="0.3">
      <c r="A79" s="74" t="s">
        <v>87</v>
      </c>
      <c r="B79" s="83">
        <f t="shared" ref="B79:AG79" si="12">B40+B44+B62+B58+B74+B78</f>
        <v>1049.8399999999999</v>
      </c>
      <c r="C79" s="83">
        <f t="shared" si="12"/>
        <v>1047.74</v>
      </c>
      <c r="D79" s="83">
        <f t="shared" si="12"/>
        <v>1026.2400000000002</v>
      </c>
      <c r="E79" s="83">
        <f t="shared" si="12"/>
        <v>1009.3400000000001</v>
      </c>
      <c r="F79" s="83">
        <f t="shared" si="12"/>
        <v>1015.7400000000001</v>
      </c>
      <c r="G79" s="83">
        <f t="shared" si="12"/>
        <v>1024.44</v>
      </c>
      <c r="H79" s="83">
        <f t="shared" si="12"/>
        <v>1054.3400000000001</v>
      </c>
      <c r="I79" s="83">
        <f t="shared" si="12"/>
        <v>1067.1400000000001</v>
      </c>
      <c r="J79" s="83">
        <f t="shared" si="12"/>
        <v>1066.2400000000002</v>
      </c>
      <c r="K79" s="83">
        <f t="shared" si="12"/>
        <v>1097.1400000000001</v>
      </c>
      <c r="L79" s="83">
        <f t="shared" si="12"/>
        <v>1096.04</v>
      </c>
      <c r="M79" s="83">
        <f t="shared" si="12"/>
        <v>1113.94</v>
      </c>
      <c r="N79" s="83">
        <f t="shared" si="12"/>
        <v>1093.8400000000001</v>
      </c>
      <c r="O79" s="83">
        <f t="shared" si="12"/>
        <v>1079.44</v>
      </c>
      <c r="P79" s="83">
        <f t="shared" si="12"/>
        <v>1022.34</v>
      </c>
      <c r="Q79" s="83">
        <f t="shared" si="12"/>
        <v>1017.34</v>
      </c>
      <c r="R79" s="83">
        <f t="shared" si="12"/>
        <v>979.54</v>
      </c>
      <c r="S79" s="83">
        <f t="shared" si="12"/>
        <v>983.6400000000001</v>
      </c>
      <c r="T79" s="83">
        <f t="shared" si="12"/>
        <v>995.94</v>
      </c>
      <c r="U79" s="83">
        <f t="shared" si="12"/>
        <v>1006.04</v>
      </c>
      <c r="V79" s="83">
        <f t="shared" si="12"/>
        <v>1055.1399999999999</v>
      </c>
      <c r="W79" s="83">
        <f t="shared" si="12"/>
        <v>1120.2399999999998</v>
      </c>
      <c r="X79" s="83">
        <f t="shared" si="12"/>
        <v>1335.54</v>
      </c>
      <c r="Y79" s="83">
        <f t="shared" si="12"/>
        <v>1344.04</v>
      </c>
      <c r="Z79" s="83">
        <f t="shared" si="12"/>
        <v>1333.24</v>
      </c>
      <c r="AA79" s="83">
        <f t="shared" si="12"/>
        <v>1288.44</v>
      </c>
      <c r="AB79" s="83">
        <f t="shared" si="12"/>
        <v>1266.74</v>
      </c>
      <c r="AC79" s="83">
        <f t="shared" si="12"/>
        <v>1222.74</v>
      </c>
      <c r="AD79" s="83">
        <f t="shared" si="12"/>
        <v>1190.1399999999999</v>
      </c>
      <c r="AE79" s="83">
        <f t="shared" si="12"/>
        <v>1131.44</v>
      </c>
      <c r="AF79" s="83">
        <f t="shared" si="12"/>
        <v>1080.44</v>
      </c>
      <c r="AG79" s="62">
        <f t="shared" si="12"/>
        <v>1897.1900000000003</v>
      </c>
      <c r="AH79" s="48">
        <f t="shared" si="10"/>
        <v>1344.04</v>
      </c>
      <c r="AI79" s="49">
        <f t="shared" si="11"/>
        <v>979.54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10"/>
        <v>0</v>
      </c>
      <c r="AI80" s="49">
        <f t="shared" si="11"/>
        <v>0</v>
      </c>
    </row>
    <row r="81" spans="1:37" ht="15.75" thickBot="1" x14ac:dyDescent="0.3">
      <c r="A81" s="74" t="s">
        <v>89</v>
      </c>
      <c r="B81" s="83">
        <f t="shared" ref="B81:AF81" si="13">B79+B80</f>
        <v>1049.8399999999999</v>
      </c>
      <c r="C81" s="83">
        <f t="shared" si="13"/>
        <v>1047.74</v>
      </c>
      <c r="D81" s="83">
        <f t="shared" si="13"/>
        <v>1026.2400000000002</v>
      </c>
      <c r="E81" s="83">
        <f t="shared" si="13"/>
        <v>1009.3400000000001</v>
      </c>
      <c r="F81" s="83">
        <f t="shared" si="13"/>
        <v>1015.7400000000001</v>
      </c>
      <c r="G81" s="83">
        <f t="shared" si="13"/>
        <v>1024.44</v>
      </c>
      <c r="H81" s="83">
        <f t="shared" si="13"/>
        <v>1054.3400000000001</v>
      </c>
      <c r="I81" s="83">
        <f t="shared" si="13"/>
        <v>1067.1400000000001</v>
      </c>
      <c r="J81" s="83">
        <f t="shared" si="13"/>
        <v>1066.2400000000002</v>
      </c>
      <c r="K81" s="83">
        <f t="shared" si="13"/>
        <v>1097.1400000000001</v>
      </c>
      <c r="L81" s="83">
        <f t="shared" si="13"/>
        <v>1096.04</v>
      </c>
      <c r="M81" s="83">
        <f t="shared" si="13"/>
        <v>1113.94</v>
      </c>
      <c r="N81" s="83">
        <f t="shared" si="13"/>
        <v>1093.8400000000001</v>
      </c>
      <c r="O81" s="83">
        <f t="shared" si="13"/>
        <v>1079.44</v>
      </c>
      <c r="P81" s="83">
        <f t="shared" si="13"/>
        <v>1022.34</v>
      </c>
      <c r="Q81" s="83">
        <f t="shared" si="13"/>
        <v>1017.34</v>
      </c>
      <c r="R81" s="83">
        <f t="shared" si="13"/>
        <v>979.54</v>
      </c>
      <c r="S81" s="83">
        <f t="shared" si="13"/>
        <v>983.6400000000001</v>
      </c>
      <c r="T81" s="83">
        <f t="shared" si="13"/>
        <v>995.94</v>
      </c>
      <c r="U81" s="83">
        <f t="shared" si="13"/>
        <v>1006.04</v>
      </c>
      <c r="V81" s="83">
        <f t="shared" si="13"/>
        <v>1055.1399999999999</v>
      </c>
      <c r="W81" s="83">
        <f t="shared" si="13"/>
        <v>1120.2399999999998</v>
      </c>
      <c r="X81" s="83">
        <f t="shared" si="13"/>
        <v>1335.54</v>
      </c>
      <c r="Y81" s="83">
        <f t="shared" si="13"/>
        <v>1344.04</v>
      </c>
      <c r="Z81" s="83">
        <f t="shared" si="13"/>
        <v>1333.24</v>
      </c>
      <c r="AA81" s="83">
        <f t="shared" si="13"/>
        <v>1288.44</v>
      </c>
      <c r="AB81" s="83">
        <f t="shared" si="13"/>
        <v>1266.74</v>
      </c>
      <c r="AC81" s="83">
        <f t="shared" si="13"/>
        <v>1222.74</v>
      </c>
      <c r="AD81" s="83">
        <f t="shared" si="13"/>
        <v>1190.1399999999999</v>
      </c>
      <c r="AE81" s="83">
        <f t="shared" si="13"/>
        <v>1131.44</v>
      </c>
      <c r="AF81" s="83">
        <f t="shared" si="13"/>
        <v>1080.44</v>
      </c>
      <c r="AG81" s="81">
        <f>AG78+AG74+AG62+AG58+AG40+AG80</f>
        <v>1359.0900000000001</v>
      </c>
      <c r="AH81" s="48">
        <f t="shared" si="10"/>
        <v>1344.04</v>
      </c>
      <c r="AI81" s="49">
        <f t="shared" si="11"/>
        <v>979.54</v>
      </c>
    </row>
    <row r="82" spans="1:37" ht="15.75" thickBot="1" x14ac:dyDescent="0.3">
      <c r="A82" s="74" t="s">
        <v>90</v>
      </c>
      <c r="B82" s="83">
        <f t="shared" ref="B82:AF82" si="14">B81-B89</f>
        <v>799.83999999999992</v>
      </c>
      <c r="C82" s="83">
        <f t="shared" si="14"/>
        <v>793.54</v>
      </c>
      <c r="D82" s="83">
        <f t="shared" si="14"/>
        <v>789.44000000000028</v>
      </c>
      <c r="E82" s="83">
        <f t="shared" si="14"/>
        <v>758.74000000000012</v>
      </c>
      <c r="F82" s="83">
        <f t="shared" si="14"/>
        <v>761.74000000000012</v>
      </c>
      <c r="G82" s="83">
        <f t="shared" si="14"/>
        <v>789.44</v>
      </c>
      <c r="H82" s="83">
        <f t="shared" si="14"/>
        <v>814.34000000000015</v>
      </c>
      <c r="I82" s="83">
        <f t="shared" si="14"/>
        <v>809.1400000000001</v>
      </c>
      <c r="J82" s="83">
        <f t="shared" si="14"/>
        <v>786.24000000000024</v>
      </c>
      <c r="K82" s="83">
        <f t="shared" si="14"/>
        <v>830.1400000000001</v>
      </c>
      <c r="L82" s="83">
        <f t="shared" si="14"/>
        <v>823.04</v>
      </c>
      <c r="M82" s="83">
        <f t="shared" si="14"/>
        <v>838.6400000000001</v>
      </c>
      <c r="N82" s="83">
        <f t="shared" si="14"/>
        <v>813.44000000000017</v>
      </c>
      <c r="O82" s="83">
        <f t="shared" si="14"/>
        <v>786.44</v>
      </c>
      <c r="P82" s="83">
        <f t="shared" si="14"/>
        <v>738.34</v>
      </c>
      <c r="Q82" s="83">
        <f t="shared" si="14"/>
        <v>721.34</v>
      </c>
      <c r="R82" s="83">
        <f t="shared" si="14"/>
        <v>700.54</v>
      </c>
      <c r="S82" s="83">
        <f t="shared" si="14"/>
        <v>694.6400000000001</v>
      </c>
      <c r="T82" s="83">
        <f t="shared" si="14"/>
        <v>699.44</v>
      </c>
      <c r="U82" s="83">
        <f t="shared" si="14"/>
        <v>720.04</v>
      </c>
      <c r="V82" s="83">
        <f t="shared" si="14"/>
        <v>795.13999999999987</v>
      </c>
      <c r="W82" s="83">
        <f t="shared" si="14"/>
        <v>905.23999999999978</v>
      </c>
      <c r="X82" s="83">
        <f t="shared" si="14"/>
        <v>1230.54</v>
      </c>
      <c r="Y82" s="83">
        <f t="shared" si="14"/>
        <v>1226.04</v>
      </c>
      <c r="Z82" s="83">
        <f t="shared" si="14"/>
        <v>1198.3399999999999</v>
      </c>
      <c r="AA82" s="83">
        <f t="shared" si="14"/>
        <v>1145.1400000000001</v>
      </c>
      <c r="AB82" s="83">
        <f t="shared" si="14"/>
        <v>1121.3399999999999</v>
      </c>
      <c r="AC82" s="83">
        <f t="shared" si="14"/>
        <v>1074.74</v>
      </c>
      <c r="AD82" s="83">
        <f t="shared" si="14"/>
        <v>1023.3399999999999</v>
      </c>
      <c r="AE82" s="83">
        <f t="shared" si="14"/>
        <v>926.1400000000001</v>
      </c>
      <c r="AF82" s="83">
        <f t="shared" si="14"/>
        <v>865.84</v>
      </c>
      <c r="AG82" s="81"/>
      <c r="AH82" s="48">
        <f t="shared" si="10"/>
        <v>1230.54</v>
      </c>
      <c r="AI82" s="49">
        <f t="shared" si="11"/>
        <v>694.6400000000001</v>
      </c>
    </row>
    <row r="83" spans="1:37" x14ac:dyDescent="0.25">
      <c r="A83" s="44" t="s">
        <v>74</v>
      </c>
      <c r="B83" s="76">
        <f t="shared" ref="B83:AF83" si="15">IF(B66&lt;0,B66*-1,0)</f>
        <v>0</v>
      </c>
      <c r="C83" s="76">
        <f t="shared" si="15"/>
        <v>0</v>
      </c>
      <c r="D83" s="76">
        <f t="shared" si="15"/>
        <v>0</v>
      </c>
      <c r="E83" s="76">
        <f t="shared" si="15"/>
        <v>0</v>
      </c>
      <c r="F83" s="76">
        <f t="shared" si="15"/>
        <v>0</v>
      </c>
      <c r="G83" s="76">
        <f t="shared" si="15"/>
        <v>0</v>
      </c>
      <c r="H83" s="76">
        <f t="shared" si="15"/>
        <v>0</v>
      </c>
      <c r="I83" s="76">
        <f t="shared" si="15"/>
        <v>0</v>
      </c>
      <c r="J83" s="76">
        <f t="shared" si="15"/>
        <v>0</v>
      </c>
      <c r="K83" s="76">
        <f t="shared" si="15"/>
        <v>0</v>
      </c>
      <c r="L83" s="76">
        <f t="shared" si="15"/>
        <v>0</v>
      </c>
      <c r="M83" s="76">
        <f t="shared" si="15"/>
        <v>0</v>
      </c>
      <c r="N83" s="76">
        <f t="shared" si="15"/>
        <v>0</v>
      </c>
      <c r="O83" s="76">
        <f t="shared" si="15"/>
        <v>0</v>
      </c>
      <c r="P83" s="76">
        <f t="shared" si="15"/>
        <v>0</v>
      </c>
      <c r="Q83" s="76">
        <f t="shared" si="15"/>
        <v>0</v>
      </c>
      <c r="R83" s="76">
        <f t="shared" si="15"/>
        <v>0</v>
      </c>
      <c r="S83" s="76">
        <f t="shared" si="15"/>
        <v>0</v>
      </c>
      <c r="T83" s="76">
        <f t="shared" si="15"/>
        <v>0</v>
      </c>
      <c r="U83" s="76">
        <f t="shared" si="15"/>
        <v>0</v>
      </c>
      <c r="V83" s="76">
        <f t="shared" si="15"/>
        <v>0</v>
      </c>
      <c r="W83" s="76">
        <f t="shared" si="15"/>
        <v>0</v>
      </c>
      <c r="X83" s="76">
        <f t="shared" si="15"/>
        <v>0</v>
      </c>
      <c r="Y83" s="76">
        <f t="shared" si="15"/>
        <v>0</v>
      </c>
      <c r="Z83" s="76">
        <f t="shared" si="15"/>
        <v>0</v>
      </c>
      <c r="AA83" s="76">
        <f t="shared" si="15"/>
        <v>0</v>
      </c>
      <c r="AB83" s="76">
        <f t="shared" si="15"/>
        <v>0</v>
      </c>
      <c r="AC83" s="76">
        <f t="shared" si="15"/>
        <v>0</v>
      </c>
      <c r="AD83" s="76">
        <f t="shared" si="15"/>
        <v>0</v>
      </c>
      <c r="AE83" s="76">
        <f t="shared" si="15"/>
        <v>0</v>
      </c>
      <c r="AF83" s="76">
        <f t="shared" si="15"/>
        <v>0</v>
      </c>
      <c r="AG83" s="52"/>
      <c r="AH83" s="48">
        <f t="shared" si="10"/>
        <v>0</v>
      </c>
      <c r="AI83" s="49">
        <f t="shared" si="11"/>
        <v>0</v>
      </c>
    </row>
    <row r="84" spans="1:37" x14ac:dyDescent="0.25">
      <c r="A84" s="54" t="s">
        <v>72</v>
      </c>
      <c r="B84" s="76">
        <f t="shared" ref="B84:AF84" si="16">IF(B64&lt;0,B64*-1,0)</f>
        <v>0</v>
      </c>
      <c r="C84" s="76">
        <f t="shared" si="16"/>
        <v>0</v>
      </c>
      <c r="D84" s="76">
        <f t="shared" si="16"/>
        <v>0</v>
      </c>
      <c r="E84" s="76">
        <f t="shared" si="16"/>
        <v>0</v>
      </c>
      <c r="F84" s="76">
        <f t="shared" si="16"/>
        <v>0</v>
      </c>
      <c r="G84" s="76">
        <f t="shared" si="16"/>
        <v>0</v>
      </c>
      <c r="H84" s="76">
        <f t="shared" si="16"/>
        <v>0</v>
      </c>
      <c r="I84" s="76">
        <f t="shared" si="16"/>
        <v>0</v>
      </c>
      <c r="J84" s="76">
        <f t="shared" si="16"/>
        <v>0</v>
      </c>
      <c r="K84" s="76">
        <f t="shared" si="16"/>
        <v>0</v>
      </c>
      <c r="L84" s="76">
        <f t="shared" si="16"/>
        <v>0</v>
      </c>
      <c r="M84" s="76">
        <f t="shared" si="16"/>
        <v>0</v>
      </c>
      <c r="N84" s="76">
        <f t="shared" si="16"/>
        <v>0</v>
      </c>
      <c r="O84" s="76">
        <f t="shared" si="16"/>
        <v>0</v>
      </c>
      <c r="P84" s="76">
        <f t="shared" si="16"/>
        <v>0</v>
      </c>
      <c r="Q84" s="76">
        <f t="shared" si="16"/>
        <v>0</v>
      </c>
      <c r="R84" s="76">
        <f t="shared" si="16"/>
        <v>0</v>
      </c>
      <c r="S84" s="76">
        <f t="shared" si="16"/>
        <v>0</v>
      </c>
      <c r="T84" s="76">
        <f t="shared" si="16"/>
        <v>0</v>
      </c>
      <c r="U84" s="76">
        <f t="shared" si="16"/>
        <v>0</v>
      </c>
      <c r="V84" s="76">
        <f t="shared" si="16"/>
        <v>0</v>
      </c>
      <c r="W84" s="76">
        <f t="shared" si="16"/>
        <v>0</v>
      </c>
      <c r="X84" s="76">
        <f t="shared" si="16"/>
        <v>0</v>
      </c>
      <c r="Y84" s="76">
        <f t="shared" si="16"/>
        <v>0</v>
      </c>
      <c r="Z84" s="76">
        <f t="shared" si="16"/>
        <v>0</v>
      </c>
      <c r="AA84" s="76">
        <f t="shared" si="16"/>
        <v>0</v>
      </c>
      <c r="AB84" s="76">
        <f t="shared" si="16"/>
        <v>0</v>
      </c>
      <c r="AC84" s="76">
        <f t="shared" si="16"/>
        <v>0</v>
      </c>
      <c r="AD84" s="76">
        <f t="shared" si="16"/>
        <v>0</v>
      </c>
      <c r="AE84" s="76">
        <f t="shared" si="16"/>
        <v>0</v>
      </c>
      <c r="AF84" s="76">
        <f t="shared" si="16"/>
        <v>0</v>
      </c>
      <c r="AG84" s="55"/>
      <c r="AH84" s="48">
        <f t="shared" si="10"/>
        <v>0</v>
      </c>
      <c r="AI84" s="49">
        <f t="shared" si="11"/>
        <v>0</v>
      </c>
    </row>
    <row r="85" spans="1:37" x14ac:dyDescent="0.25">
      <c r="A85" s="78" t="s">
        <v>91</v>
      </c>
      <c r="B85" s="76">
        <f t="shared" ref="B85:AF85" si="17">IF(B67&lt;0,B67*-1,0)</f>
        <v>0</v>
      </c>
      <c r="C85" s="76">
        <f t="shared" si="17"/>
        <v>0</v>
      </c>
      <c r="D85" s="76">
        <f t="shared" si="17"/>
        <v>0</v>
      </c>
      <c r="E85" s="76">
        <f t="shared" si="17"/>
        <v>0</v>
      </c>
      <c r="F85" s="76">
        <f t="shared" si="17"/>
        <v>0</v>
      </c>
      <c r="G85" s="76">
        <f t="shared" si="17"/>
        <v>0</v>
      </c>
      <c r="H85" s="76">
        <f t="shared" si="17"/>
        <v>0</v>
      </c>
      <c r="I85" s="76">
        <f t="shared" si="17"/>
        <v>0</v>
      </c>
      <c r="J85" s="76">
        <f t="shared" si="17"/>
        <v>0</v>
      </c>
      <c r="K85" s="76">
        <f t="shared" si="17"/>
        <v>0</v>
      </c>
      <c r="L85" s="76">
        <f t="shared" si="17"/>
        <v>0</v>
      </c>
      <c r="M85" s="76">
        <f t="shared" si="17"/>
        <v>0</v>
      </c>
      <c r="N85" s="76">
        <f t="shared" si="17"/>
        <v>0</v>
      </c>
      <c r="O85" s="76">
        <f t="shared" si="17"/>
        <v>0</v>
      </c>
      <c r="P85" s="76">
        <f t="shared" si="17"/>
        <v>0</v>
      </c>
      <c r="Q85" s="76">
        <f t="shared" si="17"/>
        <v>0</v>
      </c>
      <c r="R85" s="76">
        <f t="shared" si="17"/>
        <v>0</v>
      </c>
      <c r="S85" s="76">
        <f t="shared" si="17"/>
        <v>0</v>
      </c>
      <c r="T85" s="76">
        <f t="shared" si="17"/>
        <v>0</v>
      </c>
      <c r="U85" s="76">
        <f t="shared" si="17"/>
        <v>0</v>
      </c>
      <c r="V85" s="76">
        <f t="shared" si="17"/>
        <v>0</v>
      </c>
      <c r="W85" s="76">
        <f t="shared" si="17"/>
        <v>0</v>
      </c>
      <c r="X85" s="76">
        <f t="shared" si="17"/>
        <v>0</v>
      </c>
      <c r="Y85" s="76">
        <f t="shared" si="17"/>
        <v>0</v>
      </c>
      <c r="Z85" s="76">
        <f t="shared" si="17"/>
        <v>0</v>
      </c>
      <c r="AA85" s="76">
        <f t="shared" si="17"/>
        <v>0</v>
      </c>
      <c r="AB85" s="76">
        <f t="shared" si="17"/>
        <v>0</v>
      </c>
      <c r="AC85" s="76">
        <f t="shared" si="17"/>
        <v>0</v>
      </c>
      <c r="AD85" s="76">
        <f t="shared" si="17"/>
        <v>0</v>
      </c>
      <c r="AE85" s="76">
        <f t="shared" si="17"/>
        <v>0</v>
      </c>
      <c r="AF85" s="76">
        <f t="shared" si="17"/>
        <v>0</v>
      </c>
      <c r="AG85" s="86"/>
      <c r="AH85" s="48">
        <f t="shared" si="10"/>
        <v>0</v>
      </c>
      <c r="AI85" s="49">
        <f t="shared" si="11"/>
        <v>0</v>
      </c>
    </row>
    <row r="86" spans="1:37" x14ac:dyDescent="0.25">
      <c r="A86" s="78" t="s">
        <v>92</v>
      </c>
      <c r="B86" s="76">
        <f t="shared" ref="B86:AF86" si="18">IF(B65&lt;0,B65*-1,0)</f>
        <v>250</v>
      </c>
      <c r="C86" s="76">
        <f t="shared" si="18"/>
        <v>254.2</v>
      </c>
      <c r="D86" s="76">
        <f t="shared" si="18"/>
        <v>236.8</v>
      </c>
      <c r="E86" s="76">
        <f t="shared" si="18"/>
        <v>250.6</v>
      </c>
      <c r="F86" s="76">
        <f t="shared" si="18"/>
        <v>254</v>
      </c>
      <c r="G86" s="76">
        <f t="shared" si="18"/>
        <v>235</v>
      </c>
      <c r="H86" s="76">
        <f t="shared" si="18"/>
        <v>240</v>
      </c>
      <c r="I86" s="76">
        <f t="shared" si="18"/>
        <v>258</v>
      </c>
      <c r="J86" s="76">
        <f t="shared" si="18"/>
        <v>280</v>
      </c>
      <c r="K86" s="76">
        <f t="shared" si="18"/>
        <v>267</v>
      </c>
      <c r="L86" s="76">
        <f t="shared" si="18"/>
        <v>273</v>
      </c>
      <c r="M86" s="76">
        <f t="shared" si="18"/>
        <v>275.3</v>
      </c>
      <c r="N86" s="76">
        <f t="shared" si="18"/>
        <v>280.39999999999998</v>
      </c>
      <c r="O86" s="76">
        <f t="shared" si="18"/>
        <v>293</v>
      </c>
      <c r="P86" s="76">
        <f t="shared" si="18"/>
        <v>284</v>
      </c>
      <c r="Q86" s="76">
        <f t="shared" si="18"/>
        <v>296</v>
      </c>
      <c r="R86" s="76">
        <f t="shared" si="18"/>
        <v>279</v>
      </c>
      <c r="S86" s="76">
        <f t="shared" si="18"/>
        <v>289</v>
      </c>
      <c r="T86" s="76">
        <f t="shared" si="18"/>
        <v>296.5</v>
      </c>
      <c r="U86" s="76">
        <f t="shared" si="18"/>
        <v>286</v>
      </c>
      <c r="V86" s="76">
        <f t="shared" si="18"/>
        <v>260</v>
      </c>
      <c r="W86" s="76">
        <f t="shared" si="18"/>
        <v>215</v>
      </c>
      <c r="X86" s="76">
        <f t="shared" si="18"/>
        <v>105</v>
      </c>
      <c r="Y86" s="76">
        <f t="shared" si="18"/>
        <v>118</v>
      </c>
      <c r="Z86" s="76">
        <f t="shared" si="18"/>
        <v>134.9</v>
      </c>
      <c r="AA86" s="76">
        <f t="shared" si="18"/>
        <v>143.30000000000001</v>
      </c>
      <c r="AB86" s="76">
        <f t="shared" si="18"/>
        <v>145.4</v>
      </c>
      <c r="AC86" s="76">
        <f t="shared" si="18"/>
        <v>148</v>
      </c>
      <c r="AD86" s="76">
        <f t="shared" si="18"/>
        <v>166.8</v>
      </c>
      <c r="AE86" s="76">
        <f t="shared" si="18"/>
        <v>205.3</v>
      </c>
      <c r="AF86" s="76">
        <f t="shared" si="18"/>
        <v>214.6</v>
      </c>
      <c r="AG86" s="86"/>
      <c r="AH86" s="48">
        <f t="shared" si="10"/>
        <v>296.5</v>
      </c>
      <c r="AI86" s="49">
        <f t="shared" si="11"/>
        <v>105</v>
      </c>
    </row>
    <row r="87" spans="1:37" x14ac:dyDescent="0.25">
      <c r="A87" s="78" t="s">
        <v>71</v>
      </c>
      <c r="B87" s="76">
        <f t="shared" ref="B87:AF87" si="19">IF(B63&lt;0,B63*-1,0)</f>
        <v>0</v>
      </c>
      <c r="C87" s="76">
        <f t="shared" si="19"/>
        <v>0</v>
      </c>
      <c r="D87" s="76">
        <f t="shared" si="19"/>
        <v>0</v>
      </c>
      <c r="E87" s="76">
        <f t="shared" si="19"/>
        <v>0</v>
      </c>
      <c r="F87" s="76">
        <f t="shared" si="19"/>
        <v>0</v>
      </c>
      <c r="G87" s="76">
        <f t="shared" si="19"/>
        <v>0</v>
      </c>
      <c r="H87" s="76">
        <f t="shared" si="19"/>
        <v>0</v>
      </c>
      <c r="I87" s="76">
        <f t="shared" si="19"/>
        <v>0</v>
      </c>
      <c r="J87" s="76">
        <f t="shared" si="19"/>
        <v>0</v>
      </c>
      <c r="K87" s="76">
        <f t="shared" si="19"/>
        <v>0</v>
      </c>
      <c r="L87" s="76">
        <f t="shared" si="19"/>
        <v>0</v>
      </c>
      <c r="M87" s="76">
        <f t="shared" si="19"/>
        <v>0</v>
      </c>
      <c r="N87" s="76">
        <f t="shared" si="19"/>
        <v>0</v>
      </c>
      <c r="O87" s="76">
        <f t="shared" si="19"/>
        <v>0</v>
      </c>
      <c r="P87" s="76">
        <f t="shared" si="19"/>
        <v>0</v>
      </c>
      <c r="Q87" s="76">
        <f t="shared" si="19"/>
        <v>0</v>
      </c>
      <c r="R87" s="76">
        <f t="shared" si="19"/>
        <v>0</v>
      </c>
      <c r="S87" s="76">
        <f t="shared" si="19"/>
        <v>0</v>
      </c>
      <c r="T87" s="76">
        <f t="shared" si="19"/>
        <v>0</v>
      </c>
      <c r="U87" s="76">
        <f t="shared" si="19"/>
        <v>0</v>
      </c>
      <c r="V87" s="76">
        <f t="shared" si="19"/>
        <v>0</v>
      </c>
      <c r="W87" s="76">
        <f t="shared" si="19"/>
        <v>0</v>
      </c>
      <c r="X87" s="76">
        <f t="shared" si="19"/>
        <v>0</v>
      </c>
      <c r="Y87" s="76">
        <f t="shared" si="19"/>
        <v>0</v>
      </c>
      <c r="Z87" s="76">
        <f t="shared" si="19"/>
        <v>0</v>
      </c>
      <c r="AA87" s="76">
        <f t="shared" si="19"/>
        <v>0</v>
      </c>
      <c r="AB87" s="76">
        <f t="shared" si="19"/>
        <v>0</v>
      </c>
      <c r="AC87" s="76">
        <f t="shared" si="19"/>
        <v>0</v>
      </c>
      <c r="AD87" s="76">
        <f t="shared" si="19"/>
        <v>0</v>
      </c>
      <c r="AE87" s="76">
        <f t="shared" si="19"/>
        <v>0</v>
      </c>
      <c r="AF87" s="76">
        <f t="shared" si="19"/>
        <v>0</v>
      </c>
      <c r="AG87" s="86"/>
      <c r="AH87" s="48">
        <f t="shared" si="10"/>
        <v>0</v>
      </c>
      <c r="AI87" s="49">
        <f t="shared" si="11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10"/>
        <v>0</v>
      </c>
      <c r="AI88" s="49">
        <f t="shared" si="11"/>
        <v>0</v>
      </c>
    </row>
    <row r="89" spans="1:37" ht="15.75" thickBot="1" x14ac:dyDescent="0.3">
      <c r="A89" s="87" t="s">
        <v>94</v>
      </c>
      <c r="B89" s="61">
        <f t="shared" ref="B89:AF89" si="20">SUM(B83:B88)</f>
        <v>250</v>
      </c>
      <c r="C89" s="61">
        <f t="shared" si="20"/>
        <v>254.2</v>
      </c>
      <c r="D89" s="61">
        <f t="shared" si="20"/>
        <v>236.8</v>
      </c>
      <c r="E89" s="61">
        <f t="shared" si="20"/>
        <v>250.6</v>
      </c>
      <c r="F89" s="61">
        <f t="shared" si="20"/>
        <v>254</v>
      </c>
      <c r="G89" s="61">
        <f t="shared" si="20"/>
        <v>235</v>
      </c>
      <c r="H89" s="61">
        <f t="shared" si="20"/>
        <v>240</v>
      </c>
      <c r="I89" s="61">
        <f t="shared" si="20"/>
        <v>258</v>
      </c>
      <c r="J89" s="61">
        <f t="shared" si="20"/>
        <v>280</v>
      </c>
      <c r="K89" s="61">
        <f t="shared" si="20"/>
        <v>267</v>
      </c>
      <c r="L89" s="61">
        <f t="shared" si="20"/>
        <v>273</v>
      </c>
      <c r="M89" s="61">
        <f t="shared" si="20"/>
        <v>275.3</v>
      </c>
      <c r="N89" s="61">
        <f t="shared" si="20"/>
        <v>280.39999999999998</v>
      </c>
      <c r="O89" s="61">
        <f t="shared" si="20"/>
        <v>293</v>
      </c>
      <c r="P89" s="61">
        <f t="shared" si="20"/>
        <v>284</v>
      </c>
      <c r="Q89" s="61">
        <f t="shared" si="20"/>
        <v>296</v>
      </c>
      <c r="R89" s="61">
        <f t="shared" si="20"/>
        <v>279</v>
      </c>
      <c r="S89" s="61">
        <f t="shared" si="20"/>
        <v>289</v>
      </c>
      <c r="T89" s="61">
        <f t="shared" si="20"/>
        <v>296.5</v>
      </c>
      <c r="U89" s="61">
        <f t="shared" si="20"/>
        <v>286</v>
      </c>
      <c r="V89" s="61">
        <f t="shared" si="20"/>
        <v>260</v>
      </c>
      <c r="W89" s="61">
        <f t="shared" si="20"/>
        <v>215</v>
      </c>
      <c r="X89" s="61">
        <f t="shared" si="20"/>
        <v>105</v>
      </c>
      <c r="Y89" s="61">
        <f t="shared" si="20"/>
        <v>118</v>
      </c>
      <c r="Z89" s="61">
        <f t="shared" si="20"/>
        <v>134.9</v>
      </c>
      <c r="AA89" s="61">
        <f t="shared" si="20"/>
        <v>143.30000000000001</v>
      </c>
      <c r="AB89" s="61">
        <f t="shared" si="20"/>
        <v>145.4</v>
      </c>
      <c r="AC89" s="61">
        <f t="shared" si="20"/>
        <v>148</v>
      </c>
      <c r="AD89" s="61">
        <f t="shared" si="20"/>
        <v>166.8</v>
      </c>
      <c r="AE89" s="61">
        <f t="shared" si="20"/>
        <v>205.3</v>
      </c>
      <c r="AF89" s="61">
        <f t="shared" si="20"/>
        <v>214.6</v>
      </c>
      <c r="AG89" s="81"/>
      <c r="AH89" s="48">
        <f t="shared" si="10"/>
        <v>296.5</v>
      </c>
      <c r="AI89" s="49">
        <f t="shared" si="11"/>
        <v>105</v>
      </c>
      <c r="AK89" s="50"/>
    </row>
    <row r="90" spans="1:37" ht="15.75" thickBot="1" x14ac:dyDescent="0.3">
      <c r="A90" s="74" t="s">
        <v>95</v>
      </c>
      <c r="B90" s="61">
        <f t="shared" ref="B90:AF90" si="21">B74-B89</f>
        <v>-250</v>
      </c>
      <c r="C90" s="61">
        <f t="shared" si="21"/>
        <v>-254.2</v>
      </c>
      <c r="D90" s="61">
        <f t="shared" si="21"/>
        <v>-236.8</v>
      </c>
      <c r="E90" s="61">
        <f t="shared" si="21"/>
        <v>-250.6</v>
      </c>
      <c r="F90" s="61">
        <f t="shared" si="21"/>
        <v>-254</v>
      </c>
      <c r="G90" s="61">
        <f t="shared" si="21"/>
        <v>-235</v>
      </c>
      <c r="H90" s="61">
        <f t="shared" si="21"/>
        <v>-240</v>
      </c>
      <c r="I90" s="61">
        <f t="shared" si="21"/>
        <v>-258</v>
      </c>
      <c r="J90" s="61">
        <f t="shared" si="21"/>
        <v>-280</v>
      </c>
      <c r="K90" s="61">
        <f t="shared" si="21"/>
        <v>-267</v>
      </c>
      <c r="L90" s="61">
        <f t="shared" si="21"/>
        <v>-273</v>
      </c>
      <c r="M90" s="61">
        <f t="shared" si="21"/>
        <v>-275.3</v>
      </c>
      <c r="N90" s="61">
        <f t="shared" si="21"/>
        <v>-280.39999999999998</v>
      </c>
      <c r="O90" s="61">
        <f t="shared" si="21"/>
        <v>-293</v>
      </c>
      <c r="P90" s="61">
        <f t="shared" si="21"/>
        <v>-284</v>
      </c>
      <c r="Q90" s="61">
        <f t="shared" si="21"/>
        <v>-296</v>
      </c>
      <c r="R90" s="61">
        <f t="shared" si="21"/>
        <v>-279</v>
      </c>
      <c r="S90" s="61">
        <f t="shared" si="21"/>
        <v>-289</v>
      </c>
      <c r="T90" s="61">
        <f t="shared" si="21"/>
        <v>-296.5</v>
      </c>
      <c r="U90" s="61">
        <f t="shared" si="21"/>
        <v>-286</v>
      </c>
      <c r="V90" s="61">
        <f t="shared" si="21"/>
        <v>-260</v>
      </c>
      <c r="W90" s="61">
        <f t="shared" si="21"/>
        <v>-215</v>
      </c>
      <c r="X90" s="61">
        <f t="shared" si="21"/>
        <v>-105</v>
      </c>
      <c r="Y90" s="61">
        <f t="shared" si="21"/>
        <v>-118</v>
      </c>
      <c r="Z90" s="61">
        <f t="shared" si="21"/>
        <v>-134.9</v>
      </c>
      <c r="AA90" s="61">
        <f t="shared" si="21"/>
        <v>-143.30000000000001</v>
      </c>
      <c r="AB90" s="61">
        <f t="shared" si="21"/>
        <v>-145.4</v>
      </c>
      <c r="AC90" s="61">
        <f t="shared" si="21"/>
        <v>-148</v>
      </c>
      <c r="AD90" s="61">
        <f t="shared" si="21"/>
        <v>-166.8</v>
      </c>
      <c r="AE90" s="61">
        <f t="shared" si="21"/>
        <v>-205.3</v>
      </c>
      <c r="AF90" s="61">
        <f t="shared" si="21"/>
        <v>-214.6</v>
      </c>
      <c r="AG90" s="81"/>
      <c r="AH90" s="48">
        <f t="shared" si="10"/>
        <v>-105</v>
      </c>
      <c r="AI90" s="49">
        <f t="shared" si="11"/>
        <v>-296.5</v>
      </c>
    </row>
    <row r="91" spans="1:37" x14ac:dyDescent="0.25">
      <c r="A91" s="88" t="s">
        <v>96</v>
      </c>
      <c r="B91" s="89">
        <v>50.002000000000002</v>
      </c>
      <c r="C91" s="89">
        <v>49.981999999999999</v>
      </c>
      <c r="D91" s="89">
        <v>49.999000000000002</v>
      </c>
      <c r="E91" s="89">
        <v>49.957999999999998</v>
      </c>
      <c r="F91" s="89">
        <v>49.962000000000003</v>
      </c>
      <c r="G91" s="89">
        <v>49.962000000000003</v>
      </c>
      <c r="H91" s="89">
        <v>49.997</v>
      </c>
      <c r="I91" s="89">
        <v>49.859000000000002</v>
      </c>
      <c r="J91" s="89">
        <v>49.933999999999997</v>
      </c>
      <c r="K91" s="89">
        <v>49.9</v>
      </c>
      <c r="L91" s="89">
        <v>49.988</v>
      </c>
      <c r="M91" s="89">
        <v>50.05</v>
      </c>
      <c r="N91" s="89">
        <v>50.02</v>
      </c>
      <c r="O91" s="89">
        <v>50.003999999999998</v>
      </c>
      <c r="P91" s="89">
        <v>50.146000000000001</v>
      </c>
      <c r="Q91" s="89"/>
      <c r="R91" s="89">
        <v>49.997</v>
      </c>
      <c r="S91" s="89">
        <v>49.951999999999998</v>
      </c>
      <c r="T91" s="89">
        <v>49.87</v>
      </c>
      <c r="U91" s="89">
        <v>50.018000000000001</v>
      </c>
      <c r="V91" s="89">
        <v>49.973999999999997</v>
      </c>
      <c r="W91" s="89">
        <v>50.091000000000001</v>
      </c>
      <c r="X91" s="89">
        <v>50.027000000000001</v>
      </c>
      <c r="Y91" s="89">
        <v>50.101999999999997</v>
      </c>
      <c r="Z91" s="89">
        <v>50.057000000000002</v>
      </c>
      <c r="AA91" s="89">
        <v>49.984000000000002</v>
      </c>
      <c r="AB91" s="89">
        <v>50.066000000000003</v>
      </c>
      <c r="AC91" s="89">
        <v>49.892000000000003</v>
      </c>
      <c r="AD91" s="89">
        <v>49.930999999999997</v>
      </c>
      <c r="AE91" s="89">
        <v>50.058999999999997</v>
      </c>
      <c r="AF91" s="89">
        <v>49.984999999999999</v>
      </c>
      <c r="AG91" s="90"/>
      <c r="AH91" s="48">
        <f t="shared" si="10"/>
        <v>50.146000000000001</v>
      </c>
      <c r="AI91" s="49">
        <f t="shared" si="11"/>
        <v>49.859000000000002</v>
      </c>
    </row>
    <row r="92" spans="1:37" x14ac:dyDescent="0.25">
      <c r="A92" s="91" t="s">
        <v>97</v>
      </c>
      <c r="B92" s="65">
        <v>127.9</v>
      </c>
      <c r="C92" s="65">
        <v>127.9</v>
      </c>
      <c r="D92" s="65">
        <v>128.5</v>
      </c>
      <c r="E92" s="65">
        <v>129.19999999999999</v>
      </c>
      <c r="F92" s="65">
        <v>129.69999999999999</v>
      </c>
      <c r="G92" s="65">
        <v>129.69999999999999</v>
      </c>
      <c r="H92" s="65">
        <v>129.4</v>
      </c>
      <c r="I92" s="65">
        <v>128.19999999999999</v>
      </c>
      <c r="J92" s="65">
        <v>127.9</v>
      </c>
      <c r="K92" s="65">
        <v>126.7</v>
      </c>
      <c r="L92" s="65">
        <v>125.9</v>
      </c>
      <c r="M92" s="65">
        <v>125.2</v>
      </c>
      <c r="N92" s="65">
        <v>125.3</v>
      </c>
      <c r="O92" s="65">
        <v>126.5</v>
      </c>
      <c r="P92" s="65">
        <v>126.4</v>
      </c>
      <c r="Q92" s="65"/>
      <c r="R92" s="65">
        <v>127.1</v>
      </c>
      <c r="S92" s="65">
        <v>127.9</v>
      </c>
      <c r="T92" s="65">
        <v>126.9</v>
      </c>
      <c r="U92" s="65">
        <v>127.6</v>
      </c>
      <c r="V92" s="65">
        <v>127</v>
      </c>
      <c r="W92" s="65">
        <v>127</v>
      </c>
      <c r="X92" s="65">
        <v>125.6</v>
      </c>
      <c r="Y92" s="65">
        <v>125.4</v>
      </c>
      <c r="Z92" s="65">
        <v>125.6</v>
      </c>
      <c r="AA92" s="65">
        <v>126.6</v>
      </c>
      <c r="AB92" s="65">
        <v>127.1</v>
      </c>
      <c r="AC92" s="65">
        <v>127.5</v>
      </c>
      <c r="AD92" s="65">
        <v>128</v>
      </c>
      <c r="AE92" s="65">
        <v>128</v>
      </c>
      <c r="AF92" s="65">
        <v>128</v>
      </c>
      <c r="AG92" s="92"/>
      <c r="AH92" s="48">
        <f t="shared" si="10"/>
        <v>129.69999999999999</v>
      </c>
      <c r="AI92" s="49">
        <f t="shared" si="11"/>
        <v>125.2</v>
      </c>
    </row>
    <row r="93" spans="1:37" x14ac:dyDescent="0.25">
      <c r="A93" s="91" t="s">
        <v>98</v>
      </c>
      <c r="B93" s="65">
        <v>131.6</v>
      </c>
      <c r="C93" s="65">
        <v>131.6</v>
      </c>
      <c r="D93" s="65">
        <v>132.19999999999999</v>
      </c>
      <c r="E93" s="65">
        <v>132.6</v>
      </c>
      <c r="F93" s="65">
        <v>133.1</v>
      </c>
      <c r="G93" s="65">
        <v>133.1</v>
      </c>
      <c r="H93" s="65">
        <v>132.80000000000001</v>
      </c>
      <c r="I93" s="65">
        <v>131.6</v>
      </c>
      <c r="J93" s="65">
        <v>131.19999999999999</v>
      </c>
      <c r="K93" s="65">
        <v>130</v>
      </c>
      <c r="L93" s="65">
        <v>129.19999999999999</v>
      </c>
      <c r="M93" s="65">
        <v>128.5</v>
      </c>
      <c r="N93" s="65">
        <v>128.9</v>
      </c>
      <c r="O93" s="65">
        <v>129.6</v>
      </c>
      <c r="P93" s="65">
        <v>130.19999999999999</v>
      </c>
      <c r="Q93" s="65"/>
      <c r="R93" s="65">
        <v>131.1</v>
      </c>
      <c r="S93" s="65">
        <v>131.19999999999999</v>
      </c>
      <c r="T93" s="65">
        <v>130.5</v>
      </c>
      <c r="U93" s="65">
        <v>131.1</v>
      </c>
      <c r="V93" s="65">
        <v>130.69999999999999</v>
      </c>
      <c r="W93" s="65">
        <v>130.4</v>
      </c>
      <c r="X93" s="65">
        <v>128.4</v>
      </c>
      <c r="Y93" s="65">
        <v>128.30000000000001</v>
      </c>
      <c r="Z93" s="65">
        <v>128.80000000000001</v>
      </c>
      <c r="AA93" s="65">
        <v>129.5</v>
      </c>
      <c r="AB93" s="65">
        <v>130.1</v>
      </c>
      <c r="AC93" s="65">
        <v>130.80000000000001</v>
      </c>
      <c r="AD93" s="65">
        <v>130.9</v>
      </c>
      <c r="AE93" s="65">
        <v>132</v>
      </c>
      <c r="AF93" s="65">
        <v>131</v>
      </c>
      <c r="AG93" s="92"/>
      <c r="AH93" s="48">
        <f t="shared" si="10"/>
        <v>133.1</v>
      </c>
      <c r="AI93" s="49">
        <f t="shared" si="11"/>
        <v>128.30000000000001</v>
      </c>
    </row>
    <row r="94" spans="1:37" x14ac:dyDescent="0.25">
      <c r="A94" s="91" t="s">
        <v>99</v>
      </c>
      <c r="B94" s="65">
        <v>130.69999999999999</v>
      </c>
      <c r="C94" s="65">
        <v>130.69999999999999</v>
      </c>
      <c r="D94" s="65">
        <v>131.19999999999999</v>
      </c>
      <c r="E94" s="65">
        <v>131.5</v>
      </c>
      <c r="F94" s="65">
        <v>131.6</v>
      </c>
      <c r="G94" s="65">
        <v>131.6</v>
      </c>
      <c r="H94" s="65">
        <v>131.30000000000001</v>
      </c>
      <c r="I94" s="65">
        <v>130.4</v>
      </c>
      <c r="J94" s="65">
        <v>130.1</v>
      </c>
      <c r="K94" s="65">
        <v>129.80000000000001</v>
      </c>
      <c r="L94" s="65">
        <v>129.1</v>
      </c>
      <c r="M94" s="65">
        <v>129.30000000000001</v>
      </c>
      <c r="N94" s="65">
        <v>130.4</v>
      </c>
      <c r="O94" s="65">
        <v>132.80000000000001</v>
      </c>
      <c r="P94" s="65">
        <v>129.69999999999999</v>
      </c>
      <c r="Q94" s="65"/>
      <c r="R94" s="65">
        <v>128.69999999999999</v>
      </c>
      <c r="S94" s="65">
        <v>129.30000000000001</v>
      </c>
      <c r="T94" s="65">
        <v>129</v>
      </c>
      <c r="U94" s="65">
        <v>130.30000000000001</v>
      </c>
      <c r="V94" s="65">
        <v>130.5</v>
      </c>
      <c r="W94" s="65">
        <v>128.30000000000001</v>
      </c>
      <c r="X94" s="65">
        <v>128.69999999999999</v>
      </c>
      <c r="Y94" s="65">
        <v>130.80000000000001</v>
      </c>
      <c r="Z94" s="65">
        <v>130.1</v>
      </c>
      <c r="AA94" s="65">
        <v>131.4</v>
      </c>
      <c r="AB94" s="65">
        <v>132.5</v>
      </c>
      <c r="AC94" s="65">
        <v>131.19999999999999</v>
      </c>
      <c r="AD94" s="65">
        <v>130</v>
      </c>
      <c r="AE94" s="65">
        <v>131</v>
      </c>
      <c r="AF94" s="65">
        <v>132</v>
      </c>
      <c r="AG94" s="92"/>
      <c r="AH94" s="48">
        <f t="shared" si="10"/>
        <v>132.80000000000001</v>
      </c>
      <c r="AI94" s="49">
        <f t="shared" si="11"/>
        <v>128.30000000000001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10"/>
        <v>0</v>
      </c>
      <c r="AI95" s="49">
        <f t="shared" si="11"/>
        <v>0</v>
      </c>
    </row>
    <row r="96" spans="1:37" x14ac:dyDescent="0.25">
      <c r="A96" s="93" t="s">
        <v>101</v>
      </c>
      <c r="B96" s="94">
        <v>133.5</v>
      </c>
      <c r="C96" s="94">
        <v>133.5</v>
      </c>
      <c r="D96" s="94">
        <v>133.4</v>
      </c>
      <c r="E96" s="94">
        <v>135.80000000000001</v>
      </c>
      <c r="F96" s="94">
        <v>137.19999999999999</v>
      </c>
      <c r="G96" s="94">
        <v>137.19999999999999</v>
      </c>
      <c r="H96" s="94">
        <v>136.9</v>
      </c>
      <c r="I96" s="94">
        <v>135.6</v>
      </c>
      <c r="J96" s="94">
        <v>136.30000000000001</v>
      </c>
      <c r="K96" s="94">
        <v>134.30000000000001</v>
      </c>
      <c r="L96" s="94">
        <v>132.80000000000001</v>
      </c>
      <c r="M96" s="94">
        <v>132.6</v>
      </c>
      <c r="N96" s="94">
        <v>132.6</v>
      </c>
      <c r="O96" s="94">
        <v>132.80000000000001</v>
      </c>
      <c r="P96" s="94">
        <v>133.5</v>
      </c>
      <c r="Q96" s="94"/>
      <c r="R96" s="94">
        <v>134</v>
      </c>
      <c r="S96" s="94">
        <v>135.1</v>
      </c>
      <c r="T96" s="94">
        <v>134.9</v>
      </c>
      <c r="U96" s="94">
        <v>135.19999999999999</v>
      </c>
      <c r="V96" s="94">
        <v>135</v>
      </c>
      <c r="W96" s="94">
        <v>135.69999999999999</v>
      </c>
      <c r="X96" s="94">
        <v>134</v>
      </c>
      <c r="Y96" s="94">
        <v>132.5</v>
      </c>
      <c r="Z96" s="94">
        <v>133.19999999999999</v>
      </c>
      <c r="AA96" s="94">
        <v>134.6</v>
      </c>
      <c r="AB96" s="94">
        <v>134.19999999999999</v>
      </c>
      <c r="AC96" s="94">
        <v>136</v>
      </c>
      <c r="AD96" s="94">
        <v>134</v>
      </c>
      <c r="AE96" s="94">
        <v>135.6</v>
      </c>
      <c r="AF96" s="94">
        <v>134</v>
      </c>
      <c r="AG96" s="95"/>
      <c r="AH96" s="48">
        <f t="shared" si="10"/>
        <v>137.19999999999999</v>
      </c>
      <c r="AI96" s="49">
        <f t="shared" si="11"/>
        <v>132.5</v>
      </c>
    </row>
    <row r="97" spans="1:37" x14ac:dyDescent="0.25">
      <c r="A97" s="91" t="s">
        <v>102</v>
      </c>
      <c r="B97" s="65">
        <v>131.9</v>
      </c>
      <c r="C97" s="65">
        <v>131.9</v>
      </c>
      <c r="D97" s="65">
        <v>132.4</v>
      </c>
      <c r="E97" s="65">
        <v>134</v>
      </c>
      <c r="F97" s="65">
        <v>135</v>
      </c>
      <c r="G97" s="65">
        <v>135</v>
      </c>
      <c r="H97" s="65">
        <v>134.5</v>
      </c>
      <c r="I97" s="65">
        <v>132.9</v>
      </c>
      <c r="J97" s="65">
        <v>133.19999999999999</v>
      </c>
      <c r="K97" s="65">
        <v>130.69999999999999</v>
      </c>
      <c r="L97" s="65">
        <v>129.6</v>
      </c>
      <c r="M97" s="65">
        <v>130.6</v>
      </c>
      <c r="N97" s="65">
        <v>130.69999999999999</v>
      </c>
      <c r="O97" s="65">
        <v>131.69999999999999</v>
      </c>
      <c r="P97" s="65">
        <v>131.4</v>
      </c>
      <c r="Q97" s="65"/>
      <c r="R97" s="65">
        <v>130.80000000000001</v>
      </c>
      <c r="S97" s="65">
        <v>132.4</v>
      </c>
      <c r="T97" s="65">
        <v>132.6</v>
      </c>
      <c r="U97" s="65">
        <v>132.30000000000001</v>
      </c>
      <c r="V97" s="65">
        <v>131.69999999999999</v>
      </c>
      <c r="W97" s="65">
        <v>132.6</v>
      </c>
      <c r="X97" s="65">
        <v>128.69999999999999</v>
      </c>
      <c r="Y97" s="65">
        <v>130.69999999999999</v>
      </c>
      <c r="Z97" s="65">
        <v>131.80000000000001</v>
      </c>
      <c r="AA97" s="65">
        <v>133.69999999999999</v>
      </c>
      <c r="AB97" s="65">
        <v>132.6</v>
      </c>
      <c r="AC97" s="65">
        <v>134.1</v>
      </c>
      <c r="AD97" s="65">
        <v>132.9</v>
      </c>
      <c r="AE97" s="65">
        <v>134</v>
      </c>
      <c r="AF97" s="65">
        <v>134</v>
      </c>
      <c r="AG97" s="92"/>
      <c r="AH97" s="48">
        <f t="shared" si="10"/>
        <v>135</v>
      </c>
      <c r="AI97" s="49">
        <f t="shared" si="11"/>
        <v>128.69999999999999</v>
      </c>
    </row>
    <row r="98" spans="1:37" ht="15.75" thickBot="1" x14ac:dyDescent="0.3">
      <c r="A98" s="91" t="s">
        <v>103</v>
      </c>
      <c r="B98" s="96">
        <v>66.3</v>
      </c>
      <c r="C98" s="96">
        <v>66.400000000000006</v>
      </c>
      <c r="D98" s="96">
        <v>66.599999999999994</v>
      </c>
      <c r="E98" s="96">
        <v>66.8</v>
      </c>
      <c r="F98" s="96">
        <v>67.099999999999994</v>
      </c>
      <c r="G98" s="96">
        <v>67.099999999999994</v>
      </c>
      <c r="H98" s="96">
        <v>66.900000000000006</v>
      </c>
      <c r="I98" s="96">
        <v>66.099999999999994</v>
      </c>
      <c r="J98" s="96">
        <v>66.3</v>
      </c>
      <c r="K98" s="96">
        <v>65.400000000000006</v>
      </c>
      <c r="L98" s="96">
        <v>65.099999999999994</v>
      </c>
      <c r="M98" s="96">
        <v>64.900000000000006</v>
      </c>
      <c r="N98" s="96">
        <v>64.099999999999994</v>
      </c>
      <c r="O98" s="96">
        <v>65.5</v>
      </c>
      <c r="P98" s="96">
        <v>65.900000000000006</v>
      </c>
      <c r="Q98" s="96"/>
      <c r="R98" s="96">
        <v>66.099999999999994</v>
      </c>
      <c r="S98" s="96">
        <v>66.099999999999994</v>
      </c>
      <c r="T98" s="96">
        <v>65.8</v>
      </c>
      <c r="U98" s="96">
        <v>66.2</v>
      </c>
      <c r="V98" s="96">
        <v>66</v>
      </c>
      <c r="W98" s="96">
        <v>65.7</v>
      </c>
      <c r="X98" s="96">
        <v>64.599999999999994</v>
      </c>
      <c r="Y98" s="96">
        <v>64.7</v>
      </c>
      <c r="Z98" s="96">
        <v>65</v>
      </c>
      <c r="AA98" s="96">
        <v>65.3</v>
      </c>
      <c r="AB98" s="96">
        <v>65.7</v>
      </c>
      <c r="AC98" s="96">
        <v>66.099999999999994</v>
      </c>
      <c r="AD98" s="96">
        <v>66</v>
      </c>
      <c r="AE98" s="96">
        <v>66</v>
      </c>
      <c r="AF98" s="96">
        <v>66</v>
      </c>
      <c r="AG98" s="97"/>
      <c r="AH98" s="48">
        <f t="shared" si="10"/>
        <v>67.099999999999994</v>
      </c>
      <c r="AI98" s="49">
        <f t="shared" si="11"/>
        <v>64.099999999999994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10"/>
        <v>0</v>
      </c>
      <c r="AI99" s="49">
        <f t="shared" si="11"/>
        <v>0</v>
      </c>
    </row>
    <row r="100" spans="1:37" ht="15.75" thickBot="1" x14ac:dyDescent="0.3">
      <c r="A100" s="99" t="s">
        <v>104</v>
      </c>
      <c r="B100" s="100">
        <f t="shared" ref="B100:AF100" si="22">SUM(B15,B20,B22:B23,B48,B50:B51,B53,B55,B101:B105,B127,B133,B139,B148,B150,B162,B169,B172:B173,B180,B182,B184,B188:B190,B192:B194,B199,B205:B206,B208:B210,B218,B223)</f>
        <v>90.1</v>
      </c>
      <c r="C100" s="100">
        <f t="shared" si="22"/>
        <v>89.339999999999975</v>
      </c>
      <c r="D100" s="100">
        <f t="shared" si="22"/>
        <v>76.539999999999992</v>
      </c>
      <c r="E100" s="100">
        <f t="shared" si="22"/>
        <v>75.839999999999975</v>
      </c>
      <c r="F100" s="100">
        <f t="shared" si="22"/>
        <v>82.539999999999992</v>
      </c>
      <c r="G100" s="100">
        <f t="shared" si="22"/>
        <v>92.240000000000009</v>
      </c>
      <c r="H100" s="100">
        <f t="shared" si="22"/>
        <v>134.24</v>
      </c>
      <c r="I100" s="100">
        <f t="shared" si="22"/>
        <v>115.84</v>
      </c>
      <c r="J100" s="100">
        <f t="shared" si="22"/>
        <v>137.44</v>
      </c>
      <c r="K100" s="100">
        <f t="shared" si="22"/>
        <v>115.24</v>
      </c>
      <c r="L100" s="100">
        <f t="shared" si="22"/>
        <v>126.33999999999999</v>
      </c>
      <c r="M100" s="100">
        <f t="shared" si="22"/>
        <v>135.63999999999993</v>
      </c>
      <c r="N100" s="100">
        <f t="shared" si="22"/>
        <v>135.84</v>
      </c>
      <c r="O100" s="100">
        <v>130.24000000000004</v>
      </c>
      <c r="P100" s="100">
        <f t="shared" si="22"/>
        <v>105.13999999999999</v>
      </c>
      <c r="Q100" s="100">
        <f t="shared" si="22"/>
        <v>118.60000000000001</v>
      </c>
      <c r="R100" s="100">
        <f t="shared" si="22"/>
        <v>77.699999999999989</v>
      </c>
      <c r="S100" s="100">
        <f t="shared" si="22"/>
        <v>80</v>
      </c>
      <c r="T100" s="100">
        <f t="shared" si="22"/>
        <v>85.799999999999983</v>
      </c>
      <c r="U100" s="100">
        <f t="shared" si="22"/>
        <v>96.000000000000014</v>
      </c>
      <c r="V100" s="100">
        <f t="shared" si="22"/>
        <v>107.80000000000001</v>
      </c>
      <c r="W100" s="100">
        <f t="shared" si="22"/>
        <v>131.9</v>
      </c>
      <c r="X100" s="100">
        <f t="shared" si="22"/>
        <v>231.20000000000002</v>
      </c>
      <c r="Y100" s="100">
        <f t="shared" si="22"/>
        <v>243.1</v>
      </c>
      <c r="Z100" s="100">
        <f t="shared" si="22"/>
        <v>234.09999999999997</v>
      </c>
      <c r="AA100" s="100">
        <f t="shared" si="22"/>
        <v>207.79999999999998</v>
      </c>
      <c r="AB100" s="100">
        <f t="shared" si="22"/>
        <v>187.8</v>
      </c>
      <c r="AC100" s="100">
        <f t="shared" si="22"/>
        <v>172.10000000000002</v>
      </c>
      <c r="AD100" s="100">
        <f t="shared" si="22"/>
        <v>150.00000000000003</v>
      </c>
      <c r="AE100" s="100">
        <f t="shared" si="22"/>
        <v>127.89999999999996</v>
      </c>
      <c r="AF100" s="100">
        <f t="shared" si="22"/>
        <v>90.1</v>
      </c>
      <c r="AG100" s="101"/>
      <c r="AH100" s="48">
        <f t="shared" si="10"/>
        <v>243.1</v>
      </c>
      <c r="AI100" s="49">
        <f t="shared" si="11"/>
        <v>75.839999999999975</v>
      </c>
    </row>
    <row r="101" spans="1:37" x14ac:dyDescent="0.25">
      <c r="A101" s="88" t="s">
        <v>105</v>
      </c>
      <c r="B101" s="102">
        <v>39.4</v>
      </c>
      <c r="C101" s="102">
        <v>42.1</v>
      </c>
      <c r="D101" s="102">
        <v>40.1</v>
      </c>
      <c r="E101" s="102">
        <v>36.799999999999997</v>
      </c>
      <c r="F101" s="102">
        <v>39</v>
      </c>
      <c r="G101" s="102">
        <v>39</v>
      </c>
      <c r="H101" s="102">
        <v>43</v>
      </c>
      <c r="I101" s="102">
        <v>45</v>
      </c>
      <c r="J101" s="102">
        <v>48</v>
      </c>
      <c r="K101" s="102">
        <v>44</v>
      </c>
      <c r="L101" s="102">
        <v>47</v>
      </c>
      <c r="M101" s="102">
        <v>48</v>
      </c>
      <c r="N101" s="102">
        <v>50.4</v>
      </c>
      <c r="O101" s="102">
        <v>45.9</v>
      </c>
      <c r="P101" s="102">
        <v>43.4</v>
      </c>
      <c r="Q101" s="102"/>
      <c r="R101" s="102">
        <v>35.700000000000003</v>
      </c>
      <c r="S101" s="102">
        <v>33.6</v>
      </c>
      <c r="T101" s="102">
        <v>40.5</v>
      </c>
      <c r="U101" s="102">
        <v>37.799999999999997</v>
      </c>
      <c r="V101" s="102">
        <v>41.4</v>
      </c>
      <c r="W101" s="102">
        <v>48</v>
      </c>
      <c r="X101" s="102">
        <v>57.9</v>
      </c>
      <c r="Y101" s="102">
        <v>61</v>
      </c>
      <c r="Z101" s="102">
        <v>61.7</v>
      </c>
      <c r="AA101" s="102">
        <v>56.3</v>
      </c>
      <c r="AB101" s="102">
        <v>50.2</v>
      </c>
      <c r="AC101" s="102">
        <v>49.4</v>
      </c>
      <c r="AD101" s="102">
        <v>47.2</v>
      </c>
      <c r="AE101" s="102">
        <v>47.7</v>
      </c>
      <c r="AF101" s="102">
        <v>40.9</v>
      </c>
      <c r="AG101" s="103">
        <v>75</v>
      </c>
      <c r="AH101" s="48">
        <f t="shared" si="10"/>
        <v>61.7</v>
      </c>
      <c r="AI101" s="49">
        <f t="shared" si="11"/>
        <v>33.6</v>
      </c>
    </row>
    <row r="102" spans="1:37" x14ac:dyDescent="0.25">
      <c r="A102" s="91" t="s">
        <v>106</v>
      </c>
      <c r="B102" s="104">
        <v>62.9</v>
      </c>
      <c r="C102" s="104">
        <v>66.599999999999994</v>
      </c>
      <c r="D102" s="104">
        <v>63.5</v>
      </c>
      <c r="E102" s="104">
        <v>59.1</v>
      </c>
      <c r="F102" s="104">
        <v>57</v>
      </c>
      <c r="G102" s="104">
        <v>57</v>
      </c>
      <c r="H102" s="104">
        <v>62</v>
      </c>
      <c r="I102" s="104">
        <v>64</v>
      </c>
      <c r="J102" s="104">
        <v>69</v>
      </c>
      <c r="K102" s="104">
        <v>63</v>
      </c>
      <c r="L102" s="104">
        <v>69</v>
      </c>
      <c r="M102" s="104">
        <v>70.099999999999994</v>
      </c>
      <c r="N102" s="104">
        <v>73.400000000000006</v>
      </c>
      <c r="O102" s="104">
        <v>67.7</v>
      </c>
      <c r="P102" s="104">
        <v>64.2</v>
      </c>
      <c r="Q102" s="104"/>
      <c r="R102" s="104">
        <v>53.8</v>
      </c>
      <c r="S102" s="104">
        <v>51.7</v>
      </c>
      <c r="T102" s="104">
        <v>59.2</v>
      </c>
      <c r="U102" s="104">
        <v>54.8</v>
      </c>
      <c r="V102" s="104">
        <v>60</v>
      </c>
      <c r="W102" s="104">
        <v>69</v>
      </c>
      <c r="X102" s="104">
        <v>84.8</v>
      </c>
      <c r="Y102" s="104">
        <v>89.1</v>
      </c>
      <c r="Z102" s="104">
        <v>89.1</v>
      </c>
      <c r="AA102" s="104">
        <v>80.8</v>
      </c>
      <c r="AB102" s="104">
        <v>71.099999999999994</v>
      </c>
      <c r="AC102" s="104">
        <v>69.900000000000006</v>
      </c>
      <c r="AD102" s="104">
        <v>67.900000000000006</v>
      </c>
      <c r="AE102" s="104">
        <v>69.099999999999994</v>
      </c>
      <c r="AF102" s="104">
        <v>60.4</v>
      </c>
      <c r="AG102" s="103">
        <v>240</v>
      </c>
      <c r="AH102" s="48">
        <f t="shared" si="10"/>
        <v>89.1</v>
      </c>
      <c r="AI102" s="49">
        <f t="shared" si="11"/>
        <v>51.7</v>
      </c>
    </row>
    <row r="103" spans="1:37" x14ac:dyDescent="0.25">
      <c r="A103" s="91" t="s">
        <v>107</v>
      </c>
      <c r="B103" s="104">
        <v>-135</v>
      </c>
      <c r="C103" s="104">
        <v>-139</v>
      </c>
      <c r="D103" s="104">
        <v>-138</v>
      </c>
      <c r="E103" s="104">
        <v>-131</v>
      </c>
      <c r="F103" s="104">
        <v>-125</v>
      </c>
      <c r="G103" s="104">
        <v>-125</v>
      </c>
      <c r="H103" s="104">
        <v>-103</v>
      </c>
      <c r="I103" s="104">
        <v>-127</v>
      </c>
      <c r="J103" s="104">
        <v>-115</v>
      </c>
      <c r="K103" s="104">
        <v>-133</v>
      </c>
      <c r="L103" s="104">
        <v>-130</v>
      </c>
      <c r="M103" s="104">
        <f>-62.1-65.7</f>
        <v>-127.80000000000001</v>
      </c>
      <c r="N103" s="104">
        <f>-62.6-65.9</f>
        <v>-128.5</v>
      </c>
      <c r="O103" s="104">
        <v>-127.6</v>
      </c>
      <c r="P103" s="104">
        <f>-61.9-65.1</f>
        <v>-127</v>
      </c>
      <c r="Q103" s="104"/>
      <c r="R103" s="104">
        <f>-63-66</f>
        <v>-129</v>
      </c>
      <c r="S103" s="104">
        <v>-124</v>
      </c>
      <c r="T103" s="104">
        <v>-132</v>
      </c>
      <c r="U103" s="104">
        <v>-116.3</v>
      </c>
      <c r="V103" s="104">
        <v>-127</v>
      </c>
      <c r="W103" s="104">
        <v>-121</v>
      </c>
      <c r="X103" s="104">
        <v>-103</v>
      </c>
      <c r="Y103" s="104">
        <v>-102.2</v>
      </c>
      <c r="Z103" s="104">
        <v>-110</v>
      </c>
      <c r="AA103" s="104">
        <v>-111</v>
      </c>
      <c r="AB103" s="104">
        <f>-55.7-59.2</f>
        <v>-114.9</v>
      </c>
      <c r="AC103" s="104">
        <f>-52.6-55.4</f>
        <v>-108</v>
      </c>
      <c r="AD103" s="104">
        <v>-116</v>
      </c>
      <c r="AE103" s="104">
        <v>-124.7</v>
      </c>
      <c r="AF103" s="104">
        <v>-130</v>
      </c>
      <c r="AG103" s="103">
        <v>240</v>
      </c>
      <c r="AH103" s="48">
        <f t="shared" si="10"/>
        <v>-102.2</v>
      </c>
      <c r="AI103" s="49">
        <f t="shared" si="11"/>
        <v>-139</v>
      </c>
    </row>
    <row r="104" spans="1:37" x14ac:dyDescent="0.25">
      <c r="A104" s="91" t="s">
        <v>108</v>
      </c>
      <c r="B104" s="104">
        <v>-1.9</v>
      </c>
      <c r="C104" s="104">
        <v>-3.9</v>
      </c>
      <c r="D104" s="104">
        <v>-3.6</v>
      </c>
      <c r="E104" s="104">
        <v>-3.6</v>
      </c>
      <c r="F104" s="104">
        <v>-3</v>
      </c>
      <c r="G104" s="104">
        <v>-3</v>
      </c>
      <c r="H104" s="104">
        <v>-2</v>
      </c>
      <c r="I104" s="104">
        <v>-1.6</v>
      </c>
      <c r="J104" s="104">
        <v>0</v>
      </c>
      <c r="K104" s="104">
        <v>5.8</v>
      </c>
      <c r="L104" s="104">
        <v>5.2</v>
      </c>
      <c r="M104" s="104">
        <v>5.2</v>
      </c>
      <c r="N104" s="104">
        <v>4.9000000000000004</v>
      </c>
      <c r="O104" s="104">
        <v>5</v>
      </c>
      <c r="P104" s="104">
        <v>5</v>
      </c>
      <c r="Q104" s="104"/>
      <c r="R104" s="104">
        <v>3.5</v>
      </c>
      <c r="S104" s="104">
        <v>4</v>
      </c>
      <c r="T104" s="104">
        <v>3.4</v>
      </c>
      <c r="U104" s="104">
        <v>5</v>
      </c>
      <c r="V104" s="104">
        <v>4.4000000000000004</v>
      </c>
      <c r="W104" s="104">
        <v>6.9</v>
      </c>
      <c r="X104" s="104">
        <v>9.9</v>
      </c>
      <c r="Y104" s="104">
        <v>11.9</v>
      </c>
      <c r="Z104" s="104">
        <v>10.7</v>
      </c>
      <c r="AA104" s="104">
        <v>9.9</v>
      </c>
      <c r="AB104" s="104">
        <v>9.6</v>
      </c>
      <c r="AC104" s="104">
        <v>9.8000000000000007</v>
      </c>
      <c r="AD104" s="104">
        <v>8.4</v>
      </c>
      <c r="AE104" s="104">
        <v>5.0999999999999996</v>
      </c>
      <c r="AF104" s="104">
        <v>2.6</v>
      </c>
      <c r="AG104" s="103">
        <v>60</v>
      </c>
      <c r="AH104" s="48">
        <f t="shared" si="10"/>
        <v>11.9</v>
      </c>
      <c r="AI104" s="49">
        <f t="shared" si="11"/>
        <v>-3.9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/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0</v>
      </c>
      <c r="Y105" s="106">
        <v>0</v>
      </c>
      <c r="Z105" s="106">
        <v>0</v>
      </c>
      <c r="AA105" s="106">
        <v>0</v>
      </c>
      <c r="AB105" s="106">
        <v>0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10"/>
        <v>0</v>
      </c>
      <c r="AI105" s="49">
        <f t="shared" si="11"/>
        <v>0</v>
      </c>
    </row>
    <row r="106" spans="1:37" x14ac:dyDescent="0.25">
      <c r="A106" s="105" t="s">
        <v>110</v>
      </c>
      <c r="B106" s="106">
        <v>-50.8</v>
      </c>
      <c r="C106" s="106">
        <v>-57.3</v>
      </c>
      <c r="D106" s="106">
        <v>-61</v>
      </c>
      <c r="E106" s="106">
        <v>-51.7</v>
      </c>
      <c r="F106" s="106">
        <v>-43</v>
      </c>
      <c r="G106" s="106">
        <v>-43</v>
      </c>
      <c r="H106" s="106">
        <v>-43</v>
      </c>
      <c r="I106" s="106">
        <v>-48</v>
      </c>
      <c r="J106" s="106">
        <v>-45</v>
      </c>
      <c r="K106" s="106">
        <v>-52</v>
      </c>
      <c r="L106" s="106">
        <v>-52</v>
      </c>
      <c r="M106" s="106">
        <v>-54</v>
      </c>
      <c r="N106" s="106">
        <v>-55.8</v>
      </c>
      <c r="O106" s="106">
        <v>-65.3</v>
      </c>
      <c r="P106" s="106">
        <v>-53.2</v>
      </c>
      <c r="Q106" s="106"/>
      <c r="R106" s="106">
        <v>-51</v>
      </c>
      <c r="S106" s="106">
        <v>-49</v>
      </c>
      <c r="T106" s="106">
        <v>-54.3</v>
      </c>
      <c r="U106" s="106">
        <v>-42.6</v>
      </c>
      <c r="V106" s="106">
        <v>-47</v>
      </c>
      <c r="W106" s="106">
        <v>-44</v>
      </c>
      <c r="X106" s="106">
        <v>-25.9</v>
      </c>
      <c r="Y106" s="106">
        <v>-25.7</v>
      </c>
      <c r="Z106" s="106">
        <v>-32.5</v>
      </c>
      <c r="AA106" s="106">
        <v>-37.1</v>
      </c>
      <c r="AB106" s="106">
        <v>-33.6</v>
      </c>
      <c r="AC106" s="106">
        <v>-27.8</v>
      </c>
      <c r="AD106" s="106">
        <v>-34.700000000000003</v>
      </c>
      <c r="AE106" s="106">
        <v>-46</v>
      </c>
      <c r="AF106" s="106">
        <v>-45.7</v>
      </c>
      <c r="AG106" s="107"/>
      <c r="AH106" s="48">
        <f t="shared" si="10"/>
        <v>-25.7</v>
      </c>
      <c r="AI106" s="49">
        <f t="shared" si="11"/>
        <v>-65.3</v>
      </c>
    </row>
    <row r="107" spans="1:37" x14ac:dyDescent="0.25">
      <c r="A107" s="105" t="s">
        <v>111</v>
      </c>
      <c r="B107" s="106">
        <v>-42.5</v>
      </c>
      <c r="C107" s="106">
        <v>-50.6</v>
      </c>
      <c r="D107" s="106">
        <v>-49.1</v>
      </c>
      <c r="E107" s="106">
        <v>-45.1</v>
      </c>
      <c r="F107" s="106">
        <v>-32</v>
      </c>
      <c r="G107" s="106">
        <v>-32</v>
      </c>
      <c r="H107" s="106">
        <v>-39</v>
      </c>
      <c r="I107" s="106">
        <v>34</v>
      </c>
      <c r="J107" s="106">
        <v>-45</v>
      </c>
      <c r="K107" s="106">
        <v>-36</v>
      </c>
      <c r="L107" s="106">
        <v>-51</v>
      </c>
      <c r="M107" s="106">
        <v>-57.6</v>
      </c>
      <c r="N107" s="106">
        <v>-68</v>
      </c>
      <c r="O107" s="106">
        <v>89.1</v>
      </c>
      <c r="P107" s="106">
        <v>-58.7</v>
      </c>
      <c r="Q107" s="106"/>
      <c r="R107" s="106">
        <v>-30</v>
      </c>
      <c r="S107" s="106">
        <v>-23.5</v>
      </c>
      <c r="T107" s="106">
        <v>-36</v>
      </c>
      <c r="U107" s="106">
        <v>-26.4</v>
      </c>
      <c r="V107" s="106">
        <v>-32</v>
      </c>
      <c r="W107" s="106">
        <v>-55</v>
      </c>
      <c r="X107" s="106">
        <v>-44.2</v>
      </c>
      <c r="Y107" s="106">
        <v>-53</v>
      </c>
      <c r="Z107" s="106">
        <v>-58.4</v>
      </c>
      <c r="AA107" s="106">
        <v>-60.7</v>
      </c>
      <c r="AB107" s="106">
        <v>-64</v>
      </c>
      <c r="AC107" s="106">
        <v>-56.7</v>
      </c>
      <c r="AD107" s="106">
        <v>-56.2</v>
      </c>
      <c r="AE107" s="106">
        <v>-67.2</v>
      </c>
      <c r="AF107" s="106">
        <v>-54.2</v>
      </c>
      <c r="AG107" s="108"/>
      <c r="AH107" s="48">
        <f t="shared" si="10"/>
        <v>89.1</v>
      </c>
      <c r="AI107" s="49">
        <f t="shared" si="11"/>
        <v>-68</v>
      </c>
    </row>
    <row r="108" spans="1:37" x14ac:dyDescent="0.25">
      <c r="A108" s="109" t="s">
        <v>112</v>
      </c>
      <c r="B108" s="94">
        <v>119.6</v>
      </c>
      <c r="C108" s="94">
        <v>121</v>
      </c>
      <c r="D108" s="94">
        <v>120.8</v>
      </c>
      <c r="E108" s="94">
        <v>121.4</v>
      </c>
      <c r="F108" s="94">
        <v>121</v>
      </c>
      <c r="G108" s="94">
        <v>121</v>
      </c>
      <c r="H108" s="94">
        <v>119</v>
      </c>
      <c r="I108" s="94">
        <v>125</v>
      </c>
      <c r="J108" s="94">
        <v>124</v>
      </c>
      <c r="K108" s="94">
        <v>118</v>
      </c>
      <c r="L108" s="94">
        <v>116</v>
      </c>
      <c r="M108" s="94">
        <v>109.4</v>
      </c>
      <c r="N108" s="94">
        <v>118.2</v>
      </c>
      <c r="O108" s="94">
        <v>91.1</v>
      </c>
      <c r="P108" s="94">
        <v>120.8</v>
      </c>
      <c r="Q108" s="94"/>
      <c r="R108" s="94">
        <v>119.3</v>
      </c>
      <c r="S108" s="94">
        <v>120</v>
      </c>
      <c r="T108" s="94">
        <v>120.6</v>
      </c>
      <c r="U108" s="94">
        <v>115</v>
      </c>
      <c r="V108" s="94">
        <v>111.1</v>
      </c>
      <c r="W108" s="94">
        <v>100</v>
      </c>
      <c r="X108" s="94">
        <v>85.3</v>
      </c>
      <c r="Y108" s="94">
        <v>59.1</v>
      </c>
      <c r="Z108" s="94">
        <v>91.7</v>
      </c>
      <c r="AA108" s="94">
        <v>92.6</v>
      </c>
      <c r="AB108" s="94">
        <v>93.4</v>
      </c>
      <c r="AC108" s="94">
        <v>97</v>
      </c>
      <c r="AD108" s="94">
        <v>98.7</v>
      </c>
      <c r="AE108" s="94">
        <v>105</v>
      </c>
      <c r="AF108" s="94">
        <v>110.9</v>
      </c>
      <c r="AG108" s="108"/>
      <c r="AH108" s="48">
        <f t="shared" si="10"/>
        <v>125</v>
      </c>
      <c r="AI108" s="49">
        <f t="shared" si="11"/>
        <v>59.1</v>
      </c>
    </row>
    <row r="109" spans="1:37" ht="15.75" thickBot="1" x14ac:dyDescent="0.3">
      <c r="A109" s="109" t="s">
        <v>113</v>
      </c>
      <c r="B109" s="94">
        <v>109</v>
      </c>
      <c r="C109" s="94">
        <v>106.7</v>
      </c>
      <c r="D109" s="94">
        <v>105.8</v>
      </c>
      <c r="E109" s="94">
        <v>99.8</v>
      </c>
      <c r="F109" s="94">
        <v>103</v>
      </c>
      <c r="G109" s="94">
        <v>95</v>
      </c>
      <c r="H109" s="94">
        <v>96</v>
      </c>
      <c r="I109" s="94">
        <v>96</v>
      </c>
      <c r="J109" s="94">
        <v>94</v>
      </c>
      <c r="K109" s="94">
        <v>99</v>
      </c>
      <c r="L109" s="94">
        <v>99</v>
      </c>
      <c r="M109" s="94">
        <v>98.7</v>
      </c>
      <c r="N109" s="94">
        <v>103.4</v>
      </c>
      <c r="O109" s="94">
        <v>100.5</v>
      </c>
      <c r="P109" s="94">
        <v>97.7</v>
      </c>
      <c r="Q109" s="94"/>
      <c r="R109" s="94">
        <v>92.3</v>
      </c>
      <c r="S109" s="94">
        <v>96</v>
      </c>
      <c r="T109" s="94">
        <v>100</v>
      </c>
      <c r="U109" s="94">
        <v>98.8</v>
      </c>
      <c r="V109" s="94">
        <v>96</v>
      </c>
      <c r="W109" s="94">
        <v>95</v>
      </c>
      <c r="X109" s="94">
        <v>85</v>
      </c>
      <c r="Y109" s="94">
        <v>87</v>
      </c>
      <c r="Z109" s="94">
        <v>91.3</v>
      </c>
      <c r="AA109" s="94">
        <v>90.5</v>
      </c>
      <c r="AB109" s="94">
        <v>91.4</v>
      </c>
      <c r="AC109" s="94">
        <v>87</v>
      </c>
      <c r="AD109" s="94">
        <v>92</v>
      </c>
      <c r="AE109" s="94">
        <v>102</v>
      </c>
      <c r="AF109" s="94">
        <v>100</v>
      </c>
      <c r="AG109" s="108"/>
      <c r="AH109" s="48">
        <f t="shared" si="10"/>
        <v>109</v>
      </c>
      <c r="AI109" s="49">
        <f t="shared" si="11"/>
        <v>85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23">SUM(B111:B215)</f>
        <v>0</v>
      </c>
      <c r="C216" s="125">
        <f t="shared" si="23"/>
        <v>0</v>
      </c>
      <c r="D216" s="125">
        <f t="shared" si="23"/>
        <v>0</v>
      </c>
      <c r="E216" s="125">
        <f t="shared" si="23"/>
        <v>0</v>
      </c>
      <c r="F216" s="125">
        <f t="shared" si="23"/>
        <v>0</v>
      </c>
      <c r="G216" s="125">
        <f t="shared" si="23"/>
        <v>0</v>
      </c>
      <c r="H216" s="125">
        <f t="shared" si="23"/>
        <v>0</v>
      </c>
      <c r="I216" s="125">
        <f t="shared" si="23"/>
        <v>0</v>
      </c>
      <c r="J216" s="125">
        <f t="shared" si="23"/>
        <v>0</v>
      </c>
      <c r="K216" s="125">
        <f t="shared" si="23"/>
        <v>0</v>
      </c>
      <c r="L216" s="125">
        <f t="shared" si="23"/>
        <v>0</v>
      </c>
      <c r="M216" s="125">
        <f t="shared" si="23"/>
        <v>0</v>
      </c>
      <c r="N216" s="125">
        <f t="shared" si="23"/>
        <v>0</v>
      </c>
      <c r="O216" s="125">
        <f t="shared" si="23"/>
        <v>0</v>
      </c>
      <c r="P216" s="125">
        <f t="shared" si="23"/>
        <v>0</v>
      </c>
      <c r="Q216" s="125">
        <f t="shared" si="23"/>
        <v>0</v>
      </c>
      <c r="R216" s="125">
        <f t="shared" si="23"/>
        <v>0</v>
      </c>
      <c r="S216" s="125">
        <f t="shared" si="23"/>
        <v>0</v>
      </c>
      <c r="T216" s="125">
        <f t="shared" si="23"/>
        <v>0</v>
      </c>
      <c r="U216" s="125">
        <f t="shared" si="23"/>
        <v>0</v>
      </c>
      <c r="V216" s="125">
        <f t="shared" si="23"/>
        <v>0</v>
      </c>
      <c r="W216" s="125">
        <f t="shared" si="23"/>
        <v>0</v>
      </c>
      <c r="X216" s="125">
        <f t="shared" si="23"/>
        <v>0</v>
      </c>
      <c r="Y216" s="125">
        <f t="shared" si="23"/>
        <v>0</v>
      </c>
      <c r="Z216" s="125">
        <f t="shared" si="23"/>
        <v>0</v>
      </c>
      <c r="AA216" s="125">
        <f t="shared" si="23"/>
        <v>0</v>
      </c>
      <c r="AB216" s="125">
        <f t="shared" si="23"/>
        <v>0</v>
      </c>
      <c r="AC216" s="125">
        <f t="shared" si="23"/>
        <v>0</v>
      </c>
      <c r="AD216" s="125">
        <f t="shared" si="23"/>
        <v>0</v>
      </c>
      <c r="AE216" s="125">
        <f t="shared" si="23"/>
        <v>0</v>
      </c>
      <c r="AF216" s="126">
        <f t="shared" si="23"/>
        <v>0</v>
      </c>
      <c r="AG216" s="127">
        <f t="shared" si="23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24">AF218</f>
        <v>0</v>
      </c>
      <c r="C218" s="129">
        <v>0.3</v>
      </c>
      <c r="D218" s="129">
        <f t="shared" ref="D218:P223" si="25">C218</f>
        <v>0.3</v>
      </c>
      <c r="E218" s="129">
        <f t="shared" si="25"/>
        <v>0.3</v>
      </c>
      <c r="F218" s="129">
        <f t="shared" si="25"/>
        <v>0.3</v>
      </c>
      <c r="G218" s="129">
        <f t="shared" si="25"/>
        <v>0.3</v>
      </c>
      <c r="H218" s="129">
        <f t="shared" si="25"/>
        <v>0.3</v>
      </c>
      <c r="I218" s="129">
        <f t="shared" si="25"/>
        <v>0.3</v>
      </c>
      <c r="J218" s="129">
        <f t="shared" si="25"/>
        <v>0.3</v>
      </c>
      <c r="K218" s="129">
        <f t="shared" si="25"/>
        <v>0.3</v>
      </c>
      <c r="L218" s="129">
        <f t="shared" si="25"/>
        <v>0.3</v>
      </c>
      <c r="M218" s="129">
        <f t="shared" si="25"/>
        <v>0.3</v>
      </c>
      <c r="N218" s="129">
        <f t="shared" si="25"/>
        <v>0.3</v>
      </c>
      <c r="O218" s="129">
        <f t="shared" si="25"/>
        <v>0.3</v>
      </c>
      <c r="P218" s="129">
        <f t="shared" si="25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24"/>
        <v>0</v>
      </c>
      <c r="C219" s="117">
        <v>0.4</v>
      </c>
      <c r="D219" s="117">
        <f t="shared" si="25"/>
        <v>0.4</v>
      </c>
      <c r="E219" s="117">
        <f t="shared" si="25"/>
        <v>0.4</v>
      </c>
      <c r="F219" s="117">
        <f t="shared" si="25"/>
        <v>0.4</v>
      </c>
      <c r="G219" s="117">
        <f t="shared" si="25"/>
        <v>0.4</v>
      </c>
      <c r="H219" s="117">
        <f t="shared" si="25"/>
        <v>0.4</v>
      </c>
      <c r="I219" s="117">
        <f t="shared" si="25"/>
        <v>0.4</v>
      </c>
      <c r="J219" s="117">
        <f t="shared" si="25"/>
        <v>0.4</v>
      </c>
      <c r="K219" s="117">
        <f t="shared" si="25"/>
        <v>0.4</v>
      </c>
      <c r="L219" s="117">
        <f t="shared" si="25"/>
        <v>0.4</v>
      </c>
      <c r="M219" s="117">
        <f t="shared" si="25"/>
        <v>0.4</v>
      </c>
      <c r="N219" s="117">
        <f t="shared" si="25"/>
        <v>0.4</v>
      </c>
      <c r="O219" s="117">
        <f t="shared" si="25"/>
        <v>0.4</v>
      </c>
      <c r="P219" s="117">
        <f t="shared" si="25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24"/>
        <v>0</v>
      </c>
      <c r="C220" s="117">
        <v>1.5</v>
      </c>
      <c r="D220" s="117">
        <f t="shared" si="25"/>
        <v>1.5</v>
      </c>
      <c r="E220" s="117">
        <f t="shared" si="25"/>
        <v>1.5</v>
      </c>
      <c r="F220" s="117">
        <f t="shared" si="25"/>
        <v>1.5</v>
      </c>
      <c r="G220" s="117">
        <f t="shared" si="25"/>
        <v>1.5</v>
      </c>
      <c r="H220" s="117">
        <f t="shared" si="25"/>
        <v>1.5</v>
      </c>
      <c r="I220" s="117">
        <f t="shared" si="25"/>
        <v>1.5</v>
      </c>
      <c r="J220" s="117">
        <f t="shared" si="25"/>
        <v>1.5</v>
      </c>
      <c r="K220" s="117">
        <f t="shared" si="25"/>
        <v>1.5</v>
      </c>
      <c r="L220" s="117">
        <f t="shared" si="25"/>
        <v>1.5</v>
      </c>
      <c r="M220" s="117">
        <f t="shared" si="25"/>
        <v>1.5</v>
      </c>
      <c r="N220" s="117">
        <f t="shared" si="25"/>
        <v>1.5</v>
      </c>
      <c r="O220" s="117">
        <f t="shared" si="25"/>
        <v>1.5</v>
      </c>
      <c r="P220" s="117">
        <f t="shared" si="25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24"/>
        <v>0</v>
      </c>
      <c r="C221" s="117">
        <v>0.3</v>
      </c>
      <c r="D221" s="117">
        <f t="shared" si="25"/>
        <v>0.3</v>
      </c>
      <c r="E221" s="117">
        <f t="shared" si="25"/>
        <v>0.3</v>
      </c>
      <c r="F221" s="117">
        <f t="shared" si="25"/>
        <v>0.3</v>
      </c>
      <c r="G221" s="117">
        <f t="shared" si="25"/>
        <v>0.3</v>
      </c>
      <c r="H221" s="117">
        <f t="shared" si="25"/>
        <v>0.3</v>
      </c>
      <c r="I221" s="117">
        <f t="shared" si="25"/>
        <v>0.3</v>
      </c>
      <c r="J221" s="117">
        <f t="shared" si="25"/>
        <v>0.3</v>
      </c>
      <c r="K221" s="117">
        <f t="shared" si="25"/>
        <v>0.3</v>
      </c>
      <c r="L221" s="117">
        <f t="shared" si="25"/>
        <v>0.3</v>
      </c>
      <c r="M221" s="117">
        <f t="shared" si="25"/>
        <v>0.3</v>
      </c>
      <c r="N221" s="117">
        <f t="shared" si="25"/>
        <v>0.3</v>
      </c>
      <c r="O221" s="117">
        <f t="shared" si="25"/>
        <v>0.3</v>
      </c>
      <c r="P221" s="117">
        <f t="shared" si="25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24"/>
        <v>0</v>
      </c>
      <c r="C222" s="117">
        <v>0.4</v>
      </c>
      <c r="D222" s="117">
        <f t="shared" si="25"/>
        <v>0.4</v>
      </c>
      <c r="E222" s="117">
        <f t="shared" si="25"/>
        <v>0.4</v>
      </c>
      <c r="F222" s="117">
        <f t="shared" si="25"/>
        <v>0.4</v>
      </c>
      <c r="G222" s="117">
        <f t="shared" si="25"/>
        <v>0.4</v>
      </c>
      <c r="H222" s="117">
        <f t="shared" si="25"/>
        <v>0.4</v>
      </c>
      <c r="I222" s="117">
        <f t="shared" si="25"/>
        <v>0.4</v>
      </c>
      <c r="J222" s="117">
        <f t="shared" si="25"/>
        <v>0.4</v>
      </c>
      <c r="K222" s="117">
        <f t="shared" si="25"/>
        <v>0.4</v>
      </c>
      <c r="L222" s="117">
        <f t="shared" si="25"/>
        <v>0.4</v>
      </c>
      <c r="M222" s="117">
        <f t="shared" si="25"/>
        <v>0.4</v>
      </c>
      <c r="N222" s="117">
        <f t="shared" si="25"/>
        <v>0.4</v>
      </c>
      <c r="O222" s="117">
        <f t="shared" si="25"/>
        <v>0.4</v>
      </c>
      <c r="P222" s="117">
        <f t="shared" si="25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24"/>
        <v>0</v>
      </c>
      <c r="C223" s="121">
        <v>0.64</v>
      </c>
      <c r="D223" s="121">
        <f t="shared" si="25"/>
        <v>0.64</v>
      </c>
      <c r="E223" s="121">
        <f t="shared" si="25"/>
        <v>0.64</v>
      </c>
      <c r="F223" s="121">
        <f t="shared" si="25"/>
        <v>0.64</v>
      </c>
      <c r="G223" s="121">
        <f t="shared" si="25"/>
        <v>0.64</v>
      </c>
      <c r="H223" s="121">
        <f t="shared" si="25"/>
        <v>0.64</v>
      </c>
      <c r="I223" s="121">
        <f t="shared" si="25"/>
        <v>0.64</v>
      </c>
      <c r="J223" s="121">
        <f t="shared" si="25"/>
        <v>0.64</v>
      </c>
      <c r="K223" s="121">
        <f t="shared" si="25"/>
        <v>0.64</v>
      </c>
      <c r="L223" s="121">
        <f t="shared" si="25"/>
        <v>0.64</v>
      </c>
      <c r="M223" s="121">
        <f t="shared" si="25"/>
        <v>0.64</v>
      </c>
      <c r="N223" s="121">
        <f t="shared" si="25"/>
        <v>0.64</v>
      </c>
      <c r="O223" s="121">
        <f t="shared" si="25"/>
        <v>0.64</v>
      </c>
      <c r="P223" s="121">
        <f t="shared" si="25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6">SUM(B218:B223)</f>
        <v>0</v>
      </c>
      <c r="C224" s="125">
        <f t="shared" si="26"/>
        <v>3.54</v>
      </c>
      <c r="D224" s="125">
        <f t="shared" si="26"/>
        <v>3.54</v>
      </c>
      <c r="E224" s="125">
        <f t="shared" si="26"/>
        <v>3.54</v>
      </c>
      <c r="F224" s="125">
        <f t="shared" si="26"/>
        <v>3.54</v>
      </c>
      <c r="G224" s="125">
        <f t="shared" si="26"/>
        <v>3.54</v>
      </c>
      <c r="H224" s="125">
        <f t="shared" si="26"/>
        <v>3.54</v>
      </c>
      <c r="I224" s="125">
        <f t="shared" si="26"/>
        <v>3.54</v>
      </c>
      <c r="J224" s="125">
        <f t="shared" si="26"/>
        <v>3.54</v>
      </c>
      <c r="K224" s="125">
        <f t="shared" si="26"/>
        <v>3.54</v>
      </c>
      <c r="L224" s="125">
        <f t="shared" si="26"/>
        <v>3.54</v>
      </c>
      <c r="M224" s="125">
        <f t="shared" si="26"/>
        <v>3.54</v>
      </c>
      <c r="N224" s="125">
        <f t="shared" si="26"/>
        <v>3.54</v>
      </c>
      <c r="O224" s="125">
        <f t="shared" si="26"/>
        <v>3.54</v>
      </c>
      <c r="P224" s="125">
        <f t="shared" si="26"/>
        <v>3.54</v>
      </c>
      <c r="Q224" s="125">
        <f t="shared" si="26"/>
        <v>0</v>
      </c>
      <c r="R224" s="125">
        <f t="shared" si="26"/>
        <v>0</v>
      </c>
      <c r="S224" s="125">
        <f t="shared" si="26"/>
        <v>0</v>
      </c>
      <c r="T224" s="125">
        <f t="shared" si="26"/>
        <v>0</v>
      </c>
      <c r="U224" s="125">
        <f t="shared" si="26"/>
        <v>0</v>
      </c>
      <c r="V224" s="125">
        <f t="shared" si="26"/>
        <v>0</v>
      </c>
      <c r="W224" s="125">
        <f t="shared" si="26"/>
        <v>0</v>
      </c>
      <c r="X224" s="125">
        <f t="shared" si="26"/>
        <v>0</v>
      </c>
      <c r="Y224" s="125">
        <f t="shared" si="26"/>
        <v>0</v>
      </c>
      <c r="Z224" s="125">
        <f t="shared" si="26"/>
        <v>0</v>
      </c>
      <c r="AA224" s="125">
        <f t="shared" si="26"/>
        <v>0</v>
      </c>
      <c r="AB224" s="125">
        <f t="shared" si="26"/>
        <v>0</v>
      </c>
      <c r="AC224" s="125">
        <f t="shared" si="26"/>
        <v>0</v>
      </c>
      <c r="AD224" s="125">
        <f t="shared" si="26"/>
        <v>0</v>
      </c>
      <c r="AE224" s="125">
        <f t="shared" si="26"/>
        <v>0</v>
      </c>
      <c r="AF224" s="125">
        <f t="shared" si="26"/>
        <v>0</v>
      </c>
      <c r="AG224" s="134">
        <f t="shared" si="26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1113.94</v>
      </c>
      <c r="C233" s="150">
        <f>INDEX(G9:N9,1,MATCH(MAX(G81:N81),G81:N81,0))</f>
        <v>0.33333333333333331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9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2079/06/9)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2079/06/9)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27">B81</f>
        <v>1049.8399999999999</v>
      </c>
      <c r="U238" s="159">
        <f t="shared" si="27"/>
        <v>1047.74</v>
      </c>
      <c r="V238" s="159">
        <f t="shared" si="27"/>
        <v>1026.2400000000002</v>
      </c>
      <c r="W238" s="159">
        <f t="shared" si="27"/>
        <v>1009.3400000000001</v>
      </c>
      <c r="X238" s="159">
        <f t="shared" si="27"/>
        <v>1015.7400000000001</v>
      </c>
      <c r="Y238" s="159">
        <f t="shared" si="27"/>
        <v>1024.44</v>
      </c>
      <c r="Z238" s="159">
        <f t="shared" si="27"/>
        <v>1054.3400000000001</v>
      </c>
      <c r="AA238" s="159">
        <f t="shared" si="27"/>
        <v>1067.1400000000001</v>
      </c>
      <c r="AB238" s="159">
        <f t="shared" si="27"/>
        <v>1066.2400000000002</v>
      </c>
      <c r="AC238" s="159">
        <f t="shared" si="27"/>
        <v>1097.1400000000001</v>
      </c>
      <c r="AD238" s="159">
        <f t="shared" si="27"/>
        <v>1096.04</v>
      </c>
      <c r="AE238" s="159">
        <f t="shared" si="27"/>
        <v>1113.94</v>
      </c>
      <c r="AF238" s="159">
        <f t="shared" si="27"/>
        <v>1093.8400000000001</v>
      </c>
      <c r="AG238" s="159">
        <f t="shared" si="27"/>
        <v>1079.44</v>
      </c>
      <c r="AH238" s="159">
        <f t="shared" si="27"/>
        <v>1022.34</v>
      </c>
      <c r="AI238" s="159">
        <f t="shared" si="27"/>
        <v>1017.34</v>
      </c>
      <c r="AJ238" s="159">
        <f t="shared" si="27"/>
        <v>979.54</v>
      </c>
      <c r="AK238" s="159">
        <f t="shared" si="27"/>
        <v>983.6400000000001</v>
      </c>
      <c r="AL238" s="159">
        <f t="shared" si="27"/>
        <v>995.94</v>
      </c>
      <c r="AM238" s="159">
        <f t="shared" si="27"/>
        <v>1006.04</v>
      </c>
      <c r="AN238" s="159">
        <f t="shared" si="27"/>
        <v>1055.1399999999999</v>
      </c>
      <c r="AO238" s="159">
        <f t="shared" si="27"/>
        <v>1120.2399999999998</v>
      </c>
      <c r="AP238" s="159">
        <f t="shared" si="27"/>
        <v>1335.54</v>
      </c>
      <c r="AQ238" s="159">
        <f t="shared" si="27"/>
        <v>1344.04</v>
      </c>
      <c r="AR238" s="159">
        <f t="shared" si="27"/>
        <v>1333.24</v>
      </c>
      <c r="AS238" s="159">
        <f t="shared" si="27"/>
        <v>1288.44</v>
      </c>
      <c r="AT238" s="159">
        <f t="shared" si="27"/>
        <v>1266.74</v>
      </c>
      <c r="AU238" s="159">
        <f t="shared" si="27"/>
        <v>1222.74</v>
      </c>
      <c r="AV238" s="159">
        <f t="shared" si="27"/>
        <v>1190.1399999999999</v>
      </c>
      <c r="AW238" s="159">
        <f t="shared" si="27"/>
        <v>1131.44</v>
      </c>
      <c r="AX238" s="159">
        <f t="shared" si="27"/>
        <v>1080.44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28">C223</f>
        <v>0.64</v>
      </c>
      <c r="C259" s="162">
        <f t="shared" si="28"/>
        <v>0.64</v>
      </c>
      <c r="D259" s="162">
        <f t="shared" si="28"/>
        <v>0.64</v>
      </c>
      <c r="E259" s="162">
        <f t="shared" si="28"/>
        <v>0.64</v>
      </c>
      <c r="F259" s="162">
        <f t="shared" si="28"/>
        <v>0.64</v>
      </c>
      <c r="G259" s="162">
        <f t="shared" si="28"/>
        <v>0.64</v>
      </c>
      <c r="H259" s="162">
        <f t="shared" si="28"/>
        <v>0.64</v>
      </c>
      <c r="I259" s="162">
        <f t="shared" si="28"/>
        <v>0.64</v>
      </c>
      <c r="J259" s="162">
        <f t="shared" si="28"/>
        <v>0.64</v>
      </c>
      <c r="K259" s="162">
        <f t="shared" si="28"/>
        <v>0.64</v>
      </c>
      <c r="L259" s="162">
        <f t="shared" si="28"/>
        <v>0.64</v>
      </c>
      <c r="M259" s="162">
        <f t="shared" si="28"/>
        <v>0.64</v>
      </c>
      <c r="N259" s="162">
        <f t="shared" si="28"/>
        <v>0.64</v>
      </c>
      <c r="O259" s="162">
        <f t="shared" si="28"/>
        <v>0.64</v>
      </c>
      <c r="P259" s="162">
        <f t="shared" si="28"/>
        <v>0</v>
      </c>
      <c r="Q259" s="162">
        <f t="shared" si="28"/>
        <v>0</v>
      </c>
      <c r="R259" s="162">
        <f t="shared" si="28"/>
        <v>0</v>
      </c>
      <c r="S259" s="162">
        <f t="shared" si="28"/>
        <v>0</v>
      </c>
      <c r="T259" s="162">
        <f t="shared" si="28"/>
        <v>0</v>
      </c>
      <c r="U259" s="162">
        <f t="shared" si="28"/>
        <v>0</v>
      </c>
      <c r="V259" s="162">
        <f t="shared" si="28"/>
        <v>0</v>
      </c>
      <c r="W259" s="162">
        <f t="shared" si="28"/>
        <v>0</v>
      </c>
      <c r="X259" s="162">
        <f t="shared" si="28"/>
        <v>0</v>
      </c>
      <c r="Y259" s="162">
        <f t="shared" si="28"/>
        <v>0</v>
      </c>
      <c r="Z259" s="162">
        <f t="shared" si="28"/>
        <v>0</v>
      </c>
      <c r="AA259" s="162">
        <f t="shared" si="28"/>
        <v>0</v>
      </c>
      <c r="AB259" s="162">
        <f t="shared" si="28"/>
        <v>0</v>
      </c>
      <c r="AC259" s="162">
        <f t="shared" si="28"/>
        <v>0</v>
      </c>
      <c r="AD259" s="162">
        <f t="shared" si="28"/>
        <v>0</v>
      </c>
      <c r="AE259" s="162">
        <f t="shared" si="28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29">IF(B227&lt;100,"",B227-520)</f>
        <v/>
      </c>
      <c r="C260" s="163" t="str">
        <f t="shared" si="29"/>
        <v/>
      </c>
      <c r="D260" s="163" t="str">
        <f t="shared" si="29"/>
        <v/>
      </c>
      <c r="E260" s="163" t="str">
        <f t="shared" si="29"/>
        <v/>
      </c>
      <c r="F260" s="163" t="str">
        <f t="shared" si="29"/>
        <v/>
      </c>
      <c r="G260" s="163" t="str">
        <f t="shared" si="29"/>
        <v/>
      </c>
      <c r="H260" s="163" t="str">
        <f t="shared" si="29"/>
        <v/>
      </c>
      <c r="I260" s="163" t="str">
        <f t="shared" si="29"/>
        <v/>
      </c>
      <c r="J260" s="163" t="str">
        <f t="shared" si="29"/>
        <v/>
      </c>
      <c r="K260" s="163" t="str">
        <f t="shared" si="29"/>
        <v/>
      </c>
      <c r="L260" s="163" t="str">
        <f t="shared" si="29"/>
        <v/>
      </c>
      <c r="M260" s="163" t="str">
        <f t="shared" si="29"/>
        <v/>
      </c>
      <c r="N260" s="163" t="str">
        <f t="shared" si="29"/>
        <v/>
      </c>
      <c r="O260" s="163" t="str">
        <f t="shared" si="29"/>
        <v/>
      </c>
      <c r="P260" s="163" t="str">
        <f t="shared" si="29"/>
        <v/>
      </c>
      <c r="Q260" s="163" t="str">
        <f t="shared" si="29"/>
        <v/>
      </c>
      <c r="R260" s="163" t="str">
        <f t="shared" si="29"/>
        <v/>
      </c>
      <c r="S260" s="163" t="str">
        <f t="shared" si="29"/>
        <v/>
      </c>
      <c r="T260" s="163" t="str">
        <f t="shared" si="29"/>
        <v/>
      </c>
      <c r="U260" s="163" t="str">
        <f t="shared" si="29"/>
        <v/>
      </c>
      <c r="V260" s="163" t="str">
        <f t="shared" si="29"/>
        <v/>
      </c>
      <c r="W260" s="163" t="str">
        <f t="shared" si="29"/>
        <v/>
      </c>
      <c r="X260" s="163" t="str">
        <f t="shared" si="29"/>
        <v/>
      </c>
      <c r="Y260" s="163" t="str">
        <f t="shared" si="29"/>
        <v/>
      </c>
      <c r="Z260" s="163" t="str">
        <f t="shared" si="29"/>
        <v/>
      </c>
      <c r="AA260" s="163" t="str">
        <f t="shared" si="29"/>
        <v/>
      </c>
      <c r="AB260" s="163" t="str">
        <f t="shared" si="29"/>
        <v/>
      </c>
      <c r="AC260" s="163" t="str">
        <f t="shared" si="29"/>
        <v/>
      </c>
      <c r="AD260" s="163" t="str">
        <f t="shared" si="29"/>
        <v/>
      </c>
      <c r="AE260" s="163" t="str">
        <f t="shared" si="29"/>
        <v/>
      </c>
      <c r="AF260" s="163" t="str">
        <f t="shared" si="29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30">IF(B228&lt;100,"",B228-620)</f>
        <v/>
      </c>
      <c r="C261" s="163" t="str">
        <f t="shared" si="30"/>
        <v/>
      </c>
      <c r="D261" s="163" t="str">
        <f t="shared" si="30"/>
        <v/>
      </c>
      <c r="E261" s="163" t="str">
        <f t="shared" si="30"/>
        <v/>
      </c>
      <c r="F261" s="163" t="str">
        <f t="shared" si="30"/>
        <v/>
      </c>
      <c r="G261" s="163" t="str">
        <f t="shared" si="30"/>
        <v/>
      </c>
      <c r="H261" s="163" t="str">
        <f t="shared" si="30"/>
        <v/>
      </c>
      <c r="I261" s="163" t="str">
        <f t="shared" si="30"/>
        <v/>
      </c>
      <c r="J261" s="163" t="str">
        <f t="shared" si="30"/>
        <v/>
      </c>
      <c r="K261" s="163" t="str">
        <f t="shared" si="30"/>
        <v/>
      </c>
      <c r="L261" s="163" t="str">
        <f t="shared" si="30"/>
        <v/>
      </c>
      <c r="M261" s="163" t="str">
        <f t="shared" si="30"/>
        <v/>
      </c>
      <c r="N261" s="163" t="str">
        <f t="shared" si="30"/>
        <v/>
      </c>
      <c r="O261" s="163" t="str">
        <f t="shared" si="30"/>
        <v/>
      </c>
      <c r="P261" s="163" t="str">
        <f t="shared" si="30"/>
        <v/>
      </c>
      <c r="Q261" s="163" t="str">
        <f t="shared" si="30"/>
        <v/>
      </c>
      <c r="R261" s="163" t="str">
        <f t="shared" si="30"/>
        <v/>
      </c>
      <c r="S261" s="163" t="str">
        <f t="shared" si="30"/>
        <v/>
      </c>
      <c r="T261" s="163" t="str">
        <f t="shared" si="30"/>
        <v/>
      </c>
      <c r="U261" s="163" t="str">
        <f t="shared" si="30"/>
        <v/>
      </c>
      <c r="V261" s="163" t="str">
        <f t="shared" si="30"/>
        <v/>
      </c>
      <c r="W261" s="163" t="str">
        <f t="shared" si="30"/>
        <v/>
      </c>
      <c r="X261" s="163" t="str">
        <f t="shared" si="30"/>
        <v/>
      </c>
      <c r="Y261" s="163" t="str">
        <f t="shared" si="30"/>
        <v/>
      </c>
      <c r="Z261" s="163" t="str">
        <f t="shared" si="30"/>
        <v/>
      </c>
      <c r="AA261" s="163" t="str">
        <f t="shared" si="30"/>
        <v/>
      </c>
      <c r="AB261" s="163" t="str">
        <f t="shared" si="30"/>
        <v/>
      </c>
      <c r="AC261" s="163" t="str">
        <f t="shared" si="30"/>
        <v/>
      </c>
      <c r="AD261" s="163" t="str">
        <f t="shared" si="30"/>
        <v/>
      </c>
      <c r="AE261" s="163" t="str">
        <f t="shared" si="30"/>
        <v/>
      </c>
      <c r="AF261" s="163" t="str">
        <f t="shared" si="30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1">IF(B229&lt;100,"",B229-330)</f>
        <v/>
      </c>
      <c r="C262" s="163" t="str">
        <f t="shared" si="31"/>
        <v/>
      </c>
      <c r="D262" s="163" t="str">
        <f t="shared" si="31"/>
        <v/>
      </c>
      <c r="E262" s="163" t="str">
        <f t="shared" si="31"/>
        <v/>
      </c>
      <c r="F262" s="163" t="str">
        <f t="shared" si="31"/>
        <v/>
      </c>
      <c r="G262" s="163" t="str">
        <f t="shared" si="31"/>
        <v/>
      </c>
      <c r="H262" s="163" t="str">
        <f t="shared" si="31"/>
        <v/>
      </c>
      <c r="I262" s="163" t="str">
        <f t="shared" si="31"/>
        <v/>
      </c>
      <c r="J262" s="163" t="str">
        <f t="shared" si="31"/>
        <v/>
      </c>
      <c r="K262" s="163" t="str">
        <f t="shared" si="31"/>
        <v/>
      </c>
      <c r="L262" s="163" t="str">
        <f t="shared" si="31"/>
        <v/>
      </c>
      <c r="M262" s="163" t="str">
        <f t="shared" si="31"/>
        <v/>
      </c>
      <c r="N262" s="163" t="str">
        <f t="shared" si="31"/>
        <v/>
      </c>
      <c r="O262" s="163" t="str">
        <f t="shared" si="31"/>
        <v/>
      </c>
      <c r="P262" s="163" t="str">
        <f t="shared" si="31"/>
        <v/>
      </c>
      <c r="Q262" s="163" t="str">
        <f t="shared" si="31"/>
        <v/>
      </c>
      <c r="R262" s="163" t="str">
        <f t="shared" si="31"/>
        <v/>
      </c>
      <c r="S262" s="163" t="str">
        <f t="shared" si="31"/>
        <v/>
      </c>
      <c r="T262" s="163" t="str">
        <f t="shared" si="31"/>
        <v/>
      </c>
      <c r="U262" s="163" t="str">
        <f t="shared" si="31"/>
        <v/>
      </c>
      <c r="V262" s="163" t="str">
        <f t="shared" si="31"/>
        <v/>
      </c>
      <c r="W262" s="163" t="str">
        <f t="shared" si="31"/>
        <v/>
      </c>
      <c r="X262" s="163" t="str">
        <f t="shared" si="31"/>
        <v/>
      </c>
      <c r="Y262" s="163" t="str">
        <f t="shared" si="31"/>
        <v/>
      </c>
      <c r="Z262" s="163" t="str">
        <f t="shared" si="31"/>
        <v/>
      </c>
      <c r="AA262" s="163" t="str">
        <f t="shared" si="31"/>
        <v/>
      </c>
      <c r="AB262" s="163" t="str">
        <f t="shared" si="31"/>
        <v/>
      </c>
      <c r="AC262" s="163" t="str">
        <f t="shared" si="31"/>
        <v/>
      </c>
      <c r="AD262" s="163" t="str">
        <f t="shared" si="31"/>
        <v/>
      </c>
      <c r="AE262" s="163" t="str">
        <f t="shared" si="31"/>
        <v/>
      </c>
      <c r="AF262" s="163" t="str">
        <f t="shared" si="31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2">IF(B230&lt;100,"",B230-1500)</f>
        <v/>
      </c>
      <c r="C263" s="163" t="str">
        <f t="shared" si="32"/>
        <v/>
      </c>
      <c r="D263" s="163" t="str">
        <f t="shared" si="32"/>
        <v/>
      </c>
      <c r="E263" s="163" t="str">
        <f t="shared" si="32"/>
        <v/>
      </c>
      <c r="F263" s="163" t="str">
        <f t="shared" si="32"/>
        <v/>
      </c>
      <c r="G263" s="163" t="str">
        <f t="shared" si="32"/>
        <v/>
      </c>
      <c r="H263" s="163" t="str">
        <f t="shared" si="32"/>
        <v/>
      </c>
      <c r="I263" s="163" t="str">
        <f t="shared" si="32"/>
        <v/>
      </c>
      <c r="J263" s="163" t="str">
        <f t="shared" si="32"/>
        <v/>
      </c>
      <c r="K263" s="163" t="str">
        <f t="shared" si="32"/>
        <v/>
      </c>
      <c r="L263" s="163" t="str">
        <f t="shared" si="32"/>
        <v/>
      </c>
      <c r="M263" s="163" t="str">
        <f t="shared" si="32"/>
        <v/>
      </c>
      <c r="N263" s="163" t="str">
        <f t="shared" si="32"/>
        <v/>
      </c>
      <c r="O263" s="163" t="str">
        <f t="shared" si="32"/>
        <v/>
      </c>
      <c r="P263" s="163" t="str">
        <f t="shared" si="32"/>
        <v/>
      </c>
      <c r="Q263" s="163" t="str">
        <f t="shared" si="32"/>
        <v/>
      </c>
      <c r="R263" s="163" t="str">
        <f t="shared" si="32"/>
        <v/>
      </c>
      <c r="S263" s="163" t="str">
        <f t="shared" si="32"/>
        <v/>
      </c>
      <c r="T263" s="163" t="str">
        <f t="shared" si="32"/>
        <v/>
      </c>
      <c r="U263" s="163" t="str">
        <f t="shared" si="32"/>
        <v/>
      </c>
      <c r="V263" s="163" t="str">
        <f t="shared" si="32"/>
        <v/>
      </c>
      <c r="W263" s="163" t="str">
        <f t="shared" si="32"/>
        <v/>
      </c>
      <c r="X263" s="163" t="str">
        <f t="shared" si="32"/>
        <v/>
      </c>
      <c r="Y263" s="163" t="str">
        <f t="shared" si="32"/>
        <v/>
      </c>
      <c r="Z263" s="163" t="str">
        <f t="shared" si="32"/>
        <v/>
      </c>
      <c r="AA263" s="163" t="str">
        <f t="shared" si="32"/>
        <v/>
      </c>
      <c r="AB263" s="163" t="str">
        <f t="shared" si="32"/>
        <v/>
      </c>
      <c r="AC263" s="163" t="str">
        <f t="shared" si="32"/>
        <v/>
      </c>
      <c r="AD263" s="163" t="str">
        <f t="shared" si="32"/>
        <v/>
      </c>
      <c r="AE263" s="163" t="str">
        <f t="shared" si="32"/>
        <v/>
      </c>
      <c r="AF263" s="163" t="str">
        <f t="shared" si="32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A11:A225">
    <cfRule type="expression" dxfId="1082" priority="99">
      <formula>$AH11=0</formula>
    </cfRule>
  </conditionalFormatting>
  <conditionalFormatting sqref="B8 M8 S8 AB8">
    <cfRule type="expression" dxfId="1081" priority="331">
      <formula>C$9&lt;8/24</formula>
    </cfRule>
    <cfRule type="expression" dxfId="1080" priority="329">
      <formula>AND(C$9&gt;=14/24,C$9&lt;20/24)</formula>
    </cfRule>
    <cfRule type="expression" dxfId="1079" priority="330">
      <formula>AND(C$9&gt;=8/24,C$9&lt;14/24)</formula>
    </cfRule>
  </conditionalFormatting>
  <conditionalFormatting sqref="B41:B44 C44:AG44">
    <cfRule type="expression" dxfId="1078" priority="155">
      <formula>B$9&lt;8/24</formula>
    </cfRule>
    <cfRule type="expression" dxfId="1077" priority="151">
      <formula>B41&gt;$AG41</formula>
    </cfRule>
    <cfRule type="expression" dxfId="1076" priority="154">
      <formula>AND(B$9&gt;=8/24,B$9&lt;14/24)</formula>
    </cfRule>
    <cfRule type="expression" dxfId="1075" priority="153">
      <formula>AND(B$9&gt;=14/24,B$9&lt;20/24)</formula>
    </cfRule>
    <cfRule type="expression" dxfId="1074" priority="152">
      <formula>B$9&gt;=20/24</formula>
    </cfRule>
  </conditionalFormatting>
  <conditionalFormatting sqref="B45:E47">
    <cfRule type="expression" dxfId="1073" priority="209">
      <formula>AND(B$9&gt;=8/24,B$9&lt;14/24)</formula>
    </cfRule>
    <cfRule type="expression" dxfId="1072" priority="210">
      <formula>B$9&lt;8/24</formula>
    </cfRule>
    <cfRule type="expression" dxfId="1071" priority="208">
      <formula>AND(B$9&gt;=14/24,B$9&lt;20/24)</formula>
    </cfRule>
    <cfRule type="expression" dxfId="1070" priority="207">
      <formula>B$9&gt;=20/24</formula>
    </cfRule>
  </conditionalFormatting>
  <conditionalFormatting sqref="B45:G47">
    <cfRule type="expression" dxfId="1069" priority="206">
      <formula>B45&gt;$AG45</formula>
    </cfRule>
  </conditionalFormatting>
  <conditionalFormatting sqref="B11:Q11">
    <cfRule type="expression" dxfId="1068" priority="227">
      <formula>B$9&lt;8/24</formula>
    </cfRule>
    <cfRule type="expression" dxfId="1067" priority="226">
      <formula>AND(B$9&gt;=8/24,B$9&lt;14/24)</formula>
    </cfRule>
    <cfRule type="expression" dxfId="1066" priority="225">
      <formula>AND(B$9&gt;=14/24,B$9&lt;20/24)</formula>
    </cfRule>
    <cfRule type="expression" dxfId="1065" priority="224">
      <formula>B$9&gt;=20/24</formula>
    </cfRule>
  </conditionalFormatting>
  <conditionalFormatting sqref="B38:Q39">
    <cfRule type="expression" dxfId="1064" priority="212">
      <formula>AND(B$9&gt;=14/24,B$9&lt;20/24)</formula>
    </cfRule>
    <cfRule type="expression" dxfId="1063" priority="213">
      <formula>AND(B$9&gt;=8/24,B$9&lt;14/24)</formula>
    </cfRule>
    <cfRule type="expression" dxfId="1062" priority="214">
      <formula>B$9&lt;8/24</formula>
    </cfRule>
    <cfRule type="expression" dxfId="1061" priority="211">
      <formula>B$9&gt;=20/24</formula>
    </cfRule>
  </conditionalFormatting>
  <conditionalFormatting sqref="B12:R15">
    <cfRule type="expression" dxfId="1060" priority="48">
      <formula>AND(B$9&gt;=14/24,B$9&lt;20/24)</formula>
    </cfRule>
    <cfRule type="expression" dxfId="1059" priority="47">
      <formula>B$9&gt;=20/24</formula>
    </cfRule>
    <cfRule type="expression" dxfId="1058" priority="49">
      <formula>AND(B$9&gt;=8/24,B$9&lt;14/24)</formula>
    </cfRule>
    <cfRule type="expression" dxfId="1057" priority="50">
      <formula>B$9&lt;8/24</formula>
    </cfRule>
  </conditionalFormatting>
  <conditionalFormatting sqref="B17:R17">
    <cfRule type="expression" dxfId="1056" priority="29">
      <formula>AND(B$9&gt;=14/24,B$9&lt;20/24)</formula>
    </cfRule>
    <cfRule type="expression" dxfId="1055" priority="30">
      <formula>AND(B$9&gt;=8/24,B$9&lt;14/24)</formula>
    </cfRule>
    <cfRule type="expression" dxfId="1054" priority="31">
      <formula>B$9&lt;8/24</formula>
    </cfRule>
    <cfRule type="expression" dxfId="1053" priority="28">
      <formula>B$9&gt;=20/24</formula>
    </cfRule>
  </conditionalFormatting>
  <conditionalFormatting sqref="B18:R24">
    <cfRule type="expression" dxfId="1052" priority="36">
      <formula>AND(B$9&gt;=8/24,B$9&lt;14/24)</formula>
    </cfRule>
    <cfRule type="expression" dxfId="1051" priority="35">
      <formula>AND(B$9&gt;=14/24,B$9&lt;20/24)</formula>
    </cfRule>
    <cfRule type="expression" dxfId="1050" priority="34">
      <formula>B$9&gt;=20/24</formula>
    </cfRule>
    <cfRule type="expression" dxfId="1049" priority="37">
      <formula>B$9&lt;8/24</formula>
    </cfRule>
  </conditionalFormatting>
  <conditionalFormatting sqref="B25:R27 B29:AF29">
    <cfRule type="expression" dxfId="1048" priority="63">
      <formula>B$9&lt;8/24</formula>
    </cfRule>
    <cfRule type="expression" dxfId="1047" priority="62">
      <formula>AND(B$9&gt;=8/24,B$9&lt;14/24)</formula>
    </cfRule>
    <cfRule type="expression" dxfId="1046" priority="60">
      <formula>B$9&gt;=20/24</formula>
    </cfRule>
    <cfRule type="expression" dxfId="1045" priority="61">
      <formula>AND(B$9&gt;=14/24,B$9&lt;20/24)</formula>
    </cfRule>
  </conditionalFormatting>
  <conditionalFormatting sqref="B50:R51 B52:AF56">
    <cfRule type="expression" dxfId="1044" priority="17">
      <formula>B$9&lt;8/24</formula>
    </cfRule>
    <cfRule type="expression" dxfId="1043" priority="16">
      <formula>AND(B$9&gt;=8/24,B$9&lt;14/24)</formula>
    </cfRule>
    <cfRule type="expression" dxfId="1042" priority="14">
      <formula>B$9&gt;=20/24</formula>
    </cfRule>
    <cfRule type="expression" dxfId="1041" priority="13">
      <formula>B50&gt;$AG50</formula>
    </cfRule>
    <cfRule type="expression" dxfId="1040" priority="15">
      <formula>AND(B$9&gt;=14/24,B$9&lt;20/24)</formula>
    </cfRule>
  </conditionalFormatting>
  <conditionalFormatting sqref="B30:X37">
    <cfRule type="expression" dxfId="1039" priority="27">
      <formula>B$9&lt;8/24</formula>
    </cfRule>
    <cfRule type="expression" dxfId="1038" priority="26">
      <formula>AND(B$9&gt;=8/24,B$9&lt;14/24)</formula>
    </cfRule>
    <cfRule type="expression" dxfId="1037" priority="25">
      <formula>AND(B$9&gt;=14/24,B$9&lt;20/24)</formula>
    </cfRule>
    <cfRule type="expression" dxfId="1036" priority="24">
      <formula>B$9&gt;=20/24</formula>
    </cfRule>
  </conditionalFormatting>
  <conditionalFormatting sqref="B9:AF10 T11:AF11 B16:Q16 S16:AF16 B216:AF216 B218:B224 D218:AF224 U237:AF237">
    <cfRule type="expression" dxfId="1035" priority="325">
      <formula>B$9&lt;8/24</formula>
    </cfRule>
    <cfRule type="expression" dxfId="1034" priority="323">
      <formula>AND(B$9&gt;=14/24,B$9&lt;20/24)</formula>
    </cfRule>
    <cfRule type="expression" dxfId="1033" priority="324">
      <formula>AND(B$9&gt;=8/24,B$9&lt;14/24)</formula>
    </cfRule>
  </conditionalFormatting>
  <conditionalFormatting sqref="B19:AF24">
    <cfRule type="expression" dxfId="1032" priority="33">
      <formula>B19&gt;$AG19</formula>
    </cfRule>
  </conditionalFormatting>
  <conditionalFormatting sqref="B25:AF29">
    <cfRule type="expression" dxfId="1031" priority="55">
      <formula>B25&gt;$AG25</formula>
    </cfRule>
  </conditionalFormatting>
  <conditionalFormatting sqref="B28:AF28">
    <cfRule type="expression" dxfId="1030" priority="39">
      <formula>AND(B$9&gt;=14/24,B$9&lt;20/24)</formula>
    </cfRule>
    <cfRule type="expression" dxfId="1029" priority="40">
      <formula>AND(B$9&gt;=8/24,B$9&lt;14/24)</formula>
    </cfRule>
    <cfRule type="expression" dxfId="1028" priority="41">
      <formula>B$9&lt;8/24</formula>
    </cfRule>
    <cfRule type="expression" dxfId="1027" priority="38">
      <formula>B$9&gt;=20/24</formula>
    </cfRule>
  </conditionalFormatting>
  <conditionalFormatting sqref="B30:AF36">
    <cfRule type="expression" dxfId="1026" priority="23">
      <formula>B30&gt;$AG30</formula>
    </cfRule>
  </conditionalFormatting>
  <conditionalFormatting sqref="B38:AF39">
    <cfRule type="expression" dxfId="1025" priority="64">
      <formula>B38&gt;$AG38</formula>
    </cfRule>
  </conditionalFormatting>
  <conditionalFormatting sqref="B63:AF74">
    <cfRule type="expression" dxfId="1024" priority="2">
      <formula>AND(B$9&gt;=14/24,B$9&lt;20/24)</formula>
    </cfRule>
    <cfRule type="expression" dxfId="1023" priority="3">
      <formula>AND(B$9&gt;=8/24,B$9&lt;14/24)</formula>
    </cfRule>
    <cfRule type="expression" dxfId="1022" priority="4">
      <formula>B$9&lt;8/24</formula>
    </cfRule>
    <cfRule type="expression" dxfId="1021" priority="1">
      <formula>B$9&gt;=20/24</formula>
    </cfRule>
  </conditionalFormatting>
  <conditionalFormatting sqref="B83:AF99">
    <cfRule type="expression" dxfId="1016" priority="145">
      <formula>AND(B$9&gt;=8/24,B$9&lt;14/24)</formula>
    </cfRule>
    <cfRule type="expression" dxfId="1015" priority="146">
      <formula>B$9&lt;8/24</formula>
    </cfRule>
    <cfRule type="expression" dxfId="1014" priority="143">
      <formula>B$9&gt;=20/24</formula>
    </cfRule>
    <cfRule type="expression" dxfId="1013" priority="144">
      <formula>AND(B$9&gt;=14/24,B$9&lt;20/24)</formula>
    </cfRule>
  </conditionalFormatting>
  <conditionalFormatting sqref="B101:AF108">
    <cfRule type="expression" dxfId="1012" priority="117">
      <formula>B$9&gt;=20/24</formula>
    </cfRule>
    <cfRule type="expression" dxfId="1011" priority="118">
      <formula>AND(B$9&gt;=14/24,B$9&lt;20/24)</formula>
    </cfRule>
    <cfRule type="expression" dxfId="1010" priority="119">
      <formula>AND(B$9&gt;=8/24,B$9&lt;14/24)</formula>
    </cfRule>
    <cfRule type="expression" dxfId="1009" priority="120">
      <formula>B$9&lt;8/24</formula>
    </cfRule>
  </conditionalFormatting>
  <conditionalFormatting sqref="B40:AG40 B48:M49 B57:B62 T58:AG58 C58:S61 T59:AF61 C62:AG62">
    <cfRule type="expression" dxfId="1004" priority="197">
      <formula>B40&gt;$AG40</formula>
    </cfRule>
  </conditionalFormatting>
  <conditionalFormatting sqref="C41:AF43">
    <cfRule type="expression" dxfId="1003" priority="157">
      <formula>C$9&gt;=20/24</formula>
    </cfRule>
    <cfRule type="expression" dxfId="1002" priority="158">
      <formula>AND(C$9&gt;=14/24,C$9&lt;20/24)</formula>
    </cfRule>
    <cfRule type="expression" dxfId="1001" priority="159">
      <formula>AND(C$9&gt;=8/24,C$9&lt;14/24)</formula>
    </cfRule>
    <cfRule type="expression" dxfId="1000" priority="156">
      <formula>C41&gt;$AG41</formula>
    </cfRule>
    <cfRule type="expression" dxfId="999" priority="160">
      <formula>C$9&lt;8/24</formula>
    </cfRule>
  </conditionalFormatting>
  <conditionalFormatting sqref="C59:AF61 B59:B62 C62:AG62 C75:AF78 B75:B79 C79:AG79 B80:AF81">
    <cfRule type="expression" dxfId="998" priority="205">
      <formula>B$9&lt;8/24</formula>
    </cfRule>
    <cfRule type="expression" dxfId="997" priority="203">
      <formula>AND(B$9&gt;=14/24,B$9&lt;20/24)</formula>
    </cfRule>
    <cfRule type="expression" dxfId="996" priority="202">
      <formula>B$9&gt;=20/24</formula>
    </cfRule>
    <cfRule type="expression" dxfId="995" priority="204">
      <formula>AND(B$9&gt;=8/24,B$9&lt;14/24)</formula>
    </cfRule>
  </conditionalFormatting>
  <conditionalFormatting sqref="F46:M47 M48:M49">
    <cfRule type="expression" dxfId="994" priority="291">
      <formula>F$9&lt;8/24</formula>
    </cfRule>
    <cfRule type="expression" dxfId="993" priority="290">
      <formula>AND(F$9&gt;=8/24,F$9&lt;14/24)</formula>
    </cfRule>
    <cfRule type="expression" dxfId="992" priority="289">
      <formula>AND(F$9&gt;=14/24,F$9&lt;20/24)</formula>
    </cfRule>
    <cfRule type="expression" dxfId="991" priority="288">
      <formula>F$9&gt;=20/24</formula>
    </cfRule>
  </conditionalFormatting>
  <conditionalFormatting sqref="F45:N45 N46:N49 S48:AC49 S50:AF51">
    <cfRule type="expression" dxfId="990" priority="255">
      <formula>F$9&lt;8/24</formula>
    </cfRule>
    <cfRule type="expression" dxfId="989" priority="254">
      <formula>AND(F$9&gt;=8/24,F$9&lt;14/24)</formula>
    </cfRule>
    <cfRule type="expression" dxfId="988" priority="253">
      <formula>AND(F$9&gt;=14/24,F$9&lt;20/24)</formula>
    </cfRule>
    <cfRule type="expression" dxfId="987" priority="252">
      <formula>F$9&gt;=20/24</formula>
    </cfRule>
  </conditionalFormatting>
  <conditionalFormatting sqref="H46:M47">
    <cfRule type="expression" dxfId="986" priority="283">
      <formula>H46&gt;$AG46</formula>
    </cfRule>
  </conditionalFormatting>
  <conditionalFormatting sqref="H45:N45 N46:N49">
    <cfRule type="expression" dxfId="985" priority="251">
      <formula>H45&gt;$AG45</formula>
    </cfRule>
  </conditionalFormatting>
  <conditionalFormatting sqref="O3:P3">
    <cfRule type="iconSet" priority="326">
      <iconSet iconSet="3TrafficLights2" reverse="1">
        <cfvo type="percent" val="0"/>
        <cfvo type="num" val="1"/>
        <cfvo type="num" val="1"/>
      </iconSet>
    </cfRule>
  </conditionalFormatting>
  <conditionalFormatting sqref="O45:R49">
    <cfRule type="expression" dxfId="984" priority="18">
      <formula>O45&gt;$AG45</formula>
    </cfRule>
    <cfRule type="expression" dxfId="983" priority="22">
      <formula>O$9&lt;8/24</formula>
    </cfRule>
    <cfRule type="expression" dxfId="982" priority="21">
      <formula>AND(O$9&gt;=8/24,O$9&lt;14/24)</formula>
    </cfRule>
    <cfRule type="expression" dxfId="981" priority="20">
      <formula>AND(O$9&gt;=14/24,O$9&lt;20/24)</formula>
    </cfRule>
    <cfRule type="expression" dxfId="980" priority="19">
      <formula>O$9&gt;=20/24</formula>
    </cfRule>
  </conditionalFormatting>
  <conditionalFormatting sqref="R11">
    <cfRule type="expression" dxfId="979" priority="71">
      <formula>AND(R$9&gt;=14/24,R$9&lt;20/24)</formula>
    </cfRule>
    <cfRule type="expression" dxfId="978" priority="72">
      <formula>AND(R$9&gt;=8/24,R$9&lt;14/24)</formula>
    </cfRule>
    <cfRule type="expression" dxfId="977" priority="73">
      <formula>R$9&lt;8/24</formula>
    </cfRule>
    <cfRule type="expression" dxfId="976" priority="70">
      <formula>R$9&gt;=20/24</formula>
    </cfRule>
  </conditionalFormatting>
  <conditionalFormatting sqref="R11:R16">
    <cfRule type="expression" dxfId="975" priority="69">
      <formula>R11&gt;$AG11</formula>
    </cfRule>
  </conditionalFormatting>
  <conditionalFormatting sqref="R16">
    <cfRule type="expression" dxfId="974" priority="83">
      <formula>R$9&lt;8/24</formula>
    </cfRule>
    <cfRule type="expression" dxfId="973" priority="81">
      <formula>AND(R$9&gt;=14/24,R$9&lt;20/24)</formula>
    </cfRule>
    <cfRule type="expression" dxfId="972" priority="80">
      <formula>R$9&gt;=20/24</formula>
    </cfRule>
    <cfRule type="expression" dxfId="971" priority="82">
      <formula>AND(R$9&gt;=8/24,R$9&lt;14/24)</formula>
    </cfRule>
  </conditionalFormatting>
  <conditionalFormatting sqref="R17">
    <cfRule type="expression" dxfId="970" priority="32">
      <formula>R17&gt;$AG17</formula>
    </cfRule>
  </conditionalFormatting>
  <conditionalFormatting sqref="R18">
    <cfRule type="expression" dxfId="969" priority="79">
      <formula>R18&gt;$AG18</formula>
    </cfRule>
  </conditionalFormatting>
  <conditionalFormatting sqref="R38:X38">
    <cfRule type="expression" dxfId="968" priority="68">
      <formula>R$9&lt;8/24</formula>
    </cfRule>
    <cfRule type="expression" dxfId="967" priority="66">
      <formula>AND(R$9&gt;=14/24,R$9&lt;20/24)</formula>
    </cfRule>
    <cfRule type="expression" dxfId="966" priority="65">
      <formula>R$9&gt;=20/24</formula>
    </cfRule>
    <cfRule type="expression" dxfId="965" priority="67">
      <formula>AND(R$9&gt;=8/24,R$9&lt;14/24)</formula>
    </cfRule>
  </conditionalFormatting>
  <conditionalFormatting sqref="R39:AF39">
    <cfRule type="expression" dxfId="964" priority="78">
      <formula>R$9&lt;8/24</formula>
    </cfRule>
    <cfRule type="expression" dxfId="963" priority="77">
      <formula>AND(R$9&gt;=8/24,R$9&lt;14/24)</formula>
    </cfRule>
    <cfRule type="expression" dxfId="962" priority="76">
      <formula>AND(R$9&gt;=14/24,R$9&lt;20/24)</formula>
    </cfRule>
    <cfRule type="expression" dxfId="961" priority="75">
      <formula>R$9&gt;=20/24</formula>
    </cfRule>
  </conditionalFormatting>
  <conditionalFormatting sqref="S8 AB8 B8 M8">
    <cfRule type="expression" dxfId="960" priority="328">
      <formula>C$9&gt;=20/24</formula>
    </cfRule>
  </conditionalFormatting>
  <conditionalFormatting sqref="S8">
    <cfRule type="expression" dxfId="959" priority="298">
      <formula>AND(U$9&gt;=14/24,U$9&lt;20/24)</formula>
    </cfRule>
    <cfRule type="expression" dxfId="958" priority="297">
      <formula>U$9&gt;=20/24</formula>
    </cfRule>
    <cfRule type="expression" dxfId="957" priority="300">
      <formula>U$9&lt;8/24</formula>
    </cfRule>
    <cfRule type="expression" dxfId="956" priority="299">
      <formula>AND(U$9&gt;=8/24,U$9&lt;14/24)</formula>
    </cfRule>
  </conditionalFormatting>
  <conditionalFormatting sqref="S11 C57:AG57">
    <cfRule type="expression" dxfId="955" priority="274">
      <formula>C11&gt;$AG11</formula>
    </cfRule>
  </conditionalFormatting>
  <conditionalFormatting sqref="S11:S14 T12:AF14">
    <cfRule type="expression" dxfId="954" priority="280">
      <formula>AND(S$9&gt;=14/24,S$9&lt;20/24)</formula>
    </cfRule>
    <cfRule type="expression" dxfId="953" priority="279">
      <formula>S$9&gt;=20/24</formula>
    </cfRule>
    <cfRule type="expression" dxfId="952" priority="281">
      <formula>AND(S$9&gt;=8/24,S$9&lt;14/24)</formula>
    </cfRule>
    <cfRule type="expression" dxfId="951" priority="282">
      <formula>S$9&lt;8/24</formula>
    </cfRule>
  </conditionalFormatting>
  <conditionalFormatting sqref="S11:AF16 B37:AF37">
    <cfRule type="expression" dxfId="950" priority="316">
      <formula>B11&gt;$AG11</formula>
    </cfRule>
  </conditionalFormatting>
  <conditionalFormatting sqref="S15:AF15">
    <cfRule type="expression" dxfId="949" priority="267">
      <formula>AND(S$9&gt;=14/24,S$9&lt;20/24)</formula>
    </cfRule>
    <cfRule type="expression" dxfId="948" priority="268">
      <formula>AND(S$9&gt;=8/24,S$9&lt;14/24)</formula>
    </cfRule>
    <cfRule type="expression" dxfId="947" priority="269">
      <formula>S$9&lt;8/24</formula>
    </cfRule>
    <cfRule type="expression" dxfId="946" priority="266">
      <formula>S$9&gt;=20/24</formula>
    </cfRule>
  </conditionalFormatting>
  <conditionalFormatting sqref="S17:AF18 B11:Q18">
    <cfRule type="expression" dxfId="945" priority="110">
      <formula>B11&gt;$AG11</formula>
    </cfRule>
  </conditionalFormatting>
  <conditionalFormatting sqref="S17:AF27">
    <cfRule type="expression" dxfId="944" priority="108">
      <formula>S$9&lt;8/24</formula>
    </cfRule>
    <cfRule type="expression" dxfId="943" priority="105">
      <formula>S$9&gt;=20/24</formula>
    </cfRule>
    <cfRule type="expression" dxfId="942" priority="106">
      <formula>AND(S$9&gt;=14/24,S$9&lt;20/24)</formula>
    </cfRule>
    <cfRule type="expression" dxfId="941" priority="107">
      <formula>AND(S$9&gt;=8/24,S$9&lt;14/24)</formula>
    </cfRule>
  </conditionalFormatting>
  <conditionalFormatting sqref="S45:AF47">
    <cfRule type="expression" dxfId="940" priority="229">
      <formula>S$9&gt;=20/24</formula>
    </cfRule>
    <cfRule type="expression" dxfId="939" priority="232">
      <formula>S$9&lt;8/24</formula>
    </cfRule>
    <cfRule type="expression" dxfId="938" priority="230">
      <formula>AND(S$9&gt;=14/24,S$9&lt;20/24)</formula>
    </cfRule>
    <cfRule type="expression" dxfId="937" priority="231">
      <formula>AND(S$9&gt;=8/24,S$9&lt;14/24)</formula>
    </cfRule>
  </conditionalFormatting>
  <conditionalFormatting sqref="S45:AF51">
    <cfRule type="expression" dxfId="936" priority="228">
      <formula>S45&gt;$AG45</formula>
    </cfRule>
  </conditionalFormatting>
  <conditionalFormatting sqref="T237">
    <cfRule type="expression" dxfId="935" priority="343">
      <formula>AND(AX$9&gt;=8/24,AX$9&lt;14/24)</formula>
    </cfRule>
    <cfRule type="expression" dxfId="934" priority="342">
      <formula>AND(AX$9&gt;=14/24,AX$9&lt;20/24)</formula>
    </cfRule>
    <cfRule type="expression" dxfId="933" priority="341">
      <formula>AX$9&gt;=20/24</formula>
    </cfRule>
    <cfRule type="expression" dxfId="932" priority="344">
      <formula>AX$9&lt;8/24</formula>
    </cfRule>
  </conditionalFormatting>
  <conditionalFormatting sqref="T11:AF11 S16:AF16 B16:Q16 B9:AF10 B216:AF216 B218:B224 D218:AF224 U237:AF237">
    <cfRule type="expression" dxfId="931" priority="322">
      <formula>B$9&gt;=20/24</formula>
    </cfRule>
  </conditionalFormatting>
  <conditionalFormatting sqref="V3 AB3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Y30:AF38">
    <cfRule type="expression" dxfId="930" priority="95">
      <formula>Y$9&gt;=20/24</formula>
    </cfRule>
    <cfRule type="expression" dxfId="929" priority="97">
      <formula>AND(Y$9&gt;=8/24,Y$9&lt;14/24)</formula>
    </cfRule>
    <cfRule type="expression" dxfId="928" priority="98">
      <formula>Y$9&lt;8/24</formula>
    </cfRule>
    <cfRule type="expression" dxfId="927" priority="96">
      <formula>AND(Y$9&gt;=14/24,Y$9&lt;20/24)</formula>
    </cfRule>
  </conditionalFormatting>
  <conditionalFormatting sqref="AB8">
    <cfRule type="expression" dxfId="926" priority="293">
      <formula>AD$9&gt;=20/24</formula>
    </cfRule>
    <cfRule type="expression" dxfId="925" priority="294">
      <formula>AND(AD$9&gt;=14/24,AD$9&lt;20/24)</formula>
    </cfRule>
    <cfRule type="expression" dxfId="924" priority="295">
      <formula>AND(AD$9&gt;=8/24,AD$9&lt;14/24)</formula>
    </cfRule>
    <cfRule type="expression" dxfId="923" priority="296">
      <formula>AD$9&lt;8/24</formula>
    </cfRule>
  </conditionalFormatting>
  <conditionalFormatting sqref="AG237">
    <cfRule type="expression" dxfId="922" priority="333">
      <formula>B$9&gt;=20/24</formula>
    </cfRule>
    <cfRule type="expression" dxfId="921" priority="334">
      <formula>AND(B$9&gt;=14/24,B$9&lt;20/24)</formula>
    </cfRule>
    <cfRule type="expression" dxfId="920" priority="335">
      <formula>AND(B$9&gt;=8/24,B$9&lt;14/24)</formula>
    </cfRule>
    <cfRule type="expression" dxfId="919" priority="336">
      <formula>B$9&lt;8/24</formula>
    </cfRule>
  </conditionalFormatting>
  <conditionalFormatting sqref="AH237:AX237">
    <cfRule type="expression" dxfId="918" priority="338">
      <formula>AND(AG$9&gt;=14/24,AG$9&lt;20/24)</formula>
    </cfRule>
    <cfRule type="expression" dxfId="917" priority="337">
      <formula>AG$9&gt;=20/24</formula>
    </cfRule>
    <cfRule type="expression" dxfId="916" priority="339">
      <formula>AND(AG$9&gt;=8/24,AG$9&lt;14/24)</formula>
    </cfRule>
    <cfRule type="expression" dxfId="915" priority="340">
      <formula>AG$9&lt;8/24</formula>
    </cfRule>
  </conditionalFormatting>
  <conditionalFormatting sqref="AL4:AL6">
    <cfRule type="iconSet" priority="321">
      <iconSet iconSet="3TrafficLights2" reverse="1">
        <cfvo type="percent" val="0"/>
        <cfvo type="num" val="1"/>
        <cfvo type="num" val="1"/>
      </iconSet>
    </cfRule>
  </conditionalFormatting>
  <conditionalFormatting sqref="AL17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0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142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313">
      <iconSet iconSet="3TrafficLights2" reverse="1">
        <cfvo type="percent" val="0"/>
        <cfvo type="num" val="1"/>
        <cfvo type="num" val="1"/>
      </iconSet>
    </cfRule>
  </conditionalFormatting>
  <conditionalFormatting sqref="AL36">
    <cfRule type="iconSet" priority="301">
      <iconSet iconSet="3TrafficLights2" reverse="1">
        <cfvo type="percent" val="0"/>
        <cfvo type="num" val="1"/>
        <cfvo type="num" val="1"/>
      </iconSet>
    </cfRule>
  </conditionalFormatting>
  <conditionalFormatting sqref="AL37 AL34 AL18:AL29 AL7:AL16 AL31:AL32">
    <cfRule type="iconSet" priority="345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0" id="{6CFAE7CB-397A-4AC7-9E1C-779A8D58568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8" id="{2000302F-681F-48DF-B31D-27ADC0290A9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9" id="{2FE77A8C-84D9-45D1-93DB-AE702BC65C5D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41" id="{A39B05D0-5C47-42E3-887D-15AA8941889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127" id="{3C8C4A8C-8CC2-433B-A1BA-A0FF784A43C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28" id="{E34D5669-229B-4194-B290-3DCCAB30466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9" id="{0B923379-4684-42AB-AA7D-EFFAC55D705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0" id="{D140FA26-6770-437A-A245-4864DD16EB3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B109:AF109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J2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B50" sqref="B5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21" style="1" bestFit="1" customWidth="1"/>
    <col min="37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2079/06/10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1132MW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Load=913</v>
      </c>
      <c r="B7" s="35">
        <f t="shared" ref="B7:AF7" si="1">B81</f>
        <v>1030.3399999999999</v>
      </c>
      <c r="C7" s="35">
        <f t="shared" si="1"/>
        <v>1009.94</v>
      </c>
      <c r="D7" s="35">
        <f t="shared" si="1"/>
        <v>1003.94</v>
      </c>
      <c r="E7" s="35">
        <f t="shared" si="1"/>
        <v>1015.74</v>
      </c>
      <c r="F7" s="35">
        <f t="shared" si="1"/>
        <v>1011.1400000000001</v>
      </c>
      <c r="G7" s="35">
        <f t="shared" si="1"/>
        <v>1041.54</v>
      </c>
      <c r="H7" s="35">
        <f t="shared" si="1"/>
        <v>1078.94</v>
      </c>
      <c r="I7" s="35">
        <f t="shared" si="1"/>
        <v>1097.54</v>
      </c>
      <c r="J7" s="35">
        <f t="shared" si="1"/>
        <v>1113.44</v>
      </c>
      <c r="K7" s="35">
        <f t="shared" si="1"/>
        <v>1124.24</v>
      </c>
      <c r="L7" s="35">
        <f t="shared" si="1"/>
        <v>1132.04</v>
      </c>
      <c r="M7" s="35">
        <f t="shared" si="1"/>
        <v>1125.24</v>
      </c>
      <c r="N7" s="35">
        <f t="shared" si="1"/>
        <v>1122.24</v>
      </c>
      <c r="O7" s="35">
        <f t="shared" si="1"/>
        <v>1117.1399999999999</v>
      </c>
      <c r="P7" s="35">
        <f t="shared" si="1"/>
        <v>1107.24</v>
      </c>
      <c r="Q7" s="35">
        <f t="shared" si="1"/>
        <v>1107.24</v>
      </c>
      <c r="R7" s="35">
        <f t="shared" si="1"/>
        <v>1029.44</v>
      </c>
      <c r="S7" s="35">
        <f t="shared" si="1"/>
        <v>912.74</v>
      </c>
      <c r="T7" s="35">
        <f t="shared" si="1"/>
        <v>983.43999999999994</v>
      </c>
      <c r="U7" s="35">
        <f t="shared" si="1"/>
        <v>1013.14</v>
      </c>
      <c r="V7" s="35">
        <f t="shared" si="1"/>
        <v>1026.04</v>
      </c>
      <c r="W7" s="35">
        <f t="shared" si="1"/>
        <v>1068.54</v>
      </c>
      <c r="X7" s="35">
        <f t="shared" si="1"/>
        <v>1242.1399999999999</v>
      </c>
      <c r="Y7" s="35">
        <f t="shared" si="1"/>
        <v>1256.94</v>
      </c>
      <c r="Z7" s="35">
        <f t="shared" si="1"/>
        <v>1250.8399999999999</v>
      </c>
      <c r="AA7" s="35">
        <f t="shared" si="1"/>
        <v>1228.54</v>
      </c>
      <c r="AB7" s="35">
        <f t="shared" si="1"/>
        <v>1222.04</v>
      </c>
      <c r="AC7" s="35">
        <f t="shared" si="1"/>
        <v>1222.04</v>
      </c>
      <c r="AD7" s="35">
        <f t="shared" si="1"/>
        <v>1215.54</v>
      </c>
      <c r="AE7" s="35">
        <f t="shared" si="1"/>
        <v>1121.04</v>
      </c>
      <c r="AF7" s="35">
        <f t="shared" si="1"/>
        <v>1079.1399999999999</v>
      </c>
      <c r="AG7" s="36"/>
      <c r="AI7" s="37"/>
      <c r="AJ7" s="22">
        <f>1425*24-(B7+C7+D7+E7+F7+G7+I7+K7+M7+N7+O7+P7+Q7+R7+S7+T7+U7+V7+X7+Z7+AB7+AD7+AE7+AF7)</f>
        <v>8190.9399999999987</v>
      </c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52.8</v>
      </c>
      <c r="C11" s="45">
        <v>52.8</v>
      </c>
      <c r="D11" s="45">
        <v>52.8</v>
      </c>
      <c r="E11" s="45">
        <v>52.8</v>
      </c>
      <c r="F11" s="45">
        <v>52.8</v>
      </c>
      <c r="G11" s="45">
        <v>52.8</v>
      </c>
      <c r="H11" s="45">
        <v>52.8</v>
      </c>
      <c r="I11" s="45">
        <v>52.8</v>
      </c>
      <c r="J11" s="45">
        <v>52.8</v>
      </c>
      <c r="K11" s="45">
        <v>52.8</v>
      </c>
      <c r="L11" s="45">
        <v>52.8</v>
      </c>
      <c r="M11" s="45">
        <v>52.8</v>
      </c>
      <c r="N11" s="45">
        <v>52.8</v>
      </c>
      <c r="O11" s="45">
        <v>52.8</v>
      </c>
      <c r="P11" s="45">
        <v>52.8</v>
      </c>
      <c r="Q11" s="45">
        <v>52.8</v>
      </c>
      <c r="R11" s="45">
        <v>52.8</v>
      </c>
      <c r="S11" s="45">
        <v>52.8</v>
      </c>
      <c r="T11" s="45">
        <v>52.8</v>
      </c>
      <c r="U11" s="45">
        <v>52.8</v>
      </c>
      <c r="V11" s="45">
        <v>52.8</v>
      </c>
      <c r="W11" s="45">
        <v>52.8</v>
      </c>
      <c r="X11" s="45">
        <v>52.8</v>
      </c>
      <c r="Y11" s="45">
        <v>52.8</v>
      </c>
      <c r="Z11" s="45">
        <v>52.8</v>
      </c>
      <c r="AA11" s="45">
        <v>52.8</v>
      </c>
      <c r="AB11" s="45">
        <v>52.8</v>
      </c>
      <c r="AC11" s="45">
        <v>52.8</v>
      </c>
      <c r="AD11" s="45">
        <v>52.8</v>
      </c>
      <c r="AE11" s="45">
        <v>52.8</v>
      </c>
      <c r="AF11" s="45">
        <v>52.8</v>
      </c>
      <c r="AG11" s="47">
        <v>52.4</v>
      </c>
      <c r="AH11" s="48">
        <f>MAX(B11:AF11)</f>
        <v>52.8</v>
      </c>
      <c r="AI11" s="49">
        <f>MIN(B11:AF11)</f>
        <v>52.8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50.7</v>
      </c>
      <c r="C12" s="45">
        <v>50.7</v>
      </c>
      <c r="D12" s="45">
        <v>50.7</v>
      </c>
      <c r="E12" s="45">
        <v>50.7</v>
      </c>
      <c r="F12" s="45">
        <v>50.7</v>
      </c>
      <c r="G12" s="45">
        <v>50.7</v>
      </c>
      <c r="H12" s="45">
        <v>50.7</v>
      </c>
      <c r="I12" s="45">
        <v>50.7</v>
      </c>
      <c r="J12" s="45">
        <v>50.7</v>
      </c>
      <c r="K12" s="45">
        <v>50.7</v>
      </c>
      <c r="L12" s="45">
        <v>50.7</v>
      </c>
      <c r="M12" s="45">
        <v>50.7</v>
      </c>
      <c r="N12" s="45">
        <v>50.7</v>
      </c>
      <c r="O12" s="45">
        <v>50.7</v>
      </c>
      <c r="P12" s="45">
        <v>50.7</v>
      </c>
      <c r="Q12" s="45">
        <v>50.7</v>
      </c>
      <c r="R12" s="45">
        <v>50.7</v>
      </c>
      <c r="S12" s="45">
        <v>50.7</v>
      </c>
      <c r="T12" s="45">
        <v>50.7</v>
      </c>
      <c r="U12" s="45">
        <v>50.7</v>
      </c>
      <c r="V12" s="45">
        <v>50.7</v>
      </c>
      <c r="W12" s="45">
        <v>50.7</v>
      </c>
      <c r="X12" s="45">
        <v>50.7</v>
      </c>
      <c r="Y12" s="45">
        <v>50.7</v>
      </c>
      <c r="Z12" s="45">
        <v>50.7</v>
      </c>
      <c r="AA12" s="45">
        <v>50.7</v>
      </c>
      <c r="AB12" s="45">
        <v>50.7</v>
      </c>
      <c r="AC12" s="45">
        <v>50.7</v>
      </c>
      <c r="AD12" s="45">
        <v>50.7</v>
      </c>
      <c r="AE12" s="45">
        <v>50.7</v>
      </c>
      <c r="AF12" s="45">
        <v>50.7</v>
      </c>
      <c r="AG12" s="51">
        <v>50</v>
      </c>
      <c r="AH12" s="48">
        <f t="shared" ref="AH12:AH75" si="2">MAX(B12:AF12)</f>
        <v>50.7</v>
      </c>
      <c r="AI12" s="49">
        <f t="shared" ref="AI12:AI75" si="3">MIN(B12:AF12)</f>
        <v>50.7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36.799999999999997</v>
      </c>
      <c r="C13" s="45">
        <v>26.6</v>
      </c>
      <c r="D13" s="45">
        <v>26.6</v>
      </c>
      <c r="E13" s="45">
        <v>26.6</v>
      </c>
      <c r="F13" s="45">
        <v>26.6</v>
      </c>
      <c r="G13" s="45">
        <v>26.6</v>
      </c>
      <c r="H13" s="45">
        <v>26.6</v>
      </c>
      <c r="I13" s="45">
        <v>26.6</v>
      </c>
      <c r="J13" s="45">
        <v>26.6</v>
      </c>
      <c r="K13" s="45">
        <v>26.6</v>
      </c>
      <c r="L13" s="45">
        <v>41.8</v>
      </c>
      <c r="M13" s="45">
        <v>41.8</v>
      </c>
      <c r="N13" s="45">
        <v>36.9</v>
      </c>
      <c r="O13" s="45">
        <v>36.9</v>
      </c>
      <c r="P13" s="45">
        <v>36.9</v>
      </c>
      <c r="Q13" s="45">
        <v>36.9</v>
      </c>
      <c r="R13" s="45">
        <v>36.9</v>
      </c>
      <c r="S13" s="45">
        <v>36.9</v>
      </c>
      <c r="T13" s="45">
        <v>36.9</v>
      </c>
      <c r="U13" s="45">
        <v>36.9</v>
      </c>
      <c r="V13" s="45">
        <v>36.9</v>
      </c>
      <c r="W13" s="45">
        <v>36.9</v>
      </c>
      <c r="X13" s="45">
        <v>41.8</v>
      </c>
      <c r="Y13" s="45">
        <v>45.5</v>
      </c>
      <c r="Z13" s="45">
        <v>45.5</v>
      </c>
      <c r="AA13" s="45">
        <v>41.4</v>
      </c>
      <c r="AB13" s="45">
        <v>30.6</v>
      </c>
      <c r="AC13" s="45">
        <v>30.6</v>
      </c>
      <c r="AD13" s="45">
        <v>30.6</v>
      </c>
      <c r="AE13" s="45">
        <v>30.6</v>
      </c>
      <c r="AF13" s="45">
        <v>30.6</v>
      </c>
      <c r="AG13" s="51">
        <v>45</v>
      </c>
      <c r="AH13" s="48">
        <f t="shared" si="2"/>
        <v>45.5</v>
      </c>
      <c r="AI13" s="49">
        <f t="shared" si="3"/>
        <v>26.6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15</v>
      </c>
      <c r="C14" s="45">
        <v>15</v>
      </c>
      <c r="D14" s="45">
        <v>15</v>
      </c>
      <c r="E14" s="45">
        <v>15</v>
      </c>
      <c r="F14" s="45">
        <v>15</v>
      </c>
      <c r="G14" s="45">
        <v>15</v>
      </c>
      <c r="H14" s="45">
        <v>15</v>
      </c>
      <c r="I14" s="45">
        <v>15</v>
      </c>
      <c r="J14" s="45">
        <v>15</v>
      </c>
      <c r="K14" s="45">
        <v>15</v>
      </c>
      <c r="L14" s="45">
        <v>15</v>
      </c>
      <c r="M14" s="45">
        <v>15</v>
      </c>
      <c r="N14" s="45">
        <v>15</v>
      </c>
      <c r="O14" s="45">
        <v>15</v>
      </c>
      <c r="P14" s="45">
        <v>15</v>
      </c>
      <c r="Q14" s="45">
        <v>15</v>
      </c>
      <c r="R14" s="45">
        <v>15</v>
      </c>
      <c r="S14" s="45">
        <v>15</v>
      </c>
      <c r="T14" s="45">
        <v>15</v>
      </c>
      <c r="U14" s="45">
        <v>15</v>
      </c>
      <c r="V14" s="45">
        <v>15</v>
      </c>
      <c r="W14" s="45">
        <v>15</v>
      </c>
      <c r="X14" s="45">
        <v>15.5</v>
      </c>
      <c r="Y14" s="45">
        <v>26.5</v>
      </c>
      <c r="Z14" s="45">
        <v>28</v>
      </c>
      <c r="AA14" s="45">
        <v>20.5</v>
      </c>
      <c r="AB14" s="45">
        <v>20.5</v>
      </c>
      <c r="AC14" s="45">
        <v>20.5</v>
      </c>
      <c r="AD14" s="45">
        <v>14</v>
      </c>
      <c r="AE14" s="45">
        <v>14</v>
      </c>
      <c r="AF14" s="45">
        <v>14</v>
      </c>
      <c r="AG14" s="51">
        <v>42</v>
      </c>
      <c r="AH14" s="48">
        <f t="shared" si="2"/>
        <v>28</v>
      </c>
      <c r="AI14" s="49">
        <f t="shared" si="3"/>
        <v>14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5</v>
      </c>
      <c r="Y15" s="45">
        <v>5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52">
        <v>30</v>
      </c>
      <c r="AH15" s="48">
        <f t="shared" si="2"/>
        <v>5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15.5</v>
      </c>
      <c r="C16" s="45">
        <v>15.5</v>
      </c>
      <c r="D16" s="45">
        <v>15.5</v>
      </c>
      <c r="E16" s="45">
        <v>15.5</v>
      </c>
      <c r="F16" s="45">
        <v>15.5</v>
      </c>
      <c r="G16" s="45">
        <v>15.5</v>
      </c>
      <c r="H16" s="45">
        <v>15.5</v>
      </c>
      <c r="I16" s="45">
        <v>15.5</v>
      </c>
      <c r="J16" s="45">
        <v>15.5</v>
      </c>
      <c r="K16" s="45">
        <v>15.5</v>
      </c>
      <c r="L16" s="45">
        <v>15.5</v>
      </c>
      <c r="M16" s="45">
        <v>15.5</v>
      </c>
      <c r="N16" s="45">
        <v>15.5</v>
      </c>
      <c r="O16" s="45">
        <v>15.5</v>
      </c>
      <c r="P16" s="45">
        <v>15.5</v>
      </c>
      <c r="Q16" s="45">
        <v>15.5</v>
      </c>
      <c r="R16" s="45">
        <v>15.5</v>
      </c>
      <c r="S16" s="45">
        <v>15.5</v>
      </c>
      <c r="T16" s="45">
        <v>15.5</v>
      </c>
      <c r="U16" s="45">
        <v>15.5</v>
      </c>
      <c r="V16" s="45">
        <v>15.5</v>
      </c>
      <c r="W16" s="45">
        <v>15.5</v>
      </c>
      <c r="X16" s="45">
        <v>15.5</v>
      </c>
      <c r="Y16" s="45">
        <v>15.5</v>
      </c>
      <c r="Z16" s="45">
        <v>15.5</v>
      </c>
      <c r="AA16" s="45">
        <v>15.5</v>
      </c>
      <c r="AB16" s="45">
        <v>15.5</v>
      </c>
      <c r="AC16" s="45">
        <v>15.5</v>
      </c>
      <c r="AD16" s="45">
        <v>15.5</v>
      </c>
      <c r="AE16" s="45">
        <v>15.5</v>
      </c>
      <c r="AF16" s="45">
        <v>15.5</v>
      </c>
      <c r="AG16" s="51">
        <v>24.2</v>
      </c>
      <c r="AH16" s="48">
        <f t="shared" si="2"/>
        <v>15.5</v>
      </c>
      <c r="AI16" s="49">
        <f t="shared" si="3"/>
        <v>15.5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 t="s">
        <v>248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6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52">
        <v>30</v>
      </c>
      <c r="AH17" s="48">
        <f t="shared" si="2"/>
        <v>6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18.3</v>
      </c>
      <c r="C18" s="45">
        <v>18.3</v>
      </c>
      <c r="D18" s="45">
        <v>18.3</v>
      </c>
      <c r="E18" s="45">
        <v>18.3</v>
      </c>
      <c r="F18" s="45">
        <v>18.3</v>
      </c>
      <c r="G18" s="45">
        <v>16.3</v>
      </c>
      <c r="H18" s="45">
        <v>16.3</v>
      </c>
      <c r="I18" s="45">
        <v>16.3</v>
      </c>
      <c r="J18" s="45">
        <v>16.3</v>
      </c>
      <c r="K18" s="45">
        <v>16.3</v>
      </c>
      <c r="L18" s="45">
        <v>16.3</v>
      </c>
      <c r="M18" s="45">
        <v>16.3</v>
      </c>
      <c r="N18" s="45">
        <v>16.3</v>
      </c>
      <c r="O18" s="45">
        <v>16.3</v>
      </c>
      <c r="P18" s="45">
        <v>12.7</v>
      </c>
      <c r="Q18" s="45">
        <v>12.7</v>
      </c>
      <c r="R18" s="45">
        <v>12.7</v>
      </c>
      <c r="S18" s="45">
        <v>12.7</v>
      </c>
      <c r="T18" s="45">
        <v>12.7</v>
      </c>
      <c r="U18" s="45">
        <v>12.7</v>
      </c>
      <c r="V18" s="45">
        <v>12.7</v>
      </c>
      <c r="W18" s="45">
        <v>12.7</v>
      </c>
      <c r="X18" s="45">
        <v>16</v>
      </c>
      <c r="Y18" s="45">
        <v>25</v>
      </c>
      <c r="Z18" s="45">
        <v>25</v>
      </c>
      <c r="AA18" s="45">
        <v>20</v>
      </c>
      <c r="AB18" s="45">
        <v>15.7</v>
      </c>
      <c r="AC18" s="45">
        <v>15.7</v>
      </c>
      <c r="AD18" s="45">
        <v>15.7</v>
      </c>
      <c r="AE18" s="45">
        <v>15.7</v>
      </c>
      <c r="AF18" s="45">
        <v>15.7</v>
      </c>
      <c r="AG18" s="51">
        <v>25</v>
      </c>
      <c r="AH18" s="48">
        <f t="shared" si="2"/>
        <v>25</v>
      </c>
      <c r="AI18" s="49">
        <f t="shared" si="3"/>
        <v>12.7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25</v>
      </c>
      <c r="C19" s="45">
        <v>25</v>
      </c>
      <c r="D19" s="45">
        <v>25</v>
      </c>
      <c r="E19" s="45">
        <v>25</v>
      </c>
      <c r="F19" s="45">
        <v>25</v>
      </c>
      <c r="G19" s="45">
        <v>25</v>
      </c>
      <c r="H19" s="45">
        <v>25</v>
      </c>
      <c r="I19" s="45">
        <v>25</v>
      </c>
      <c r="J19" s="45">
        <v>25</v>
      </c>
      <c r="K19" s="45">
        <v>25</v>
      </c>
      <c r="L19" s="45">
        <v>25</v>
      </c>
      <c r="M19" s="45">
        <v>25</v>
      </c>
      <c r="N19" s="45">
        <v>25</v>
      </c>
      <c r="O19" s="45">
        <v>25</v>
      </c>
      <c r="P19" s="45">
        <v>25</v>
      </c>
      <c r="Q19" s="45">
        <v>25</v>
      </c>
      <c r="R19" s="45">
        <v>25</v>
      </c>
      <c r="S19" s="45">
        <v>0</v>
      </c>
      <c r="T19" s="45">
        <v>12</v>
      </c>
      <c r="U19" s="45">
        <v>25</v>
      </c>
      <c r="V19" s="45">
        <v>25</v>
      </c>
      <c r="W19" s="45">
        <v>25</v>
      </c>
      <c r="X19" s="45">
        <v>25</v>
      </c>
      <c r="Y19" s="45">
        <v>25</v>
      </c>
      <c r="Z19" s="45">
        <v>25</v>
      </c>
      <c r="AA19" s="45">
        <v>25</v>
      </c>
      <c r="AB19" s="45">
        <v>25</v>
      </c>
      <c r="AC19" s="45">
        <v>25</v>
      </c>
      <c r="AD19" s="45">
        <v>25</v>
      </c>
      <c r="AE19" s="45">
        <v>25</v>
      </c>
      <c r="AF19" s="45">
        <v>25</v>
      </c>
      <c r="AG19" s="51">
        <v>25</v>
      </c>
      <c r="AH19" s="48">
        <f t="shared" si="2"/>
        <v>25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15</v>
      </c>
      <c r="C20" s="45">
        <v>15</v>
      </c>
      <c r="D20" s="45">
        <v>15</v>
      </c>
      <c r="E20" s="45">
        <v>15</v>
      </c>
      <c r="F20" s="45">
        <v>15</v>
      </c>
      <c r="G20" s="45">
        <v>15</v>
      </c>
      <c r="H20" s="45">
        <v>15</v>
      </c>
      <c r="I20" s="45">
        <v>15</v>
      </c>
      <c r="J20" s="45">
        <v>15</v>
      </c>
      <c r="K20" s="45">
        <v>15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  <c r="R20" s="45">
        <v>15</v>
      </c>
      <c r="S20" s="45">
        <v>15</v>
      </c>
      <c r="T20" s="45">
        <v>15</v>
      </c>
      <c r="U20" s="45">
        <v>15</v>
      </c>
      <c r="V20" s="45">
        <v>15</v>
      </c>
      <c r="W20" s="45">
        <v>15</v>
      </c>
      <c r="X20" s="45">
        <v>15</v>
      </c>
      <c r="Y20" s="45">
        <v>15</v>
      </c>
      <c r="Z20" s="45">
        <v>15</v>
      </c>
      <c r="AA20" s="45">
        <v>15</v>
      </c>
      <c r="AB20" s="45">
        <v>15</v>
      </c>
      <c r="AC20" s="45">
        <v>15</v>
      </c>
      <c r="AD20" s="45">
        <v>15</v>
      </c>
      <c r="AE20" s="45">
        <v>15</v>
      </c>
      <c r="AF20" s="45">
        <v>15</v>
      </c>
      <c r="AG20" s="51">
        <v>25</v>
      </c>
      <c r="AH20" s="48">
        <f t="shared" si="2"/>
        <v>15</v>
      </c>
      <c r="AI20" s="49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22.7</v>
      </c>
      <c r="C21" s="45">
        <v>22.7</v>
      </c>
      <c r="D21" s="45">
        <v>22.7</v>
      </c>
      <c r="E21" s="45">
        <v>22.7</v>
      </c>
      <c r="F21" s="45">
        <v>22.7</v>
      </c>
      <c r="G21" s="45">
        <v>22.7</v>
      </c>
      <c r="H21" s="45">
        <v>22.7</v>
      </c>
      <c r="I21" s="45">
        <v>22.7</v>
      </c>
      <c r="J21" s="45">
        <v>22.7</v>
      </c>
      <c r="K21" s="45">
        <v>22.7</v>
      </c>
      <c r="L21" s="45">
        <v>22.7</v>
      </c>
      <c r="M21" s="45">
        <v>22.7</v>
      </c>
      <c r="N21" s="45">
        <v>22.7</v>
      </c>
      <c r="O21" s="45">
        <v>22.7</v>
      </c>
      <c r="P21" s="45">
        <v>22.7</v>
      </c>
      <c r="Q21" s="45">
        <v>22.7</v>
      </c>
      <c r="R21" s="45">
        <v>22.7</v>
      </c>
      <c r="S21" s="45">
        <v>22.7</v>
      </c>
      <c r="T21" s="45">
        <v>22.7</v>
      </c>
      <c r="U21" s="45">
        <v>22.7</v>
      </c>
      <c r="V21" s="45">
        <v>22.7</v>
      </c>
      <c r="W21" s="45">
        <v>22.7</v>
      </c>
      <c r="X21" s="45">
        <v>22.7</v>
      </c>
      <c r="Y21" s="45">
        <v>22.7</v>
      </c>
      <c r="Z21" s="45">
        <v>22.7</v>
      </c>
      <c r="AA21" s="45">
        <v>22.7</v>
      </c>
      <c r="AB21" s="45">
        <v>22.7</v>
      </c>
      <c r="AC21" s="45">
        <v>22.7</v>
      </c>
      <c r="AD21" s="45">
        <v>22.7</v>
      </c>
      <c r="AE21" s="45">
        <v>22.7</v>
      </c>
      <c r="AF21" s="45">
        <v>22.7</v>
      </c>
      <c r="AG21" s="51">
        <v>23.5</v>
      </c>
      <c r="AH21" s="48">
        <f t="shared" si="2"/>
        <v>22.7</v>
      </c>
      <c r="AI21" s="49">
        <f t="shared" si="3"/>
        <v>22.7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16</v>
      </c>
      <c r="C22" s="45">
        <v>16</v>
      </c>
      <c r="D22" s="45">
        <v>16</v>
      </c>
      <c r="E22" s="45">
        <v>16</v>
      </c>
      <c r="F22" s="45">
        <v>16</v>
      </c>
      <c r="G22" s="45">
        <v>16</v>
      </c>
      <c r="H22" s="45">
        <v>16</v>
      </c>
      <c r="I22" s="45">
        <v>16</v>
      </c>
      <c r="J22" s="45">
        <v>16</v>
      </c>
      <c r="K22" s="45">
        <v>16</v>
      </c>
      <c r="L22" s="45">
        <v>16</v>
      </c>
      <c r="M22" s="45">
        <v>16</v>
      </c>
      <c r="N22" s="45">
        <v>16</v>
      </c>
      <c r="O22" s="45">
        <v>16</v>
      </c>
      <c r="P22" s="45">
        <v>16</v>
      </c>
      <c r="Q22" s="45">
        <v>16</v>
      </c>
      <c r="R22" s="45">
        <v>16</v>
      </c>
      <c r="S22" s="45">
        <v>16</v>
      </c>
      <c r="T22" s="45">
        <v>16</v>
      </c>
      <c r="U22" s="45">
        <v>16</v>
      </c>
      <c r="V22" s="45">
        <v>16</v>
      </c>
      <c r="W22" s="45">
        <v>16</v>
      </c>
      <c r="X22" s="45">
        <v>16</v>
      </c>
      <c r="Y22" s="45">
        <v>16</v>
      </c>
      <c r="Z22" s="45">
        <v>16</v>
      </c>
      <c r="AA22" s="45">
        <v>16</v>
      </c>
      <c r="AB22" s="45">
        <v>16</v>
      </c>
      <c r="AC22" s="45">
        <v>16</v>
      </c>
      <c r="AD22" s="45">
        <v>16</v>
      </c>
      <c r="AE22" s="45">
        <v>16</v>
      </c>
      <c r="AF22" s="45">
        <v>16</v>
      </c>
      <c r="AG22" s="51">
        <v>22.2</v>
      </c>
      <c r="AH22" s="48">
        <f t="shared" si="2"/>
        <v>16</v>
      </c>
      <c r="AI22" s="49">
        <f t="shared" si="3"/>
        <v>16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22</v>
      </c>
      <c r="C23" s="45">
        <v>22</v>
      </c>
      <c r="D23" s="45">
        <v>22</v>
      </c>
      <c r="E23" s="45">
        <v>22</v>
      </c>
      <c r="F23" s="45">
        <v>22</v>
      </c>
      <c r="G23" s="45">
        <v>22</v>
      </c>
      <c r="H23" s="45">
        <v>22</v>
      </c>
      <c r="I23" s="45">
        <v>22</v>
      </c>
      <c r="J23" s="45">
        <v>22</v>
      </c>
      <c r="K23" s="45">
        <v>22</v>
      </c>
      <c r="L23" s="45">
        <v>22</v>
      </c>
      <c r="M23" s="45">
        <v>22</v>
      </c>
      <c r="N23" s="45">
        <v>22</v>
      </c>
      <c r="O23" s="45">
        <v>22</v>
      </c>
      <c r="P23" s="45">
        <v>22</v>
      </c>
      <c r="Q23" s="45">
        <v>22</v>
      </c>
      <c r="R23" s="45">
        <v>22</v>
      </c>
      <c r="S23" s="45">
        <v>0</v>
      </c>
      <c r="T23" s="45">
        <v>22</v>
      </c>
      <c r="U23" s="45">
        <v>22</v>
      </c>
      <c r="V23" s="45">
        <v>22</v>
      </c>
      <c r="W23" s="45">
        <v>22</v>
      </c>
      <c r="X23" s="45">
        <v>22</v>
      </c>
      <c r="Y23" s="45">
        <v>22</v>
      </c>
      <c r="Z23" s="45">
        <v>22</v>
      </c>
      <c r="AA23" s="45">
        <v>22</v>
      </c>
      <c r="AB23" s="45">
        <v>22</v>
      </c>
      <c r="AC23" s="45">
        <v>22</v>
      </c>
      <c r="AD23" s="45">
        <v>22</v>
      </c>
      <c r="AE23" s="45">
        <v>22</v>
      </c>
      <c r="AF23" s="45">
        <v>22</v>
      </c>
      <c r="AG23" s="51">
        <v>22.1</v>
      </c>
      <c r="AH23" s="48">
        <f t="shared" si="2"/>
        <v>22</v>
      </c>
      <c r="AI23" s="49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22</v>
      </c>
      <c r="C24" s="45">
        <v>22</v>
      </c>
      <c r="D24" s="45">
        <v>22</v>
      </c>
      <c r="E24" s="45">
        <v>22</v>
      </c>
      <c r="F24" s="45">
        <v>22</v>
      </c>
      <c r="G24" s="45">
        <v>22</v>
      </c>
      <c r="H24" s="45">
        <v>22</v>
      </c>
      <c r="I24" s="45">
        <v>22</v>
      </c>
      <c r="J24" s="45">
        <v>22</v>
      </c>
      <c r="K24" s="45">
        <v>22</v>
      </c>
      <c r="L24" s="45">
        <v>22</v>
      </c>
      <c r="M24" s="45">
        <v>22</v>
      </c>
      <c r="N24" s="45">
        <v>22</v>
      </c>
      <c r="O24" s="45">
        <v>22</v>
      </c>
      <c r="P24" s="45">
        <v>22</v>
      </c>
      <c r="Q24" s="45">
        <v>22</v>
      </c>
      <c r="R24" s="45">
        <v>22</v>
      </c>
      <c r="S24" s="45">
        <v>0</v>
      </c>
      <c r="T24" s="45">
        <v>22</v>
      </c>
      <c r="U24" s="45">
        <v>22</v>
      </c>
      <c r="V24" s="45">
        <v>22</v>
      </c>
      <c r="W24" s="45">
        <v>22</v>
      </c>
      <c r="X24" s="45">
        <v>22</v>
      </c>
      <c r="Y24" s="45">
        <v>22</v>
      </c>
      <c r="Z24" s="45">
        <v>22</v>
      </c>
      <c r="AA24" s="45">
        <v>22</v>
      </c>
      <c r="AB24" s="45">
        <v>22</v>
      </c>
      <c r="AC24" s="45">
        <v>22</v>
      </c>
      <c r="AD24" s="45">
        <v>22</v>
      </c>
      <c r="AE24" s="45">
        <v>22</v>
      </c>
      <c r="AF24" s="45">
        <v>22</v>
      </c>
      <c r="AG24" s="51">
        <v>22</v>
      </c>
      <c r="AH24" s="48">
        <f t="shared" si="2"/>
        <v>22</v>
      </c>
      <c r="AI24" s="49">
        <f t="shared" si="3"/>
        <v>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13</v>
      </c>
      <c r="C25" s="45">
        <v>13</v>
      </c>
      <c r="D25" s="45">
        <v>13</v>
      </c>
      <c r="E25" s="45">
        <v>13</v>
      </c>
      <c r="F25" s="45">
        <v>13</v>
      </c>
      <c r="G25" s="45">
        <v>13</v>
      </c>
      <c r="H25" s="45">
        <v>13</v>
      </c>
      <c r="I25" s="45">
        <v>13</v>
      </c>
      <c r="J25" s="45">
        <v>13</v>
      </c>
      <c r="K25" s="45">
        <v>13</v>
      </c>
      <c r="L25" s="45">
        <v>13</v>
      </c>
      <c r="M25" s="45">
        <v>13</v>
      </c>
      <c r="N25" s="45">
        <v>15</v>
      </c>
      <c r="O25" s="45">
        <v>15</v>
      </c>
      <c r="P25" s="45">
        <v>15</v>
      </c>
      <c r="Q25" s="45">
        <v>15</v>
      </c>
      <c r="R25" s="45">
        <v>15</v>
      </c>
      <c r="S25" s="45">
        <v>15</v>
      </c>
      <c r="T25" s="45">
        <v>15</v>
      </c>
      <c r="U25" s="45">
        <v>15</v>
      </c>
      <c r="V25" s="45">
        <v>15</v>
      </c>
      <c r="W25" s="45">
        <v>15</v>
      </c>
      <c r="X25" s="45">
        <v>22</v>
      </c>
      <c r="Y25" s="45">
        <v>22</v>
      </c>
      <c r="Z25" s="45">
        <v>22</v>
      </c>
      <c r="AA25" s="45">
        <v>22</v>
      </c>
      <c r="AB25" s="45">
        <v>22</v>
      </c>
      <c r="AC25" s="45">
        <v>22</v>
      </c>
      <c r="AD25" s="45">
        <v>22</v>
      </c>
      <c r="AE25" s="45">
        <v>22</v>
      </c>
      <c r="AF25" s="45">
        <v>22</v>
      </c>
      <c r="AG25" s="51">
        <v>22</v>
      </c>
      <c r="AH25" s="48">
        <f t="shared" si="2"/>
        <v>22</v>
      </c>
      <c r="AI25" s="49">
        <f t="shared" si="3"/>
        <v>13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51">
        <v>20</v>
      </c>
      <c r="AH26" s="48">
        <f t="shared" si="2"/>
        <v>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0</v>
      </c>
      <c r="T27" s="45">
        <v>8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14.9</v>
      </c>
      <c r="AH27" s="48">
        <f t="shared" si="2"/>
        <v>14</v>
      </c>
      <c r="AI27" s="49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51">
        <v>13.6</v>
      </c>
      <c r="AH28" s="48">
        <f t="shared" si="2"/>
        <v>6</v>
      </c>
      <c r="AI28" s="49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6</v>
      </c>
      <c r="C29" s="45">
        <v>6</v>
      </c>
      <c r="D29" s="45">
        <v>6</v>
      </c>
      <c r="E29" s="45">
        <v>6</v>
      </c>
      <c r="F29" s="45">
        <v>6</v>
      </c>
      <c r="G29" s="45">
        <v>6</v>
      </c>
      <c r="H29" s="45">
        <v>6</v>
      </c>
      <c r="I29" s="45">
        <v>6</v>
      </c>
      <c r="J29" s="45">
        <v>6</v>
      </c>
      <c r="K29" s="45">
        <v>6</v>
      </c>
      <c r="L29" s="45">
        <v>6</v>
      </c>
      <c r="M29" s="45">
        <v>6</v>
      </c>
      <c r="N29" s="45">
        <v>6</v>
      </c>
      <c r="O29" s="45">
        <v>6</v>
      </c>
      <c r="P29" s="45">
        <v>6</v>
      </c>
      <c r="Q29" s="45">
        <v>6</v>
      </c>
      <c r="R29" s="45">
        <v>6</v>
      </c>
      <c r="S29" s="45">
        <v>6</v>
      </c>
      <c r="T29" s="45">
        <v>6</v>
      </c>
      <c r="U29" s="45">
        <v>6</v>
      </c>
      <c r="V29" s="45">
        <v>6</v>
      </c>
      <c r="W29" s="45">
        <v>6</v>
      </c>
      <c r="X29" s="45">
        <v>13</v>
      </c>
      <c r="Y29" s="45">
        <v>13</v>
      </c>
      <c r="Z29" s="45">
        <v>6</v>
      </c>
      <c r="AA29" s="45">
        <v>6</v>
      </c>
      <c r="AB29" s="45">
        <v>6</v>
      </c>
      <c r="AC29" s="45">
        <v>6</v>
      </c>
      <c r="AD29" s="45">
        <v>6</v>
      </c>
      <c r="AE29" s="45">
        <v>6</v>
      </c>
      <c r="AF29" s="45">
        <v>6</v>
      </c>
      <c r="AG29" s="51">
        <v>13</v>
      </c>
      <c r="AH29" s="48">
        <f t="shared" si="2"/>
        <v>13</v>
      </c>
      <c r="AI29" s="49">
        <f t="shared" si="3"/>
        <v>6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51">
        <v>12</v>
      </c>
      <c r="AH30" s="48">
        <f t="shared" si="2"/>
        <v>0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0</v>
      </c>
      <c r="C31" s="45">
        <v>0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2"/>
        <v>12</v>
      </c>
      <c r="AI31" s="49">
        <f t="shared" si="3"/>
        <v>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</v>
      </c>
      <c r="C32" s="45">
        <v>2</v>
      </c>
      <c r="D32" s="45">
        <v>2</v>
      </c>
      <c r="E32" s="45">
        <v>2</v>
      </c>
      <c r="F32" s="45">
        <v>2</v>
      </c>
      <c r="G32" s="45">
        <v>2</v>
      </c>
      <c r="H32" s="45">
        <v>2</v>
      </c>
      <c r="I32" s="45">
        <v>2</v>
      </c>
      <c r="J32" s="45">
        <v>2</v>
      </c>
      <c r="K32" s="45">
        <v>2</v>
      </c>
      <c r="L32" s="45">
        <v>2</v>
      </c>
      <c r="M32" s="45">
        <v>2</v>
      </c>
      <c r="N32" s="45">
        <v>2</v>
      </c>
      <c r="O32" s="45">
        <v>2</v>
      </c>
      <c r="P32" s="45">
        <v>2</v>
      </c>
      <c r="Q32" s="45">
        <v>2</v>
      </c>
      <c r="R32" s="45">
        <v>2</v>
      </c>
      <c r="S32" s="45">
        <v>2</v>
      </c>
      <c r="T32" s="45">
        <v>2</v>
      </c>
      <c r="U32" s="45">
        <v>2</v>
      </c>
      <c r="V32" s="45">
        <v>2</v>
      </c>
      <c r="W32" s="45">
        <v>2</v>
      </c>
      <c r="X32" s="45">
        <v>2</v>
      </c>
      <c r="Y32" s="45">
        <v>2</v>
      </c>
      <c r="Z32" s="45">
        <v>2</v>
      </c>
      <c r="AA32" s="45">
        <v>2</v>
      </c>
      <c r="AB32" s="45">
        <v>2</v>
      </c>
      <c r="AC32" s="45">
        <v>2</v>
      </c>
      <c r="AD32" s="45">
        <v>2</v>
      </c>
      <c r="AE32" s="45">
        <v>2</v>
      </c>
      <c r="AF32" s="45">
        <v>2</v>
      </c>
      <c r="AG32" s="51">
        <v>12</v>
      </c>
      <c r="AH32" s="48">
        <f t="shared" si="2"/>
        <v>2</v>
      </c>
      <c r="AI32" s="49">
        <f t="shared" si="3"/>
        <v>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8</v>
      </c>
      <c r="C33" s="45">
        <v>8</v>
      </c>
      <c r="D33" s="45">
        <v>8</v>
      </c>
      <c r="E33" s="45">
        <v>8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3">
        <v>22</v>
      </c>
      <c r="AH33" s="48">
        <f t="shared" si="2"/>
        <v>8</v>
      </c>
      <c r="AI33" s="49">
        <f t="shared" si="3"/>
        <v>0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4</v>
      </c>
      <c r="H34" s="45">
        <v>4</v>
      </c>
      <c r="I34" s="45">
        <v>4</v>
      </c>
      <c r="J34" s="45">
        <v>4</v>
      </c>
      <c r="K34" s="45">
        <v>4</v>
      </c>
      <c r="L34" s="45">
        <v>4</v>
      </c>
      <c r="M34" s="45">
        <v>6</v>
      </c>
      <c r="N34" s="45">
        <v>6</v>
      </c>
      <c r="O34" s="45">
        <v>6</v>
      </c>
      <c r="P34" s="45">
        <v>6</v>
      </c>
      <c r="Q34" s="45">
        <v>6</v>
      </c>
      <c r="R34" s="45">
        <v>6</v>
      </c>
      <c r="S34" s="45">
        <v>6</v>
      </c>
      <c r="T34" s="45">
        <v>6</v>
      </c>
      <c r="U34" s="45">
        <v>6</v>
      </c>
      <c r="V34" s="45">
        <v>6</v>
      </c>
      <c r="W34" s="45">
        <v>6</v>
      </c>
      <c r="X34" s="45">
        <v>12</v>
      </c>
      <c r="Y34" s="45">
        <v>12</v>
      </c>
      <c r="Z34" s="45">
        <v>6</v>
      </c>
      <c r="AA34" s="45">
        <v>6</v>
      </c>
      <c r="AB34" s="45">
        <v>6</v>
      </c>
      <c r="AC34" s="45">
        <v>6</v>
      </c>
      <c r="AD34" s="45">
        <v>6</v>
      </c>
      <c r="AE34" s="45">
        <v>6</v>
      </c>
      <c r="AF34" s="45">
        <v>6</v>
      </c>
      <c r="AG34" s="52">
        <v>11.88</v>
      </c>
      <c r="AH34" s="48">
        <f t="shared" si="2"/>
        <v>12</v>
      </c>
      <c r="AI34" s="49">
        <f t="shared" si="3"/>
        <v>4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7</v>
      </c>
      <c r="C35" s="45">
        <v>7</v>
      </c>
      <c r="D35" s="45">
        <v>7</v>
      </c>
      <c r="E35" s="45">
        <v>7</v>
      </c>
      <c r="F35" s="45">
        <v>7</v>
      </c>
      <c r="G35" s="45">
        <v>7</v>
      </c>
      <c r="H35" s="45">
        <v>7</v>
      </c>
      <c r="I35" s="45">
        <v>7</v>
      </c>
      <c r="J35" s="45">
        <v>7</v>
      </c>
      <c r="K35" s="45">
        <v>7</v>
      </c>
      <c r="L35" s="45">
        <v>7</v>
      </c>
      <c r="M35" s="45">
        <v>7</v>
      </c>
      <c r="N35" s="45">
        <v>7</v>
      </c>
      <c r="O35" s="45">
        <v>7</v>
      </c>
      <c r="P35" s="45">
        <v>7</v>
      </c>
      <c r="Q35" s="45">
        <v>7</v>
      </c>
      <c r="R35" s="45">
        <v>7</v>
      </c>
      <c r="S35" s="45">
        <v>7</v>
      </c>
      <c r="T35" s="45">
        <v>7</v>
      </c>
      <c r="U35" s="45">
        <v>7</v>
      </c>
      <c r="V35" s="45">
        <v>7</v>
      </c>
      <c r="W35" s="45">
        <v>7</v>
      </c>
      <c r="X35" s="45">
        <v>7</v>
      </c>
      <c r="Y35" s="45">
        <v>7</v>
      </c>
      <c r="Z35" s="45">
        <v>7</v>
      </c>
      <c r="AA35" s="45">
        <v>7</v>
      </c>
      <c r="AB35" s="45">
        <v>7</v>
      </c>
      <c r="AC35" s="45">
        <v>7</v>
      </c>
      <c r="AD35" s="45">
        <v>7</v>
      </c>
      <c r="AE35" s="45">
        <v>7</v>
      </c>
      <c r="AF35" s="45">
        <v>7</v>
      </c>
      <c r="AG35" s="55">
        <v>11</v>
      </c>
      <c r="AH35" s="48">
        <f t="shared" si="2"/>
        <v>7</v>
      </c>
      <c r="AI35" s="49">
        <f t="shared" si="3"/>
        <v>7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6</v>
      </c>
      <c r="C36" s="45">
        <v>6</v>
      </c>
      <c r="D36" s="45">
        <v>6</v>
      </c>
      <c r="E36" s="45">
        <v>6</v>
      </c>
      <c r="F36" s="45">
        <v>6</v>
      </c>
      <c r="G36" s="45">
        <v>6</v>
      </c>
      <c r="H36" s="45">
        <v>6</v>
      </c>
      <c r="I36" s="45">
        <v>6</v>
      </c>
      <c r="J36" s="45">
        <v>6</v>
      </c>
      <c r="K36" s="45">
        <v>6</v>
      </c>
      <c r="L36" s="45">
        <v>6</v>
      </c>
      <c r="M36" s="45">
        <v>6</v>
      </c>
      <c r="N36" s="45">
        <v>5</v>
      </c>
      <c r="O36" s="45">
        <v>5</v>
      </c>
      <c r="P36" s="45">
        <v>5</v>
      </c>
      <c r="Q36" s="45">
        <v>5</v>
      </c>
      <c r="R36" s="45">
        <v>5</v>
      </c>
      <c r="S36" s="45">
        <v>5</v>
      </c>
      <c r="T36" s="45">
        <v>5</v>
      </c>
      <c r="U36" s="45">
        <v>5</v>
      </c>
      <c r="V36" s="45">
        <v>5</v>
      </c>
      <c r="W36" s="45">
        <v>5</v>
      </c>
      <c r="X36" s="45">
        <v>5</v>
      </c>
      <c r="Y36" s="45">
        <v>5</v>
      </c>
      <c r="Z36" s="45">
        <v>5</v>
      </c>
      <c r="AA36" s="45">
        <v>5</v>
      </c>
      <c r="AB36" s="45">
        <v>5</v>
      </c>
      <c r="AC36" s="45">
        <v>5</v>
      </c>
      <c r="AD36" s="45">
        <v>5</v>
      </c>
      <c r="AE36" s="45">
        <v>5</v>
      </c>
      <c r="AF36" s="45">
        <v>5</v>
      </c>
      <c r="AG36" s="55">
        <v>10</v>
      </c>
      <c r="AH36" s="48">
        <f t="shared" si="2"/>
        <v>6</v>
      </c>
      <c r="AI36" s="49">
        <f t="shared" si="3"/>
        <v>5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2</v>
      </c>
      <c r="N37" s="45">
        <v>2</v>
      </c>
      <c r="O37" s="45">
        <v>2</v>
      </c>
      <c r="P37" s="45">
        <v>2</v>
      </c>
      <c r="Q37" s="45">
        <v>2</v>
      </c>
      <c r="R37" s="45">
        <v>2</v>
      </c>
      <c r="S37" s="45">
        <v>2</v>
      </c>
      <c r="T37" s="45">
        <v>2</v>
      </c>
      <c r="U37" s="45">
        <v>2</v>
      </c>
      <c r="V37" s="45">
        <v>2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2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280</v>
      </c>
      <c r="C38" s="57">
        <v>280</v>
      </c>
      <c r="D38" s="57">
        <v>280</v>
      </c>
      <c r="E38" s="57">
        <v>300</v>
      </c>
      <c r="F38" s="57">
        <v>300</v>
      </c>
      <c r="G38" s="57">
        <v>300</v>
      </c>
      <c r="H38" s="57">
        <v>300</v>
      </c>
      <c r="I38" s="57">
        <v>300</v>
      </c>
      <c r="J38" s="57">
        <v>300</v>
      </c>
      <c r="K38" s="57">
        <v>300</v>
      </c>
      <c r="L38" s="57">
        <v>300</v>
      </c>
      <c r="M38" s="57">
        <v>280</v>
      </c>
      <c r="N38" s="57">
        <v>280</v>
      </c>
      <c r="O38" s="57">
        <v>280</v>
      </c>
      <c r="P38" s="57">
        <v>280</v>
      </c>
      <c r="Q38" s="57">
        <v>280</v>
      </c>
      <c r="R38" s="57">
        <v>280</v>
      </c>
      <c r="S38" s="57">
        <v>280</v>
      </c>
      <c r="T38" s="57">
        <v>280</v>
      </c>
      <c r="U38" s="57">
        <v>280</v>
      </c>
      <c r="V38" s="57">
        <v>280</v>
      </c>
      <c r="W38" s="57">
        <v>280</v>
      </c>
      <c r="X38" s="57">
        <v>300</v>
      </c>
      <c r="Y38" s="57">
        <v>290</v>
      </c>
      <c r="Z38" s="57">
        <v>300</v>
      </c>
      <c r="AA38" s="57">
        <v>300</v>
      </c>
      <c r="AB38" s="57">
        <v>300</v>
      </c>
      <c r="AC38" s="57">
        <v>300</v>
      </c>
      <c r="AD38" s="57">
        <v>300</v>
      </c>
      <c r="AE38" s="57">
        <v>300</v>
      </c>
      <c r="AF38" s="57">
        <v>300</v>
      </c>
      <c r="AG38" s="55">
        <v>85</v>
      </c>
      <c r="AH38" s="48">
        <f t="shared" si="2"/>
        <v>300</v>
      </c>
      <c r="AI38" s="49">
        <f t="shared" si="3"/>
        <v>280</v>
      </c>
      <c r="AK38" s="50"/>
    </row>
    <row r="39" spans="1:88" ht="15.75" thickBot="1" x14ac:dyDescent="0.3">
      <c r="A39" s="58" t="s">
        <v>47</v>
      </c>
      <c r="B39" s="59">
        <v>164</v>
      </c>
      <c r="C39" s="59">
        <v>164</v>
      </c>
      <c r="D39" s="59">
        <v>164</v>
      </c>
      <c r="E39" s="59">
        <f>70.2+94.1</f>
        <v>164.3</v>
      </c>
      <c r="F39" s="59">
        <f>66.7+94.6</f>
        <v>161.30000000000001</v>
      </c>
      <c r="G39" s="59">
        <f>69.8+95</f>
        <v>164.8</v>
      </c>
      <c r="H39" s="59">
        <f>70+94.8</f>
        <v>164.8</v>
      </c>
      <c r="I39" s="59">
        <f>70.1+94.9</f>
        <v>165</v>
      </c>
      <c r="J39" s="59">
        <f>70.2+95.5</f>
        <v>165.7</v>
      </c>
      <c r="K39" s="59">
        <f>69.3+94.4</f>
        <v>163.69999999999999</v>
      </c>
      <c r="L39" s="57">
        <f>68.7+93.9</f>
        <v>162.60000000000002</v>
      </c>
      <c r="M39" s="57">
        <f>69.4+94.2</f>
        <v>163.60000000000002</v>
      </c>
      <c r="N39" s="57">
        <f>69.5+94.4</f>
        <v>163.9</v>
      </c>
      <c r="O39" s="57">
        <f>71.9+95.4</f>
        <v>167.3</v>
      </c>
      <c r="P39" s="57">
        <v>167</v>
      </c>
      <c r="Q39" s="57">
        <v>160</v>
      </c>
      <c r="R39" s="57">
        <v>145.6</v>
      </c>
      <c r="S39" s="59">
        <v>0</v>
      </c>
      <c r="T39" s="59">
        <v>85</v>
      </c>
      <c r="U39" s="59">
        <v>140</v>
      </c>
      <c r="V39" s="59">
        <f>72.1+74.1</f>
        <v>146.19999999999999</v>
      </c>
      <c r="W39" s="59">
        <f>71.8+76.7</f>
        <v>148.5</v>
      </c>
      <c r="X39" s="59">
        <f>70.8+76.6</f>
        <v>147.39999999999998</v>
      </c>
      <c r="Y39" s="59">
        <f>69.3+77.5</f>
        <v>146.80000000000001</v>
      </c>
      <c r="Z39" s="59">
        <f>68+87.5</f>
        <v>155.5</v>
      </c>
      <c r="AA39" s="59">
        <f>67.9+90</f>
        <v>157.9</v>
      </c>
      <c r="AB39" s="59">
        <f>89.1+67.5</f>
        <v>156.6</v>
      </c>
      <c r="AC39" s="59">
        <f>89.1+67.5</f>
        <v>156.6</v>
      </c>
      <c r="AD39" s="59">
        <f>90.2+67.3</f>
        <v>157.5</v>
      </c>
      <c r="AE39" s="59">
        <f>90.2+67.3</f>
        <v>157.5</v>
      </c>
      <c r="AF39" s="59">
        <f>90.2+67.3</f>
        <v>157.5</v>
      </c>
      <c r="AG39" s="55">
        <v>240</v>
      </c>
      <c r="AH39" s="48">
        <f t="shared" si="2"/>
        <v>167.3</v>
      </c>
      <c r="AI39" s="49">
        <f t="shared" si="3"/>
        <v>0</v>
      </c>
      <c r="AK39" s="50"/>
    </row>
    <row r="40" spans="1:88" ht="15.75" thickBot="1" x14ac:dyDescent="0.3">
      <c r="A40" s="60" t="s">
        <v>48</v>
      </c>
      <c r="B40" s="61">
        <f t="shared" ref="B40:AG40" si="4">SUM(B11:B38)</f>
        <v>660.8</v>
      </c>
      <c r="C40" s="61">
        <f t="shared" si="4"/>
        <v>650.6</v>
      </c>
      <c r="D40" s="61">
        <f t="shared" si="4"/>
        <v>650.6</v>
      </c>
      <c r="E40" s="61">
        <f t="shared" si="4"/>
        <v>670.6</v>
      </c>
      <c r="F40" s="61">
        <f t="shared" si="4"/>
        <v>670.6</v>
      </c>
      <c r="G40" s="61">
        <f t="shared" si="4"/>
        <v>665.6</v>
      </c>
      <c r="H40" s="61">
        <f t="shared" si="4"/>
        <v>665.6</v>
      </c>
      <c r="I40" s="61">
        <f t="shared" si="4"/>
        <v>665.6</v>
      </c>
      <c r="J40" s="61">
        <f t="shared" si="4"/>
        <v>665.6</v>
      </c>
      <c r="K40" s="61">
        <f t="shared" si="4"/>
        <v>665.6</v>
      </c>
      <c r="L40" s="61">
        <f t="shared" si="4"/>
        <v>665.8</v>
      </c>
      <c r="M40" s="61">
        <f t="shared" si="4"/>
        <v>649.79999999999995</v>
      </c>
      <c r="N40" s="61">
        <f t="shared" si="4"/>
        <v>645.9</v>
      </c>
      <c r="O40" s="61">
        <f t="shared" si="4"/>
        <v>645.9</v>
      </c>
      <c r="P40" s="61">
        <f t="shared" si="4"/>
        <v>642.29999999999995</v>
      </c>
      <c r="Q40" s="61">
        <f t="shared" si="4"/>
        <v>642.29999999999995</v>
      </c>
      <c r="R40" s="61">
        <f t="shared" si="4"/>
        <v>657.3</v>
      </c>
      <c r="S40" s="61">
        <f>SUM(S11:S38)</f>
        <v>566.29999999999995</v>
      </c>
      <c r="T40" s="61">
        <f t="shared" si="4"/>
        <v>630.29999999999995</v>
      </c>
      <c r="U40" s="61">
        <f t="shared" si="4"/>
        <v>649.29999999999995</v>
      </c>
      <c r="V40" s="61">
        <f t="shared" si="4"/>
        <v>649.29999999999995</v>
      </c>
      <c r="W40" s="61">
        <f t="shared" si="4"/>
        <v>647.29999999999995</v>
      </c>
      <c r="X40" s="61">
        <f t="shared" si="4"/>
        <v>727</v>
      </c>
      <c r="Y40" s="61">
        <f t="shared" si="4"/>
        <v>734.7</v>
      </c>
      <c r="Z40" s="61">
        <f t="shared" si="4"/>
        <v>728.2</v>
      </c>
      <c r="AA40" s="61">
        <f t="shared" si="4"/>
        <v>711.6</v>
      </c>
      <c r="AB40" s="61">
        <f t="shared" si="4"/>
        <v>696.5</v>
      </c>
      <c r="AC40" s="61">
        <f t="shared" si="4"/>
        <v>696.5</v>
      </c>
      <c r="AD40" s="61">
        <f t="shared" si="4"/>
        <v>690</v>
      </c>
      <c r="AE40" s="61">
        <f t="shared" si="4"/>
        <v>690</v>
      </c>
      <c r="AF40" s="61">
        <f t="shared" si="4"/>
        <v>690</v>
      </c>
      <c r="AG40" s="62">
        <f t="shared" si="4"/>
        <v>707.78000000000009</v>
      </c>
      <c r="AH40" s="48">
        <f t="shared" si="2"/>
        <v>734.7</v>
      </c>
      <c r="AI40" s="49">
        <f t="shared" si="3"/>
        <v>566.29999999999995</v>
      </c>
      <c r="AK40" s="50"/>
    </row>
    <row r="41" spans="1:88" x14ac:dyDescent="0.25">
      <c r="A41" s="6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2">
        <v>456</v>
      </c>
      <c r="AH41" s="48">
        <f t="shared" si="2"/>
        <v>0</v>
      </c>
      <c r="AI41" s="49">
        <f t="shared" si="3"/>
        <v>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22</v>
      </c>
      <c r="C43" s="67">
        <v>22</v>
      </c>
      <c r="D43" s="67">
        <v>16</v>
      </c>
      <c r="E43" s="67">
        <v>16.100000000000001</v>
      </c>
      <c r="F43" s="67">
        <v>16.100000000000001</v>
      </c>
      <c r="G43" s="67">
        <v>16.100000000000001</v>
      </c>
      <c r="H43" s="67">
        <v>16.100000000000001</v>
      </c>
      <c r="I43" s="67">
        <v>16.100000000000001</v>
      </c>
      <c r="J43" s="67">
        <v>16.100000000000001</v>
      </c>
      <c r="K43" s="67">
        <v>22.4</v>
      </c>
      <c r="L43" s="67">
        <v>22</v>
      </c>
      <c r="M43" s="67">
        <v>22</v>
      </c>
      <c r="N43" s="67">
        <v>22</v>
      </c>
      <c r="O43" s="67">
        <v>22</v>
      </c>
      <c r="P43" s="67">
        <v>22</v>
      </c>
      <c r="Q43" s="67">
        <v>22</v>
      </c>
      <c r="R43" s="67">
        <v>22</v>
      </c>
      <c r="S43" s="67">
        <v>16</v>
      </c>
      <c r="T43" s="67">
        <v>16</v>
      </c>
      <c r="U43" s="67">
        <v>16</v>
      </c>
      <c r="V43" s="67">
        <v>16</v>
      </c>
      <c r="W43" s="67">
        <v>22</v>
      </c>
      <c r="X43" s="67">
        <v>22.4</v>
      </c>
      <c r="Y43" s="67">
        <v>22.5</v>
      </c>
      <c r="Z43" s="67">
        <v>22.5</v>
      </c>
      <c r="AA43" s="67">
        <v>17.100000000000001</v>
      </c>
      <c r="AB43" s="67">
        <v>17.100000000000001</v>
      </c>
      <c r="AC43" s="67">
        <v>17.100000000000001</v>
      </c>
      <c r="AD43" s="67">
        <v>17.100000000000001</v>
      </c>
      <c r="AE43" s="67">
        <v>17.100000000000001</v>
      </c>
      <c r="AF43" s="67">
        <v>17.100000000000001</v>
      </c>
      <c r="AG43" s="68">
        <v>22.1</v>
      </c>
      <c r="AH43" s="48">
        <f t="shared" si="2"/>
        <v>22.5</v>
      </c>
      <c r="AI43" s="49">
        <f t="shared" si="3"/>
        <v>16</v>
      </c>
      <c r="AK43" s="50"/>
    </row>
    <row r="44" spans="1:88" ht="15.75" thickBot="1" x14ac:dyDescent="0.3">
      <c r="A44" s="69" t="s">
        <v>52</v>
      </c>
      <c r="B44" s="61">
        <f t="shared" ref="B44:AG44" si="5">SUM(B41:B43)</f>
        <v>82</v>
      </c>
      <c r="C44" s="61">
        <f t="shared" si="5"/>
        <v>82</v>
      </c>
      <c r="D44" s="61">
        <f t="shared" si="5"/>
        <v>76</v>
      </c>
      <c r="E44" s="61">
        <f t="shared" si="5"/>
        <v>76.099999999999994</v>
      </c>
      <c r="F44" s="61">
        <f t="shared" si="5"/>
        <v>76.099999999999994</v>
      </c>
      <c r="G44" s="61">
        <f t="shared" si="5"/>
        <v>76.099999999999994</v>
      </c>
      <c r="H44" s="61">
        <f t="shared" si="5"/>
        <v>76.099999999999994</v>
      </c>
      <c r="I44" s="61">
        <f t="shared" si="5"/>
        <v>76.099999999999994</v>
      </c>
      <c r="J44" s="61">
        <f t="shared" si="5"/>
        <v>76.099999999999994</v>
      </c>
      <c r="K44" s="61">
        <f t="shared" si="5"/>
        <v>82.4</v>
      </c>
      <c r="L44" s="61">
        <f t="shared" si="5"/>
        <v>82</v>
      </c>
      <c r="M44" s="61">
        <f t="shared" si="5"/>
        <v>82</v>
      </c>
      <c r="N44" s="61">
        <f t="shared" si="5"/>
        <v>82</v>
      </c>
      <c r="O44" s="61">
        <f t="shared" si="5"/>
        <v>82</v>
      </c>
      <c r="P44" s="61">
        <f t="shared" si="5"/>
        <v>82</v>
      </c>
      <c r="Q44" s="61">
        <f t="shared" si="5"/>
        <v>82</v>
      </c>
      <c r="R44" s="61">
        <f t="shared" si="5"/>
        <v>82</v>
      </c>
      <c r="S44" s="61">
        <f t="shared" si="5"/>
        <v>76</v>
      </c>
      <c r="T44" s="61">
        <f t="shared" si="5"/>
        <v>76</v>
      </c>
      <c r="U44" s="61">
        <f t="shared" si="5"/>
        <v>76</v>
      </c>
      <c r="V44" s="61">
        <f t="shared" si="5"/>
        <v>76</v>
      </c>
      <c r="W44" s="61">
        <f t="shared" si="5"/>
        <v>82</v>
      </c>
      <c r="X44" s="61">
        <f t="shared" si="5"/>
        <v>82.4</v>
      </c>
      <c r="Y44" s="61">
        <f t="shared" si="5"/>
        <v>82.5</v>
      </c>
      <c r="Z44" s="61">
        <f t="shared" si="5"/>
        <v>82.5</v>
      </c>
      <c r="AA44" s="61">
        <f t="shared" si="5"/>
        <v>77.099999999999994</v>
      </c>
      <c r="AB44" s="61">
        <f t="shared" si="5"/>
        <v>77.099999999999994</v>
      </c>
      <c r="AC44" s="61">
        <f t="shared" si="5"/>
        <v>77.099999999999994</v>
      </c>
      <c r="AD44" s="61">
        <f t="shared" si="5"/>
        <v>77.099999999999994</v>
      </c>
      <c r="AE44" s="61">
        <f t="shared" si="5"/>
        <v>77.099999999999994</v>
      </c>
      <c r="AF44" s="61">
        <f t="shared" si="5"/>
        <v>77.099999999999994</v>
      </c>
      <c r="AG44" s="62">
        <f t="shared" si="5"/>
        <v>538.1</v>
      </c>
      <c r="AH44" s="48">
        <f t="shared" si="2"/>
        <v>82.5</v>
      </c>
      <c r="AI44" s="49">
        <f t="shared" si="3"/>
        <v>76</v>
      </c>
      <c r="AK44" s="50"/>
    </row>
    <row r="45" spans="1:88" x14ac:dyDescent="0.25">
      <c r="A45" s="44" t="s">
        <v>53</v>
      </c>
      <c r="B45" s="45">
        <v>101.7</v>
      </c>
      <c r="C45" s="45">
        <v>91</v>
      </c>
      <c r="D45" s="45">
        <v>91</v>
      </c>
      <c r="E45" s="45">
        <v>82.5</v>
      </c>
      <c r="F45" s="45">
        <v>82.5</v>
      </c>
      <c r="G45" s="45">
        <v>91.3</v>
      </c>
      <c r="H45" s="45">
        <v>105</v>
      </c>
      <c r="I45" s="45">
        <v>117.2</v>
      </c>
      <c r="J45" s="45">
        <v>117.4</v>
      </c>
      <c r="K45" s="45">
        <v>117</v>
      </c>
      <c r="L45" s="45">
        <v>122.8</v>
      </c>
      <c r="M45" s="45">
        <v>126.1</v>
      </c>
      <c r="N45" s="45">
        <v>126.3</v>
      </c>
      <c r="O45" s="45">
        <v>126.3</v>
      </c>
      <c r="P45" s="45">
        <v>120</v>
      </c>
      <c r="Q45" s="45">
        <v>120</v>
      </c>
      <c r="R45" s="45">
        <v>75</v>
      </c>
      <c r="S45" s="45">
        <v>60</v>
      </c>
      <c r="T45" s="45">
        <v>76</v>
      </c>
      <c r="U45" s="45">
        <v>91</v>
      </c>
      <c r="V45" s="45">
        <v>95.2</v>
      </c>
      <c r="W45" s="45">
        <v>107.4</v>
      </c>
      <c r="X45" s="45">
        <v>141.80000000000001</v>
      </c>
      <c r="Y45" s="45">
        <v>143.80000000000001</v>
      </c>
      <c r="Z45" s="45">
        <v>144.1</v>
      </c>
      <c r="AA45" s="45">
        <v>143.9</v>
      </c>
      <c r="AB45" s="45">
        <v>143.9</v>
      </c>
      <c r="AC45" s="45">
        <v>143.9</v>
      </c>
      <c r="AD45" s="45">
        <v>143.9</v>
      </c>
      <c r="AE45" s="45">
        <v>121.1</v>
      </c>
      <c r="AF45" s="45">
        <v>101</v>
      </c>
      <c r="AG45" s="52">
        <v>144</v>
      </c>
      <c r="AH45" s="48">
        <f t="shared" si="2"/>
        <v>144.1</v>
      </c>
      <c r="AI45" s="49">
        <f t="shared" si="3"/>
        <v>60</v>
      </c>
      <c r="AK45" s="50"/>
    </row>
    <row r="46" spans="1:88" x14ac:dyDescent="0.25">
      <c r="A46" s="54" t="s">
        <v>54</v>
      </c>
      <c r="B46" s="65">
        <v>50</v>
      </c>
      <c r="C46" s="65">
        <v>50</v>
      </c>
      <c r="D46" s="65">
        <v>50</v>
      </c>
      <c r="E46" s="65">
        <v>50</v>
      </c>
      <c r="F46" s="65">
        <v>50</v>
      </c>
      <c r="G46" s="65">
        <v>54.5</v>
      </c>
      <c r="H46" s="65">
        <v>56.5</v>
      </c>
      <c r="I46" s="65">
        <v>56.3</v>
      </c>
      <c r="J46" s="65">
        <v>62.8</v>
      </c>
      <c r="K46" s="65">
        <v>67.8</v>
      </c>
      <c r="L46" s="65">
        <v>70</v>
      </c>
      <c r="M46" s="65">
        <v>65.599999999999994</v>
      </c>
      <c r="N46" s="45">
        <v>60.5</v>
      </c>
      <c r="O46" s="45">
        <v>60.5</v>
      </c>
      <c r="P46" s="45">
        <v>60.5</v>
      </c>
      <c r="Q46" s="45">
        <v>60.5</v>
      </c>
      <c r="R46" s="45">
        <v>46</v>
      </c>
      <c r="S46" s="65">
        <v>50</v>
      </c>
      <c r="T46" s="65">
        <v>52</v>
      </c>
      <c r="U46" s="65">
        <v>52.4</v>
      </c>
      <c r="V46" s="65">
        <v>54.3</v>
      </c>
      <c r="W46" s="65">
        <v>64</v>
      </c>
      <c r="X46" s="65">
        <v>72</v>
      </c>
      <c r="Y46" s="65">
        <v>72.2</v>
      </c>
      <c r="Z46" s="65">
        <v>72.3</v>
      </c>
      <c r="AA46" s="65">
        <v>72.099999999999994</v>
      </c>
      <c r="AB46" s="65">
        <v>72.099999999999994</v>
      </c>
      <c r="AC46" s="65">
        <v>72.099999999999994</v>
      </c>
      <c r="AD46" s="65">
        <v>72.099999999999994</v>
      </c>
      <c r="AE46" s="65">
        <v>59.8</v>
      </c>
      <c r="AF46" s="65">
        <v>50.1</v>
      </c>
      <c r="AG46" s="55">
        <v>70</v>
      </c>
      <c r="AH46" s="48">
        <f t="shared" si="2"/>
        <v>72.3</v>
      </c>
      <c r="AI46" s="49">
        <f t="shared" si="3"/>
        <v>46</v>
      </c>
      <c r="AK46" s="50"/>
    </row>
    <row r="47" spans="1:88" x14ac:dyDescent="0.25">
      <c r="A47" s="54" t="s">
        <v>55</v>
      </c>
      <c r="B47" s="65">
        <v>38</v>
      </c>
      <c r="C47" s="65">
        <v>40</v>
      </c>
      <c r="D47" s="65">
        <v>40</v>
      </c>
      <c r="E47" s="65">
        <v>40.1</v>
      </c>
      <c r="F47" s="65">
        <v>40.1</v>
      </c>
      <c r="G47" s="65">
        <v>46</v>
      </c>
      <c r="H47" s="65">
        <v>61.7</v>
      </c>
      <c r="I47" s="65">
        <v>63.3</v>
      </c>
      <c r="J47" s="65">
        <v>63.4</v>
      </c>
      <c r="K47" s="65">
        <v>63.3</v>
      </c>
      <c r="L47" s="65">
        <v>63.3</v>
      </c>
      <c r="M47" s="65">
        <v>59.1</v>
      </c>
      <c r="N47" s="45">
        <v>61.7</v>
      </c>
      <c r="O47" s="45">
        <v>61.7</v>
      </c>
      <c r="P47" s="45">
        <v>61.7</v>
      </c>
      <c r="Q47" s="45">
        <v>61.7</v>
      </c>
      <c r="R47" s="45">
        <v>49</v>
      </c>
      <c r="S47" s="65">
        <v>53</v>
      </c>
      <c r="T47" s="65">
        <v>46</v>
      </c>
      <c r="U47" s="65">
        <v>44.2</v>
      </c>
      <c r="V47" s="65">
        <v>45.8</v>
      </c>
      <c r="W47" s="65">
        <v>53.5</v>
      </c>
      <c r="X47" s="65">
        <v>70.5</v>
      </c>
      <c r="Y47" s="65">
        <v>71.099999999999994</v>
      </c>
      <c r="Z47" s="65">
        <v>71.099999999999994</v>
      </c>
      <c r="AA47" s="65">
        <v>71.3</v>
      </c>
      <c r="AB47" s="65">
        <v>71.3</v>
      </c>
      <c r="AC47" s="65">
        <v>71.3</v>
      </c>
      <c r="AD47" s="65">
        <v>71.3</v>
      </c>
      <c r="AE47" s="65">
        <v>58.8</v>
      </c>
      <c r="AF47" s="65">
        <v>58.8</v>
      </c>
      <c r="AG47" s="55">
        <v>69</v>
      </c>
      <c r="AH47" s="48">
        <f t="shared" si="2"/>
        <v>71.3</v>
      </c>
      <c r="AI47" s="49">
        <f t="shared" si="3"/>
        <v>38</v>
      </c>
      <c r="AK47" s="50"/>
    </row>
    <row r="48" spans="1:88" x14ac:dyDescent="0.25">
      <c r="A48" s="54" t="s">
        <v>56</v>
      </c>
      <c r="B48" s="57">
        <v>30</v>
      </c>
      <c r="C48" s="57">
        <v>28.5</v>
      </c>
      <c r="D48" s="57">
        <v>28.5</v>
      </c>
      <c r="E48" s="57">
        <v>28.5</v>
      </c>
      <c r="F48" s="57">
        <v>23.9</v>
      </c>
      <c r="G48" s="57">
        <v>40.1</v>
      </c>
      <c r="H48" s="57">
        <v>46.1</v>
      </c>
      <c r="I48" s="57">
        <v>51.1</v>
      </c>
      <c r="J48" s="57">
        <v>60.2</v>
      </c>
      <c r="K48" s="57">
        <v>60.2</v>
      </c>
      <c r="L48" s="57">
        <v>60.2</v>
      </c>
      <c r="M48" s="65">
        <v>60.2</v>
      </c>
      <c r="N48" s="45">
        <v>60.7</v>
      </c>
      <c r="O48" s="45">
        <v>60.7</v>
      </c>
      <c r="P48" s="45">
        <v>60.7</v>
      </c>
      <c r="Q48" s="45">
        <v>60.7</v>
      </c>
      <c r="R48" s="45">
        <v>40</v>
      </c>
      <c r="S48" s="45">
        <v>29.3</v>
      </c>
      <c r="T48" s="45">
        <v>25</v>
      </c>
      <c r="U48" s="45">
        <v>25</v>
      </c>
      <c r="V48" s="65">
        <v>30.2</v>
      </c>
      <c r="W48" s="65">
        <v>51.1</v>
      </c>
      <c r="X48" s="65">
        <v>61.4</v>
      </c>
      <c r="Y48" s="65">
        <v>61.4</v>
      </c>
      <c r="Z48" s="65">
        <v>61.4</v>
      </c>
      <c r="AA48" s="65">
        <v>61.4</v>
      </c>
      <c r="AB48" s="65">
        <v>70</v>
      </c>
      <c r="AC48" s="65">
        <v>70</v>
      </c>
      <c r="AD48" s="65">
        <v>70</v>
      </c>
      <c r="AE48" s="65">
        <v>42.1</v>
      </c>
      <c r="AF48" s="65">
        <v>30</v>
      </c>
      <c r="AG48" s="55">
        <v>60</v>
      </c>
      <c r="AH48" s="48">
        <f t="shared" si="2"/>
        <v>70</v>
      </c>
      <c r="AI48" s="49">
        <f t="shared" si="3"/>
        <v>23.9</v>
      </c>
      <c r="AK48" s="50"/>
    </row>
    <row r="49" spans="1:41" x14ac:dyDescent="0.25">
      <c r="A49" s="54" t="s">
        <v>57</v>
      </c>
      <c r="B49" s="57">
        <v>15</v>
      </c>
      <c r="C49" s="57">
        <v>15</v>
      </c>
      <c r="D49" s="57">
        <v>15</v>
      </c>
      <c r="E49" s="57">
        <v>15</v>
      </c>
      <c r="F49" s="57">
        <v>15</v>
      </c>
      <c r="G49" s="57">
        <v>15</v>
      </c>
      <c r="H49" s="57">
        <v>15</v>
      </c>
      <c r="I49" s="57">
        <v>15</v>
      </c>
      <c r="J49" s="57">
        <v>15</v>
      </c>
      <c r="K49" s="57">
        <v>15</v>
      </c>
      <c r="L49" s="57">
        <v>15</v>
      </c>
      <c r="M49" s="65">
        <v>14.9</v>
      </c>
      <c r="N49" s="45">
        <v>14.9</v>
      </c>
      <c r="O49" s="45">
        <v>14.9</v>
      </c>
      <c r="P49" s="45">
        <v>14.9</v>
      </c>
      <c r="Q49" s="45">
        <v>14.9</v>
      </c>
      <c r="R49" s="45">
        <v>15</v>
      </c>
      <c r="S49" s="45">
        <v>13</v>
      </c>
      <c r="T49" s="45">
        <v>13</v>
      </c>
      <c r="U49" s="45">
        <v>13</v>
      </c>
      <c r="V49" s="45">
        <v>13</v>
      </c>
      <c r="W49" s="45">
        <v>13</v>
      </c>
      <c r="X49" s="65">
        <v>30</v>
      </c>
      <c r="Y49" s="65">
        <v>30</v>
      </c>
      <c r="Z49" s="65">
        <v>30</v>
      </c>
      <c r="AA49" s="65">
        <v>29.9</v>
      </c>
      <c r="AB49" s="65">
        <v>29.9</v>
      </c>
      <c r="AC49" s="65">
        <v>29.9</v>
      </c>
      <c r="AD49" s="65">
        <v>29.9</v>
      </c>
      <c r="AE49" s="65">
        <v>15</v>
      </c>
      <c r="AF49" s="65">
        <v>15</v>
      </c>
      <c r="AG49" s="55">
        <v>30</v>
      </c>
      <c r="AH49" s="48">
        <f t="shared" si="2"/>
        <v>30</v>
      </c>
      <c r="AI49" s="49">
        <f t="shared" si="3"/>
        <v>13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8</v>
      </c>
      <c r="N50" s="65">
        <v>10</v>
      </c>
      <c r="O50" s="65">
        <v>12</v>
      </c>
      <c r="P50" s="65">
        <v>12</v>
      </c>
      <c r="Q50" s="65">
        <v>12</v>
      </c>
      <c r="R50" s="65">
        <v>12</v>
      </c>
      <c r="S50" s="65">
        <v>12</v>
      </c>
      <c r="T50" s="65">
        <v>12</v>
      </c>
      <c r="U50" s="65">
        <v>12</v>
      </c>
      <c r="V50" s="65">
        <v>12</v>
      </c>
      <c r="W50" s="65">
        <v>0</v>
      </c>
      <c r="X50" s="65">
        <v>0</v>
      </c>
      <c r="Y50" s="45">
        <v>0</v>
      </c>
      <c r="Z50" s="45">
        <v>0</v>
      </c>
      <c r="AA50" s="45">
        <v>0</v>
      </c>
      <c r="AB50" s="45">
        <v>0</v>
      </c>
      <c r="AC50" s="45">
        <v>0</v>
      </c>
      <c r="AD50" s="45">
        <v>0</v>
      </c>
      <c r="AE50" s="45">
        <v>0</v>
      </c>
      <c r="AF50" s="45">
        <v>0</v>
      </c>
      <c r="AG50" s="55">
        <v>25</v>
      </c>
      <c r="AH50" s="48">
        <f t="shared" si="2"/>
        <v>12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12.6</v>
      </c>
      <c r="C51" s="65">
        <v>12.6</v>
      </c>
      <c r="D51" s="65">
        <v>12.6</v>
      </c>
      <c r="E51" s="65">
        <v>12.7</v>
      </c>
      <c r="F51" s="65">
        <v>12.7</v>
      </c>
      <c r="G51" s="65">
        <v>12.7</v>
      </c>
      <c r="H51" s="65">
        <v>12.7</v>
      </c>
      <c r="I51" s="65">
        <v>12.7</v>
      </c>
      <c r="J51" s="65">
        <v>12.7</v>
      </c>
      <c r="K51" s="65">
        <v>12.7</v>
      </c>
      <c r="L51" s="65">
        <v>12.7</v>
      </c>
      <c r="M51" s="65">
        <v>12.7</v>
      </c>
      <c r="N51" s="65">
        <v>12.7</v>
      </c>
      <c r="O51" s="65">
        <v>12.7</v>
      </c>
      <c r="P51" s="65">
        <v>12.7</v>
      </c>
      <c r="Q51" s="65">
        <v>12.7</v>
      </c>
      <c r="R51" s="65">
        <v>12.7</v>
      </c>
      <c r="S51" s="65">
        <v>12.7</v>
      </c>
      <c r="T51" s="65">
        <v>12.7</v>
      </c>
      <c r="U51" s="65">
        <v>12.7</v>
      </c>
      <c r="V51" s="65">
        <v>12.7</v>
      </c>
      <c r="W51" s="65">
        <v>12.7</v>
      </c>
      <c r="X51" s="65">
        <v>12.7</v>
      </c>
      <c r="Y51" s="45">
        <v>17.2</v>
      </c>
      <c r="Z51" s="45">
        <v>17.2</v>
      </c>
      <c r="AA51" s="45">
        <v>17.2</v>
      </c>
      <c r="AB51" s="45">
        <v>17.2</v>
      </c>
      <c r="AC51" s="45">
        <v>17.2</v>
      </c>
      <c r="AD51" s="45">
        <v>17.2</v>
      </c>
      <c r="AE51" s="45">
        <v>17.2</v>
      </c>
      <c r="AF51" s="45">
        <v>17.2</v>
      </c>
      <c r="AG51" s="55">
        <v>24</v>
      </c>
      <c r="AH51" s="48">
        <f t="shared" si="2"/>
        <v>17.2</v>
      </c>
      <c r="AI51" s="49">
        <f t="shared" si="3"/>
        <v>12.6</v>
      </c>
      <c r="AK51" s="50"/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11.5</v>
      </c>
      <c r="C53" s="65">
        <v>11.5</v>
      </c>
      <c r="D53" s="65">
        <v>11.5</v>
      </c>
      <c r="E53" s="65">
        <v>11.5</v>
      </c>
      <c r="F53" s="65">
        <v>11.5</v>
      </c>
      <c r="G53" s="65">
        <v>11.5</v>
      </c>
      <c r="H53" s="65">
        <v>11.5</v>
      </c>
      <c r="I53" s="65">
        <v>11.5</v>
      </c>
      <c r="J53" s="65">
        <v>11.5</v>
      </c>
      <c r="K53" s="65">
        <v>11.5</v>
      </c>
      <c r="L53" s="65">
        <v>11.5</v>
      </c>
      <c r="M53" s="65">
        <v>11.3</v>
      </c>
      <c r="N53" s="65">
        <v>11.6</v>
      </c>
      <c r="O53" s="65">
        <v>11.6</v>
      </c>
      <c r="P53" s="65">
        <v>11.6</v>
      </c>
      <c r="Q53" s="65">
        <v>11.6</v>
      </c>
      <c r="R53" s="65">
        <v>11.6</v>
      </c>
      <c r="S53" s="65">
        <v>11.6</v>
      </c>
      <c r="T53" s="65">
        <v>11.6</v>
      </c>
      <c r="U53" s="65">
        <v>11.6</v>
      </c>
      <c r="V53" s="65">
        <v>11.6</v>
      </c>
      <c r="W53" s="65">
        <v>11.6</v>
      </c>
      <c r="X53" s="65">
        <v>11.6</v>
      </c>
      <c r="Y53" s="65">
        <v>10.9</v>
      </c>
      <c r="Z53" s="65">
        <v>10.9</v>
      </c>
      <c r="AA53" s="65">
        <v>10.9</v>
      </c>
      <c r="AB53" s="65">
        <v>10.9</v>
      </c>
      <c r="AC53" s="65">
        <v>10.9</v>
      </c>
      <c r="AD53" s="65">
        <v>10.9</v>
      </c>
      <c r="AE53" s="65">
        <v>10.9</v>
      </c>
      <c r="AF53" s="65">
        <v>10.9</v>
      </c>
      <c r="AG53" s="55">
        <v>14.1</v>
      </c>
      <c r="AH53" s="48">
        <f t="shared" si="2"/>
        <v>11.6</v>
      </c>
      <c r="AI53" s="49">
        <f t="shared" si="3"/>
        <v>10.9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10</v>
      </c>
      <c r="C54" s="65">
        <v>10</v>
      </c>
      <c r="D54" s="65">
        <v>10</v>
      </c>
      <c r="E54" s="65">
        <v>10</v>
      </c>
      <c r="F54" s="65">
        <v>10</v>
      </c>
      <c r="G54" s="65">
        <v>10</v>
      </c>
      <c r="H54" s="65">
        <v>10</v>
      </c>
      <c r="I54" s="65">
        <v>10</v>
      </c>
      <c r="J54" s="65">
        <v>10</v>
      </c>
      <c r="K54" s="65">
        <v>10</v>
      </c>
      <c r="L54" s="65">
        <v>10</v>
      </c>
      <c r="M54" s="65">
        <v>10.1</v>
      </c>
      <c r="N54" s="65">
        <v>10.1</v>
      </c>
      <c r="O54" s="65">
        <v>10.1</v>
      </c>
      <c r="P54" s="65">
        <v>10.1</v>
      </c>
      <c r="Q54" s="65">
        <v>10.1</v>
      </c>
      <c r="R54" s="65">
        <v>10.1</v>
      </c>
      <c r="S54" s="65">
        <v>10.1</v>
      </c>
      <c r="T54" s="65">
        <v>10.1</v>
      </c>
      <c r="U54" s="65">
        <v>7.2</v>
      </c>
      <c r="V54" s="65">
        <v>7.2</v>
      </c>
      <c r="W54" s="65">
        <v>7.2</v>
      </c>
      <c r="X54" s="65">
        <v>14</v>
      </c>
      <c r="Y54" s="65">
        <v>14.4</v>
      </c>
      <c r="Z54" s="65">
        <v>14.4</v>
      </c>
      <c r="AA54" s="65">
        <v>14.4</v>
      </c>
      <c r="AB54" s="65">
        <v>14.4</v>
      </c>
      <c r="AC54" s="65">
        <v>14.4</v>
      </c>
      <c r="AD54" s="65">
        <v>14.4</v>
      </c>
      <c r="AE54" s="65">
        <v>10.3</v>
      </c>
      <c r="AF54" s="65">
        <v>10.3</v>
      </c>
      <c r="AG54" s="55">
        <v>14</v>
      </c>
      <c r="AH54" s="48">
        <f t="shared" si="2"/>
        <v>14.4</v>
      </c>
      <c r="AI54" s="49">
        <f t="shared" si="3"/>
        <v>7.2</v>
      </c>
      <c r="AK54" s="50"/>
    </row>
    <row r="55" spans="1:41" x14ac:dyDescent="0.25">
      <c r="A55" s="54" t="s">
        <v>63</v>
      </c>
      <c r="B55" s="65">
        <v>9</v>
      </c>
      <c r="C55" s="65">
        <v>9</v>
      </c>
      <c r="D55" s="65">
        <v>9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9</v>
      </c>
      <c r="S55" s="65">
        <v>9</v>
      </c>
      <c r="T55" s="65">
        <v>9</v>
      </c>
      <c r="U55" s="65">
        <v>9</v>
      </c>
      <c r="V55" s="65">
        <v>9</v>
      </c>
      <c r="W55" s="65">
        <v>9</v>
      </c>
      <c r="X55" s="65">
        <v>9</v>
      </c>
      <c r="Y55" s="65">
        <v>9</v>
      </c>
      <c r="Z55" s="65">
        <v>9</v>
      </c>
      <c r="AA55" s="65">
        <v>9</v>
      </c>
      <c r="AB55" s="65">
        <v>9</v>
      </c>
      <c r="AC55" s="65">
        <v>9</v>
      </c>
      <c r="AD55" s="65">
        <v>9</v>
      </c>
      <c r="AE55" s="65">
        <v>9</v>
      </c>
      <c r="AF55" s="65">
        <v>9</v>
      </c>
      <c r="AG55" s="55">
        <v>10.050000000000001</v>
      </c>
      <c r="AH55" s="48">
        <f t="shared" si="2"/>
        <v>9</v>
      </c>
      <c r="AI55" s="49">
        <f t="shared" si="3"/>
        <v>9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:AG58" si="6">SUM(B45:B57)</f>
        <v>287.53999999999996</v>
      </c>
      <c r="C58" s="61">
        <f t="shared" si="6"/>
        <v>277.34000000000003</v>
      </c>
      <c r="D58" s="61">
        <f t="shared" si="6"/>
        <v>277.34000000000003</v>
      </c>
      <c r="E58" s="61">
        <f t="shared" si="6"/>
        <v>269.03999999999996</v>
      </c>
      <c r="F58" s="61">
        <f t="shared" si="6"/>
        <v>264.44</v>
      </c>
      <c r="G58" s="61">
        <f t="shared" si="6"/>
        <v>299.84000000000003</v>
      </c>
      <c r="H58" s="61">
        <f t="shared" si="6"/>
        <v>337.24</v>
      </c>
      <c r="I58" s="61">
        <f t="shared" si="6"/>
        <v>355.84000000000003</v>
      </c>
      <c r="J58" s="61">
        <f t="shared" si="6"/>
        <v>371.74</v>
      </c>
      <c r="K58" s="61">
        <f t="shared" si="6"/>
        <v>376.24</v>
      </c>
      <c r="L58" s="61">
        <f t="shared" si="6"/>
        <v>384.24</v>
      </c>
      <c r="M58" s="61">
        <f t="shared" si="6"/>
        <v>386.74</v>
      </c>
      <c r="N58" s="61">
        <f t="shared" si="6"/>
        <v>387.24</v>
      </c>
      <c r="O58" s="61">
        <f t="shared" si="6"/>
        <v>389.24</v>
      </c>
      <c r="P58" s="61">
        <f t="shared" si="6"/>
        <v>382.94</v>
      </c>
      <c r="Q58" s="61">
        <f t="shared" si="6"/>
        <v>382.94</v>
      </c>
      <c r="R58" s="61">
        <f t="shared" si="6"/>
        <v>290.14000000000004</v>
      </c>
      <c r="S58" s="61">
        <f t="shared" si="6"/>
        <v>270.44</v>
      </c>
      <c r="T58" s="61">
        <f t="shared" si="6"/>
        <v>277.14</v>
      </c>
      <c r="U58" s="61">
        <f t="shared" si="6"/>
        <v>287.84000000000003</v>
      </c>
      <c r="V58" s="61">
        <f t="shared" si="6"/>
        <v>300.74</v>
      </c>
      <c r="W58" s="61">
        <f t="shared" si="6"/>
        <v>339.24</v>
      </c>
      <c r="X58" s="61">
        <f t="shared" si="6"/>
        <v>432.74</v>
      </c>
      <c r="Y58" s="61">
        <f t="shared" si="6"/>
        <v>439.73999999999995</v>
      </c>
      <c r="Z58" s="61">
        <f t="shared" si="6"/>
        <v>440.13999999999993</v>
      </c>
      <c r="AA58" s="61">
        <f t="shared" si="6"/>
        <v>439.83999999999992</v>
      </c>
      <c r="AB58" s="61">
        <f t="shared" si="6"/>
        <v>448.43999999999994</v>
      </c>
      <c r="AC58" s="61">
        <f t="shared" si="6"/>
        <v>448.43999999999994</v>
      </c>
      <c r="AD58" s="61">
        <f t="shared" si="6"/>
        <v>448.43999999999994</v>
      </c>
      <c r="AE58" s="61">
        <f t="shared" si="6"/>
        <v>353.94</v>
      </c>
      <c r="AF58" s="61">
        <f t="shared" si="6"/>
        <v>312.03999999999996</v>
      </c>
      <c r="AG58" s="62">
        <f t="shared" si="6"/>
        <v>489.91</v>
      </c>
      <c r="AH58" s="48">
        <f t="shared" si="2"/>
        <v>448.43999999999994</v>
      </c>
      <c r="AI58" s="49">
        <f t="shared" si="3"/>
        <v>264.44</v>
      </c>
      <c r="AK58" s="50"/>
    </row>
    <row r="59" spans="1:41" x14ac:dyDescent="0.25">
      <c r="A59" s="44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4.9000000000000004</v>
      </c>
      <c r="N60" s="65">
        <v>5.2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32</v>
      </c>
      <c r="AH60" s="48">
        <f t="shared" si="2"/>
        <v>5.2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1.8</v>
      </c>
      <c r="N61" s="67">
        <v>1.9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67">
        <v>0</v>
      </c>
      <c r="AB61" s="67">
        <v>0</v>
      </c>
      <c r="AC61" s="67">
        <v>0</v>
      </c>
      <c r="AD61" s="67">
        <v>0</v>
      </c>
      <c r="AE61" s="67">
        <v>0</v>
      </c>
      <c r="AF61" s="67">
        <v>0</v>
      </c>
      <c r="AG61" s="68">
        <v>14</v>
      </c>
      <c r="AH61" s="48">
        <f t="shared" si="2"/>
        <v>1.9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AG62" si="7">SUM(B59:B61)</f>
        <v>0</v>
      </c>
      <c r="C62" s="61">
        <f t="shared" si="7"/>
        <v>0</v>
      </c>
      <c r="D62" s="61">
        <f t="shared" si="7"/>
        <v>0</v>
      </c>
      <c r="E62" s="61">
        <f t="shared" si="7"/>
        <v>0</v>
      </c>
      <c r="F62" s="61">
        <f t="shared" si="7"/>
        <v>0</v>
      </c>
      <c r="G62" s="61">
        <f t="shared" si="7"/>
        <v>0</v>
      </c>
      <c r="H62" s="61">
        <f t="shared" si="7"/>
        <v>0</v>
      </c>
      <c r="I62" s="61">
        <f t="shared" si="7"/>
        <v>0</v>
      </c>
      <c r="J62" s="61">
        <f t="shared" si="7"/>
        <v>0</v>
      </c>
      <c r="K62" s="61">
        <f t="shared" si="7"/>
        <v>0</v>
      </c>
      <c r="L62" s="61">
        <f t="shared" si="7"/>
        <v>0</v>
      </c>
      <c r="M62" s="61">
        <f t="shared" si="7"/>
        <v>6.7</v>
      </c>
      <c r="N62" s="61">
        <f t="shared" si="7"/>
        <v>7.1</v>
      </c>
      <c r="O62" s="61">
        <f t="shared" si="7"/>
        <v>0</v>
      </c>
      <c r="P62" s="61">
        <f t="shared" si="7"/>
        <v>0</v>
      </c>
      <c r="Q62" s="61">
        <f t="shared" si="7"/>
        <v>0</v>
      </c>
      <c r="R62" s="61">
        <f t="shared" si="7"/>
        <v>0</v>
      </c>
      <c r="S62" s="61">
        <f t="shared" si="7"/>
        <v>0</v>
      </c>
      <c r="T62" s="61">
        <f t="shared" si="7"/>
        <v>0</v>
      </c>
      <c r="U62" s="61">
        <f t="shared" si="7"/>
        <v>0</v>
      </c>
      <c r="V62" s="61">
        <f t="shared" si="7"/>
        <v>0</v>
      </c>
      <c r="W62" s="61">
        <f t="shared" si="7"/>
        <v>0</v>
      </c>
      <c r="X62" s="61">
        <f t="shared" si="7"/>
        <v>0</v>
      </c>
      <c r="Y62" s="61">
        <f t="shared" si="7"/>
        <v>0</v>
      </c>
      <c r="Z62" s="61">
        <f t="shared" si="7"/>
        <v>0</v>
      </c>
      <c r="AA62" s="61">
        <f t="shared" si="7"/>
        <v>0</v>
      </c>
      <c r="AB62" s="61">
        <f t="shared" si="7"/>
        <v>0</v>
      </c>
      <c r="AC62" s="61">
        <f t="shared" si="7"/>
        <v>0</v>
      </c>
      <c r="AD62" s="61">
        <f t="shared" si="7"/>
        <v>0</v>
      </c>
      <c r="AE62" s="61">
        <f t="shared" si="7"/>
        <v>0</v>
      </c>
      <c r="AF62" s="61">
        <f t="shared" si="7"/>
        <v>0</v>
      </c>
      <c r="AG62" s="62">
        <f t="shared" si="7"/>
        <v>106</v>
      </c>
      <c r="AH62" s="48">
        <f t="shared" si="2"/>
        <v>7.1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-212</v>
      </c>
      <c r="C65" s="65">
        <v>-231</v>
      </c>
      <c r="D65" s="65">
        <v>-246.1</v>
      </c>
      <c r="E65" s="65">
        <v>-250</v>
      </c>
      <c r="F65" s="65">
        <v>-255.4</v>
      </c>
      <c r="G65" s="65">
        <v>-250</v>
      </c>
      <c r="H65" s="65">
        <v>-247.3</v>
      </c>
      <c r="I65" s="65">
        <v>-268</v>
      </c>
      <c r="J65" s="65">
        <v>-277</v>
      </c>
      <c r="K65" s="65">
        <v>-279.60000000000002</v>
      </c>
      <c r="L65" s="65">
        <v>-279.5</v>
      </c>
      <c r="M65" s="65">
        <v>-277.8</v>
      </c>
      <c r="N65" s="65">
        <v>-290.10000000000002</v>
      </c>
      <c r="O65" s="65">
        <v>-301.89999999999998</v>
      </c>
      <c r="P65" s="65">
        <v>-312</v>
      </c>
      <c r="Q65" s="65">
        <v>-296</v>
      </c>
      <c r="R65" s="65">
        <v>-306</v>
      </c>
      <c r="S65" s="65">
        <v>-174</v>
      </c>
      <c r="T65" s="65">
        <v>-224.5</v>
      </c>
      <c r="U65" s="65">
        <v>-284.89999999999998</v>
      </c>
      <c r="V65" s="65">
        <v>-270</v>
      </c>
      <c r="W65" s="65">
        <v>-234.2</v>
      </c>
      <c r="X65" s="65">
        <v>-138</v>
      </c>
      <c r="Y65" s="65">
        <v>-139.1</v>
      </c>
      <c r="Z65" s="65">
        <v>-141</v>
      </c>
      <c r="AA65" s="65">
        <v>-145.30000000000001</v>
      </c>
      <c r="AB65" s="65">
        <v>-171</v>
      </c>
      <c r="AC65" s="65">
        <v>-180</v>
      </c>
      <c r="AD65" s="65">
        <v>-189</v>
      </c>
      <c r="AE65" s="65">
        <v>-221</v>
      </c>
      <c r="AF65" s="65">
        <v>-239</v>
      </c>
      <c r="AG65" s="75"/>
      <c r="AH65" s="48">
        <f t="shared" si="2"/>
        <v>-138</v>
      </c>
      <c r="AI65" s="49">
        <f t="shared" si="3"/>
        <v>-312</v>
      </c>
      <c r="AJ65" s="48"/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45">
        <v>0</v>
      </c>
      <c r="C72" s="45">
        <v>0</v>
      </c>
      <c r="D72" s="45">
        <v>0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45">
        <v>0</v>
      </c>
      <c r="C73" s="45">
        <v>0</v>
      </c>
      <c r="D73" s="45">
        <v>0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:AF74" si="8">SUMIF(B63:B73,"&gt;0")</f>
        <v>0</v>
      </c>
      <c r="C74" s="61">
        <f t="shared" si="8"/>
        <v>0</v>
      </c>
      <c r="D74" s="61">
        <f t="shared" si="8"/>
        <v>0</v>
      </c>
      <c r="E74" s="61">
        <f t="shared" si="8"/>
        <v>0</v>
      </c>
      <c r="F74" s="61">
        <f t="shared" si="8"/>
        <v>0</v>
      </c>
      <c r="G74" s="61">
        <f t="shared" si="8"/>
        <v>0</v>
      </c>
      <c r="H74" s="61">
        <f t="shared" si="8"/>
        <v>0</v>
      </c>
      <c r="I74" s="61">
        <f t="shared" si="8"/>
        <v>0</v>
      </c>
      <c r="J74" s="61">
        <f t="shared" si="8"/>
        <v>0</v>
      </c>
      <c r="K74" s="61">
        <f t="shared" si="8"/>
        <v>0</v>
      </c>
      <c r="L74" s="61">
        <f t="shared" si="8"/>
        <v>0</v>
      </c>
      <c r="M74" s="61">
        <f t="shared" si="8"/>
        <v>0</v>
      </c>
      <c r="N74" s="61">
        <f t="shared" si="8"/>
        <v>0</v>
      </c>
      <c r="O74" s="61">
        <f t="shared" si="8"/>
        <v>0</v>
      </c>
      <c r="P74" s="61">
        <f t="shared" si="8"/>
        <v>0</v>
      </c>
      <c r="Q74" s="61">
        <f t="shared" si="8"/>
        <v>0</v>
      </c>
      <c r="R74" s="61">
        <f t="shared" si="8"/>
        <v>0</v>
      </c>
      <c r="S74" s="61">
        <f t="shared" si="8"/>
        <v>0</v>
      </c>
      <c r="T74" s="61">
        <f t="shared" si="8"/>
        <v>0</v>
      </c>
      <c r="U74" s="61">
        <f t="shared" si="8"/>
        <v>0</v>
      </c>
      <c r="V74" s="61">
        <f t="shared" si="8"/>
        <v>0</v>
      </c>
      <c r="W74" s="61">
        <f t="shared" si="8"/>
        <v>0</v>
      </c>
      <c r="X74" s="61">
        <f t="shared" si="8"/>
        <v>0</v>
      </c>
      <c r="Y74" s="61">
        <f t="shared" si="8"/>
        <v>0</v>
      </c>
      <c r="Z74" s="61">
        <f t="shared" si="8"/>
        <v>0</v>
      </c>
      <c r="AA74" s="61">
        <f t="shared" si="8"/>
        <v>0</v>
      </c>
      <c r="AB74" s="61">
        <f t="shared" si="8"/>
        <v>0</v>
      </c>
      <c r="AC74" s="61">
        <f t="shared" si="8"/>
        <v>0</v>
      </c>
      <c r="AD74" s="61">
        <f t="shared" si="8"/>
        <v>0</v>
      </c>
      <c r="AE74" s="61">
        <f t="shared" si="8"/>
        <v>0</v>
      </c>
      <c r="AF74" s="61">
        <f t="shared" si="8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44" t="s">
        <v>83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/>
      <c r="AC75" s="76"/>
      <c r="AD75" s="76"/>
      <c r="AE75" s="76"/>
      <c r="AF75" s="76"/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/>
      <c r="AC76" s="77"/>
      <c r="AD76" s="77"/>
      <c r="AE76" s="77"/>
      <c r="AF76" s="77"/>
      <c r="AG76" s="75">
        <v>14.4</v>
      </c>
      <c r="AH76" s="48">
        <f t="shared" ref="AH76:AH109" si="9">MAX(B76:AF76)</f>
        <v>0</v>
      </c>
      <c r="AI76" s="49">
        <f t="shared" ref="AI76:AI109" si="10">MIN(B76:AF76)</f>
        <v>0</v>
      </c>
      <c r="AK76" s="50"/>
    </row>
    <row r="77" spans="1:37" ht="15.75" thickBot="1" x14ac:dyDescent="0.3">
      <c r="A77" s="78" t="s">
        <v>85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>
        <v>0</v>
      </c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79"/>
      <c r="AC77" s="79"/>
      <c r="AD77" s="79"/>
      <c r="AE77" s="79"/>
      <c r="AF77" s="79"/>
      <c r="AG77" s="80">
        <v>2</v>
      </c>
      <c r="AH77" s="48">
        <f t="shared" si="9"/>
        <v>0</v>
      </c>
      <c r="AI77" s="49">
        <f t="shared" si="10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9"/>
        <v>0</v>
      </c>
      <c r="AI78" s="49">
        <f t="shared" si="10"/>
        <v>0</v>
      </c>
    </row>
    <row r="79" spans="1:37" ht="15.75" thickBot="1" x14ac:dyDescent="0.3">
      <c r="A79" s="74" t="s">
        <v>87</v>
      </c>
      <c r="B79" s="83">
        <f t="shared" ref="B79:AG79" si="11">B40+B44+B62+B58+B74+B78</f>
        <v>1030.3399999999999</v>
      </c>
      <c r="C79" s="83">
        <f t="shared" si="11"/>
        <v>1009.94</v>
      </c>
      <c r="D79" s="83">
        <f t="shared" si="11"/>
        <v>1003.94</v>
      </c>
      <c r="E79" s="83">
        <f t="shared" si="11"/>
        <v>1015.74</v>
      </c>
      <c r="F79" s="83">
        <f t="shared" si="11"/>
        <v>1011.1400000000001</v>
      </c>
      <c r="G79" s="83">
        <f t="shared" si="11"/>
        <v>1041.54</v>
      </c>
      <c r="H79" s="83">
        <f t="shared" si="11"/>
        <v>1078.94</v>
      </c>
      <c r="I79" s="83">
        <f t="shared" si="11"/>
        <v>1097.54</v>
      </c>
      <c r="J79" s="83">
        <f t="shared" si="11"/>
        <v>1113.44</v>
      </c>
      <c r="K79" s="83">
        <f t="shared" si="11"/>
        <v>1124.24</v>
      </c>
      <c r="L79" s="83">
        <f t="shared" si="11"/>
        <v>1132.04</v>
      </c>
      <c r="M79" s="83">
        <f t="shared" si="11"/>
        <v>1125.24</v>
      </c>
      <c r="N79" s="83">
        <f t="shared" si="11"/>
        <v>1122.24</v>
      </c>
      <c r="O79" s="83">
        <f t="shared" si="11"/>
        <v>1117.1399999999999</v>
      </c>
      <c r="P79" s="83">
        <f t="shared" si="11"/>
        <v>1107.24</v>
      </c>
      <c r="Q79" s="83">
        <f t="shared" si="11"/>
        <v>1107.24</v>
      </c>
      <c r="R79" s="83">
        <f t="shared" si="11"/>
        <v>1029.44</v>
      </c>
      <c r="S79" s="83">
        <f t="shared" si="11"/>
        <v>912.74</v>
      </c>
      <c r="T79" s="83">
        <f t="shared" si="11"/>
        <v>983.43999999999994</v>
      </c>
      <c r="U79" s="83">
        <f t="shared" si="11"/>
        <v>1013.14</v>
      </c>
      <c r="V79" s="83">
        <f t="shared" si="11"/>
        <v>1026.04</v>
      </c>
      <c r="W79" s="83">
        <f t="shared" si="11"/>
        <v>1068.54</v>
      </c>
      <c r="X79" s="83">
        <f t="shared" si="11"/>
        <v>1242.1399999999999</v>
      </c>
      <c r="Y79" s="83">
        <f t="shared" si="11"/>
        <v>1256.94</v>
      </c>
      <c r="Z79" s="83">
        <f t="shared" si="11"/>
        <v>1250.8399999999999</v>
      </c>
      <c r="AA79" s="83">
        <f t="shared" si="11"/>
        <v>1228.54</v>
      </c>
      <c r="AB79" s="83">
        <f t="shared" si="11"/>
        <v>1222.04</v>
      </c>
      <c r="AC79" s="83">
        <f t="shared" si="11"/>
        <v>1222.04</v>
      </c>
      <c r="AD79" s="83">
        <f t="shared" si="11"/>
        <v>1215.54</v>
      </c>
      <c r="AE79" s="83">
        <f t="shared" si="11"/>
        <v>1121.04</v>
      </c>
      <c r="AF79" s="83">
        <f t="shared" si="11"/>
        <v>1079.1399999999999</v>
      </c>
      <c r="AG79" s="62">
        <f t="shared" si="11"/>
        <v>1897.1900000000003</v>
      </c>
      <c r="AH79" s="48">
        <f t="shared" si="9"/>
        <v>1256.94</v>
      </c>
      <c r="AI79" s="49">
        <f t="shared" si="10"/>
        <v>912.74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9"/>
        <v>0</v>
      </c>
      <c r="AI80" s="49">
        <f t="shared" si="10"/>
        <v>0</v>
      </c>
    </row>
    <row r="81" spans="1:37" ht="15.75" thickBot="1" x14ac:dyDescent="0.3">
      <c r="A81" s="74" t="s">
        <v>89</v>
      </c>
      <c r="B81" s="83">
        <f t="shared" ref="B81:AF81" si="12">B79+B80</f>
        <v>1030.3399999999999</v>
      </c>
      <c r="C81" s="83">
        <f t="shared" si="12"/>
        <v>1009.94</v>
      </c>
      <c r="D81" s="83">
        <f t="shared" si="12"/>
        <v>1003.94</v>
      </c>
      <c r="E81" s="83">
        <f t="shared" si="12"/>
        <v>1015.74</v>
      </c>
      <c r="F81" s="83">
        <f t="shared" si="12"/>
        <v>1011.1400000000001</v>
      </c>
      <c r="G81" s="83">
        <f t="shared" si="12"/>
        <v>1041.54</v>
      </c>
      <c r="H81" s="83">
        <f t="shared" si="12"/>
        <v>1078.94</v>
      </c>
      <c r="I81" s="83">
        <f t="shared" si="12"/>
        <v>1097.54</v>
      </c>
      <c r="J81" s="83">
        <f t="shared" si="12"/>
        <v>1113.44</v>
      </c>
      <c r="K81" s="83">
        <f t="shared" si="12"/>
        <v>1124.24</v>
      </c>
      <c r="L81" s="83">
        <f t="shared" si="12"/>
        <v>1132.04</v>
      </c>
      <c r="M81" s="83">
        <f t="shared" si="12"/>
        <v>1125.24</v>
      </c>
      <c r="N81" s="83">
        <f t="shared" si="12"/>
        <v>1122.24</v>
      </c>
      <c r="O81" s="83">
        <f t="shared" si="12"/>
        <v>1117.1399999999999</v>
      </c>
      <c r="P81" s="83">
        <f t="shared" si="12"/>
        <v>1107.24</v>
      </c>
      <c r="Q81" s="83">
        <f t="shared" si="12"/>
        <v>1107.24</v>
      </c>
      <c r="R81" s="83">
        <f t="shared" si="12"/>
        <v>1029.44</v>
      </c>
      <c r="S81" s="83">
        <f t="shared" si="12"/>
        <v>912.74</v>
      </c>
      <c r="T81" s="83">
        <f t="shared" si="12"/>
        <v>983.43999999999994</v>
      </c>
      <c r="U81" s="83">
        <f t="shared" si="12"/>
        <v>1013.14</v>
      </c>
      <c r="V81" s="83">
        <f t="shared" si="12"/>
        <v>1026.04</v>
      </c>
      <c r="W81" s="83">
        <f t="shared" si="12"/>
        <v>1068.54</v>
      </c>
      <c r="X81" s="83">
        <f t="shared" si="12"/>
        <v>1242.1399999999999</v>
      </c>
      <c r="Y81" s="83">
        <f t="shared" si="12"/>
        <v>1256.94</v>
      </c>
      <c r="Z81" s="83">
        <f t="shared" si="12"/>
        <v>1250.8399999999999</v>
      </c>
      <c r="AA81" s="83">
        <f t="shared" si="12"/>
        <v>1228.54</v>
      </c>
      <c r="AB81" s="83">
        <f t="shared" si="12"/>
        <v>1222.04</v>
      </c>
      <c r="AC81" s="83">
        <f t="shared" si="12"/>
        <v>1222.04</v>
      </c>
      <c r="AD81" s="83">
        <f t="shared" si="12"/>
        <v>1215.54</v>
      </c>
      <c r="AE81" s="83">
        <f t="shared" si="12"/>
        <v>1121.04</v>
      </c>
      <c r="AF81" s="83">
        <f t="shared" si="12"/>
        <v>1079.1399999999999</v>
      </c>
      <c r="AG81" s="81">
        <f>AG78+AG74+AG62+AG58+AG40+AG80</f>
        <v>1359.0900000000001</v>
      </c>
      <c r="AH81" s="48">
        <f t="shared" si="9"/>
        <v>1256.94</v>
      </c>
      <c r="AI81" s="49">
        <f t="shared" si="10"/>
        <v>912.74</v>
      </c>
    </row>
    <row r="82" spans="1:37" ht="15.75" thickBot="1" x14ac:dyDescent="0.3">
      <c r="A82" s="74" t="s">
        <v>90</v>
      </c>
      <c r="B82" s="83">
        <f t="shared" ref="B82:AF82" si="13">B81-B89</f>
        <v>818.33999999999992</v>
      </c>
      <c r="C82" s="83">
        <f t="shared" si="13"/>
        <v>778.94</v>
      </c>
      <c r="D82" s="83">
        <f t="shared" si="13"/>
        <v>757.84</v>
      </c>
      <c r="E82" s="83">
        <f t="shared" si="13"/>
        <v>765.74</v>
      </c>
      <c r="F82" s="83">
        <f t="shared" si="13"/>
        <v>755.74000000000012</v>
      </c>
      <c r="G82" s="83">
        <f t="shared" si="13"/>
        <v>791.54</v>
      </c>
      <c r="H82" s="83">
        <f t="shared" si="13"/>
        <v>831.6400000000001</v>
      </c>
      <c r="I82" s="83">
        <f t="shared" si="13"/>
        <v>829.54</v>
      </c>
      <c r="J82" s="83">
        <f t="shared" si="13"/>
        <v>836.44</v>
      </c>
      <c r="K82" s="83">
        <f t="shared" si="13"/>
        <v>844.64</v>
      </c>
      <c r="L82" s="83">
        <f t="shared" si="13"/>
        <v>852.54</v>
      </c>
      <c r="M82" s="83">
        <f t="shared" si="13"/>
        <v>847.44</v>
      </c>
      <c r="N82" s="83">
        <f t="shared" si="13"/>
        <v>832.14</v>
      </c>
      <c r="O82" s="83">
        <f t="shared" si="13"/>
        <v>815.2399999999999</v>
      </c>
      <c r="P82" s="83">
        <f t="shared" si="13"/>
        <v>795.24</v>
      </c>
      <c r="Q82" s="83">
        <f t="shared" si="13"/>
        <v>811.24</v>
      </c>
      <c r="R82" s="83">
        <f t="shared" si="13"/>
        <v>723.44</v>
      </c>
      <c r="S82" s="83">
        <f t="shared" si="13"/>
        <v>738.74</v>
      </c>
      <c r="T82" s="83">
        <f t="shared" si="13"/>
        <v>758.93999999999994</v>
      </c>
      <c r="U82" s="83">
        <f t="shared" si="13"/>
        <v>728.24</v>
      </c>
      <c r="V82" s="83">
        <f t="shared" si="13"/>
        <v>756.04</v>
      </c>
      <c r="W82" s="83">
        <f t="shared" si="13"/>
        <v>834.33999999999992</v>
      </c>
      <c r="X82" s="83">
        <f t="shared" si="13"/>
        <v>1104.1399999999999</v>
      </c>
      <c r="Y82" s="83">
        <f t="shared" si="13"/>
        <v>1117.8400000000001</v>
      </c>
      <c r="Z82" s="83">
        <f t="shared" si="13"/>
        <v>1109.8399999999999</v>
      </c>
      <c r="AA82" s="83">
        <f t="shared" si="13"/>
        <v>1083.24</v>
      </c>
      <c r="AB82" s="83">
        <f t="shared" si="13"/>
        <v>1051.04</v>
      </c>
      <c r="AC82" s="83">
        <f t="shared" si="13"/>
        <v>1042.04</v>
      </c>
      <c r="AD82" s="83">
        <f t="shared" si="13"/>
        <v>1026.54</v>
      </c>
      <c r="AE82" s="83">
        <f t="shared" si="13"/>
        <v>900.04</v>
      </c>
      <c r="AF82" s="83">
        <f t="shared" si="13"/>
        <v>840.13999999999987</v>
      </c>
      <c r="AG82" s="81"/>
      <c r="AH82" s="48">
        <f t="shared" si="9"/>
        <v>1117.8400000000001</v>
      </c>
      <c r="AI82" s="49">
        <f t="shared" si="10"/>
        <v>723.44</v>
      </c>
    </row>
    <row r="83" spans="1:37" x14ac:dyDescent="0.25">
      <c r="A83" s="44" t="s">
        <v>74</v>
      </c>
      <c r="B83" s="76">
        <f t="shared" ref="B83:AF83" si="14">IF(B66&lt;0,B66*-1,0)</f>
        <v>0</v>
      </c>
      <c r="C83" s="76">
        <f t="shared" si="14"/>
        <v>0</v>
      </c>
      <c r="D83" s="76">
        <f t="shared" si="14"/>
        <v>0</v>
      </c>
      <c r="E83" s="76">
        <f t="shared" si="14"/>
        <v>0</v>
      </c>
      <c r="F83" s="76">
        <f t="shared" si="14"/>
        <v>0</v>
      </c>
      <c r="G83" s="76">
        <f t="shared" si="14"/>
        <v>0</v>
      </c>
      <c r="H83" s="76">
        <f t="shared" si="14"/>
        <v>0</v>
      </c>
      <c r="I83" s="76">
        <f t="shared" si="14"/>
        <v>0</v>
      </c>
      <c r="J83" s="76">
        <f t="shared" si="14"/>
        <v>0</v>
      </c>
      <c r="K83" s="76">
        <f t="shared" si="14"/>
        <v>0</v>
      </c>
      <c r="L83" s="76">
        <f t="shared" si="14"/>
        <v>0</v>
      </c>
      <c r="M83" s="76">
        <f t="shared" si="14"/>
        <v>0</v>
      </c>
      <c r="N83" s="76">
        <f t="shared" si="14"/>
        <v>0</v>
      </c>
      <c r="O83" s="76">
        <f t="shared" si="14"/>
        <v>0</v>
      </c>
      <c r="P83" s="76">
        <f t="shared" si="14"/>
        <v>0</v>
      </c>
      <c r="Q83" s="76">
        <f t="shared" si="14"/>
        <v>0</v>
      </c>
      <c r="R83" s="76">
        <f t="shared" si="14"/>
        <v>0</v>
      </c>
      <c r="S83" s="76">
        <f t="shared" si="14"/>
        <v>0</v>
      </c>
      <c r="T83" s="76">
        <f t="shared" si="14"/>
        <v>0</v>
      </c>
      <c r="U83" s="76">
        <f t="shared" si="14"/>
        <v>0</v>
      </c>
      <c r="V83" s="76">
        <f t="shared" si="14"/>
        <v>0</v>
      </c>
      <c r="W83" s="76">
        <f t="shared" si="14"/>
        <v>0</v>
      </c>
      <c r="X83" s="76">
        <f t="shared" si="14"/>
        <v>0</v>
      </c>
      <c r="Y83" s="76">
        <f t="shared" si="14"/>
        <v>0</v>
      </c>
      <c r="Z83" s="76">
        <f t="shared" si="14"/>
        <v>0</v>
      </c>
      <c r="AA83" s="76">
        <f t="shared" si="14"/>
        <v>0</v>
      </c>
      <c r="AB83" s="76">
        <f t="shared" si="14"/>
        <v>0</v>
      </c>
      <c r="AC83" s="76">
        <f t="shared" si="14"/>
        <v>0</v>
      </c>
      <c r="AD83" s="76">
        <f t="shared" si="14"/>
        <v>0</v>
      </c>
      <c r="AE83" s="76">
        <f t="shared" si="14"/>
        <v>0</v>
      </c>
      <c r="AF83" s="76">
        <f t="shared" si="14"/>
        <v>0</v>
      </c>
      <c r="AG83" s="52"/>
      <c r="AH83" s="48">
        <f t="shared" si="9"/>
        <v>0</v>
      </c>
      <c r="AI83" s="49">
        <f t="shared" si="10"/>
        <v>0</v>
      </c>
    </row>
    <row r="84" spans="1:37" x14ac:dyDescent="0.25">
      <c r="A84" s="54" t="s">
        <v>72</v>
      </c>
      <c r="B84" s="76">
        <f t="shared" ref="B84:AF84" si="15">IF(B64&lt;0,B64*-1,0)</f>
        <v>0</v>
      </c>
      <c r="C84" s="76">
        <f t="shared" si="15"/>
        <v>0</v>
      </c>
      <c r="D84" s="76">
        <f t="shared" si="15"/>
        <v>0</v>
      </c>
      <c r="E84" s="76">
        <f t="shared" si="15"/>
        <v>0</v>
      </c>
      <c r="F84" s="76">
        <f t="shared" si="15"/>
        <v>0</v>
      </c>
      <c r="G84" s="76">
        <f t="shared" si="15"/>
        <v>0</v>
      </c>
      <c r="H84" s="76">
        <f t="shared" si="15"/>
        <v>0</v>
      </c>
      <c r="I84" s="76">
        <f t="shared" si="15"/>
        <v>0</v>
      </c>
      <c r="J84" s="76">
        <f t="shared" si="15"/>
        <v>0</v>
      </c>
      <c r="K84" s="76">
        <f t="shared" si="15"/>
        <v>0</v>
      </c>
      <c r="L84" s="76">
        <f t="shared" si="15"/>
        <v>0</v>
      </c>
      <c r="M84" s="76">
        <f t="shared" si="15"/>
        <v>0</v>
      </c>
      <c r="N84" s="76">
        <f t="shared" si="15"/>
        <v>0</v>
      </c>
      <c r="O84" s="76">
        <f t="shared" si="15"/>
        <v>0</v>
      </c>
      <c r="P84" s="76">
        <f t="shared" si="15"/>
        <v>0</v>
      </c>
      <c r="Q84" s="76">
        <f t="shared" si="15"/>
        <v>0</v>
      </c>
      <c r="R84" s="76">
        <f t="shared" si="15"/>
        <v>0</v>
      </c>
      <c r="S84" s="76">
        <f t="shared" si="15"/>
        <v>0</v>
      </c>
      <c r="T84" s="76">
        <f t="shared" si="15"/>
        <v>0</v>
      </c>
      <c r="U84" s="76">
        <f t="shared" si="15"/>
        <v>0</v>
      </c>
      <c r="V84" s="76">
        <f t="shared" si="15"/>
        <v>0</v>
      </c>
      <c r="W84" s="76">
        <f t="shared" si="15"/>
        <v>0</v>
      </c>
      <c r="X84" s="76">
        <f t="shared" si="15"/>
        <v>0</v>
      </c>
      <c r="Y84" s="76">
        <f t="shared" si="15"/>
        <v>0</v>
      </c>
      <c r="Z84" s="76">
        <f t="shared" si="15"/>
        <v>0</v>
      </c>
      <c r="AA84" s="76">
        <f t="shared" si="15"/>
        <v>0</v>
      </c>
      <c r="AB84" s="76">
        <f t="shared" si="15"/>
        <v>0</v>
      </c>
      <c r="AC84" s="76">
        <f t="shared" si="15"/>
        <v>0</v>
      </c>
      <c r="AD84" s="76">
        <f t="shared" si="15"/>
        <v>0</v>
      </c>
      <c r="AE84" s="76">
        <f t="shared" si="15"/>
        <v>0</v>
      </c>
      <c r="AF84" s="76">
        <f t="shared" si="15"/>
        <v>0</v>
      </c>
      <c r="AG84" s="55"/>
      <c r="AH84" s="48">
        <f t="shared" si="9"/>
        <v>0</v>
      </c>
      <c r="AI84" s="49">
        <f t="shared" si="10"/>
        <v>0</v>
      </c>
    </row>
    <row r="85" spans="1:37" x14ac:dyDescent="0.25">
      <c r="A85" s="78" t="s">
        <v>91</v>
      </c>
      <c r="B85" s="76">
        <f t="shared" ref="B85:AF85" si="16">IF(B67&lt;0,B67*-1,0)</f>
        <v>0</v>
      </c>
      <c r="C85" s="76">
        <f t="shared" si="16"/>
        <v>0</v>
      </c>
      <c r="D85" s="76">
        <f t="shared" si="16"/>
        <v>0</v>
      </c>
      <c r="E85" s="76">
        <f t="shared" si="16"/>
        <v>0</v>
      </c>
      <c r="F85" s="76">
        <f t="shared" si="16"/>
        <v>0</v>
      </c>
      <c r="G85" s="76">
        <f t="shared" si="16"/>
        <v>0</v>
      </c>
      <c r="H85" s="76">
        <f t="shared" si="16"/>
        <v>0</v>
      </c>
      <c r="I85" s="76">
        <f t="shared" si="16"/>
        <v>0</v>
      </c>
      <c r="J85" s="76">
        <f t="shared" si="16"/>
        <v>0</v>
      </c>
      <c r="K85" s="76">
        <f t="shared" si="16"/>
        <v>0</v>
      </c>
      <c r="L85" s="76">
        <f t="shared" si="16"/>
        <v>0</v>
      </c>
      <c r="M85" s="76">
        <f t="shared" si="16"/>
        <v>0</v>
      </c>
      <c r="N85" s="76">
        <f t="shared" si="16"/>
        <v>0</v>
      </c>
      <c r="O85" s="76">
        <f t="shared" si="16"/>
        <v>0</v>
      </c>
      <c r="P85" s="76">
        <f t="shared" si="16"/>
        <v>0</v>
      </c>
      <c r="Q85" s="76">
        <f t="shared" si="16"/>
        <v>0</v>
      </c>
      <c r="R85" s="76">
        <f t="shared" si="16"/>
        <v>0</v>
      </c>
      <c r="S85" s="76">
        <f t="shared" si="16"/>
        <v>0</v>
      </c>
      <c r="T85" s="76">
        <f t="shared" si="16"/>
        <v>0</v>
      </c>
      <c r="U85" s="76">
        <f t="shared" si="16"/>
        <v>0</v>
      </c>
      <c r="V85" s="76">
        <f t="shared" si="16"/>
        <v>0</v>
      </c>
      <c r="W85" s="76">
        <f t="shared" si="16"/>
        <v>0</v>
      </c>
      <c r="X85" s="76">
        <f t="shared" si="16"/>
        <v>0</v>
      </c>
      <c r="Y85" s="76">
        <f t="shared" si="16"/>
        <v>0</v>
      </c>
      <c r="Z85" s="76">
        <f t="shared" si="16"/>
        <v>0</v>
      </c>
      <c r="AA85" s="76">
        <f t="shared" si="16"/>
        <v>0</v>
      </c>
      <c r="AB85" s="76">
        <f t="shared" si="16"/>
        <v>0</v>
      </c>
      <c r="AC85" s="76">
        <f t="shared" si="16"/>
        <v>0</v>
      </c>
      <c r="AD85" s="76">
        <f t="shared" si="16"/>
        <v>0</v>
      </c>
      <c r="AE85" s="76">
        <f t="shared" si="16"/>
        <v>0</v>
      </c>
      <c r="AF85" s="76">
        <f t="shared" si="16"/>
        <v>0</v>
      </c>
      <c r="AG85" s="86"/>
      <c r="AH85" s="48">
        <f t="shared" si="9"/>
        <v>0</v>
      </c>
      <c r="AI85" s="49">
        <f t="shared" si="10"/>
        <v>0</v>
      </c>
    </row>
    <row r="86" spans="1:37" x14ac:dyDescent="0.25">
      <c r="A86" s="78" t="s">
        <v>92</v>
      </c>
      <c r="B86" s="76">
        <f t="shared" ref="B86:AF86" si="17">IF(B65&lt;0,B65*-1,0)</f>
        <v>212</v>
      </c>
      <c r="C86" s="76">
        <f t="shared" si="17"/>
        <v>231</v>
      </c>
      <c r="D86" s="76">
        <f t="shared" si="17"/>
        <v>246.1</v>
      </c>
      <c r="E86" s="76">
        <f t="shared" si="17"/>
        <v>250</v>
      </c>
      <c r="F86" s="76">
        <f t="shared" si="17"/>
        <v>255.4</v>
      </c>
      <c r="G86" s="76">
        <f t="shared" si="17"/>
        <v>250</v>
      </c>
      <c r="H86" s="76">
        <f t="shared" si="17"/>
        <v>247.3</v>
      </c>
      <c r="I86" s="76">
        <f t="shared" si="17"/>
        <v>268</v>
      </c>
      <c r="J86" s="76">
        <f t="shared" si="17"/>
        <v>277</v>
      </c>
      <c r="K86" s="76">
        <f t="shared" si="17"/>
        <v>279.60000000000002</v>
      </c>
      <c r="L86" s="76">
        <f t="shared" si="17"/>
        <v>279.5</v>
      </c>
      <c r="M86" s="76">
        <f t="shared" si="17"/>
        <v>277.8</v>
      </c>
      <c r="N86" s="76">
        <f t="shared" si="17"/>
        <v>290.10000000000002</v>
      </c>
      <c r="O86" s="76">
        <f t="shared" si="17"/>
        <v>301.89999999999998</v>
      </c>
      <c r="P86" s="76">
        <f t="shared" si="17"/>
        <v>312</v>
      </c>
      <c r="Q86" s="76">
        <f t="shared" si="17"/>
        <v>296</v>
      </c>
      <c r="R86" s="76">
        <f t="shared" si="17"/>
        <v>306</v>
      </c>
      <c r="S86" s="76">
        <f t="shared" si="17"/>
        <v>174</v>
      </c>
      <c r="T86" s="76">
        <f t="shared" si="17"/>
        <v>224.5</v>
      </c>
      <c r="U86" s="76">
        <f t="shared" si="17"/>
        <v>284.89999999999998</v>
      </c>
      <c r="V86" s="76">
        <f t="shared" si="17"/>
        <v>270</v>
      </c>
      <c r="W86" s="76">
        <f t="shared" si="17"/>
        <v>234.2</v>
      </c>
      <c r="X86" s="76">
        <f t="shared" si="17"/>
        <v>138</v>
      </c>
      <c r="Y86" s="76">
        <f t="shared" si="17"/>
        <v>139.1</v>
      </c>
      <c r="Z86" s="76">
        <f t="shared" si="17"/>
        <v>141</v>
      </c>
      <c r="AA86" s="76">
        <f t="shared" si="17"/>
        <v>145.30000000000001</v>
      </c>
      <c r="AB86" s="76">
        <f t="shared" si="17"/>
        <v>171</v>
      </c>
      <c r="AC86" s="76">
        <f t="shared" si="17"/>
        <v>180</v>
      </c>
      <c r="AD86" s="76">
        <f t="shared" si="17"/>
        <v>189</v>
      </c>
      <c r="AE86" s="76">
        <f t="shared" si="17"/>
        <v>221</v>
      </c>
      <c r="AF86" s="76">
        <f t="shared" si="17"/>
        <v>239</v>
      </c>
      <c r="AG86" s="86"/>
      <c r="AH86" s="48">
        <f t="shared" si="9"/>
        <v>312</v>
      </c>
      <c r="AI86" s="49">
        <f t="shared" si="10"/>
        <v>138</v>
      </c>
    </row>
    <row r="87" spans="1:37" x14ac:dyDescent="0.25">
      <c r="A87" s="78" t="s">
        <v>71</v>
      </c>
      <c r="B87" s="76">
        <f t="shared" ref="B87:AF87" si="18">IF(B63&lt;0,B63*-1,0)</f>
        <v>0</v>
      </c>
      <c r="C87" s="76">
        <f t="shared" si="18"/>
        <v>0</v>
      </c>
      <c r="D87" s="76">
        <f t="shared" si="18"/>
        <v>0</v>
      </c>
      <c r="E87" s="76">
        <f t="shared" si="18"/>
        <v>0</v>
      </c>
      <c r="F87" s="76">
        <f t="shared" si="18"/>
        <v>0</v>
      </c>
      <c r="G87" s="76">
        <f t="shared" si="18"/>
        <v>0</v>
      </c>
      <c r="H87" s="76">
        <f t="shared" si="18"/>
        <v>0</v>
      </c>
      <c r="I87" s="76">
        <f t="shared" si="18"/>
        <v>0</v>
      </c>
      <c r="J87" s="76">
        <f t="shared" si="18"/>
        <v>0</v>
      </c>
      <c r="K87" s="76">
        <f t="shared" si="18"/>
        <v>0</v>
      </c>
      <c r="L87" s="76">
        <f t="shared" si="18"/>
        <v>0</v>
      </c>
      <c r="M87" s="76">
        <f t="shared" si="18"/>
        <v>0</v>
      </c>
      <c r="N87" s="76">
        <f t="shared" si="18"/>
        <v>0</v>
      </c>
      <c r="O87" s="76">
        <f t="shared" si="18"/>
        <v>0</v>
      </c>
      <c r="P87" s="76">
        <f t="shared" si="18"/>
        <v>0</v>
      </c>
      <c r="Q87" s="76">
        <f t="shared" si="18"/>
        <v>0</v>
      </c>
      <c r="R87" s="76">
        <f t="shared" si="18"/>
        <v>0</v>
      </c>
      <c r="S87" s="76">
        <f t="shared" si="18"/>
        <v>0</v>
      </c>
      <c r="T87" s="76">
        <f t="shared" si="18"/>
        <v>0</v>
      </c>
      <c r="U87" s="76">
        <f t="shared" si="18"/>
        <v>0</v>
      </c>
      <c r="V87" s="76">
        <f t="shared" si="18"/>
        <v>0</v>
      </c>
      <c r="W87" s="76">
        <f t="shared" si="18"/>
        <v>0</v>
      </c>
      <c r="X87" s="76">
        <f t="shared" si="18"/>
        <v>0</v>
      </c>
      <c r="Y87" s="76">
        <f t="shared" si="18"/>
        <v>0</v>
      </c>
      <c r="Z87" s="76">
        <f t="shared" si="18"/>
        <v>0</v>
      </c>
      <c r="AA87" s="76">
        <f t="shared" si="18"/>
        <v>0</v>
      </c>
      <c r="AB87" s="76">
        <f t="shared" si="18"/>
        <v>0</v>
      </c>
      <c r="AC87" s="76">
        <f t="shared" si="18"/>
        <v>0</v>
      </c>
      <c r="AD87" s="76">
        <f t="shared" si="18"/>
        <v>0</v>
      </c>
      <c r="AE87" s="76">
        <f t="shared" si="18"/>
        <v>0</v>
      </c>
      <c r="AF87" s="76">
        <f t="shared" si="18"/>
        <v>0</v>
      </c>
      <c r="AG87" s="86"/>
      <c r="AH87" s="48">
        <f t="shared" si="9"/>
        <v>0</v>
      </c>
      <c r="AI87" s="49">
        <f t="shared" si="10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9"/>
        <v>0</v>
      </c>
      <c r="AI88" s="49">
        <f t="shared" si="10"/>
        <v>0</v>
      </c>
    </row>
    <row r="89" spans="1:37" ht="15.75" thickBot="1" x14ac:dyDescent="0.3">
      <c r="A89" s="87" t="s">
        <v>94</v>
      </c>
      <c r="B89" s="61">
        <f t="shared" ref="B89:AF89" si="19">SUM(B83:B88)</f>
        <v>212</v>
      </c>
      <c r="C89" s="61">
        <f t="shared" si="19"/>
        <v>231</v>
      </c>
      <c r="D89" s="61">
        <f t="shared" si="19"/>
        <v>246.1</v>
      </c>
      <c r="E89" s="61">
        <f t="shared" si="19"/>
        <v>250</v>
      </c>
      <c r="F89" s="61">
        <f t="shared" si="19"/>
        <v>255.4</v>
      </c>
      <c r="G89" s="61">
        <f t="shared" si="19"/>
        <v>250</v>
      </c>
      <c r="H89" s="61">
        <f t="shared" si="19"/>
        <v>247.3</v>
      </c>
      <c r="I89" s="61">
        <f t="shared" si="19"/>
        <v>268</v>
      </c>
      <c r="J89" s="61">
        <f t="shared" si="19"/>
        <v>277</v>
      </c>
      <c r="K89" s="61">
        <f t="shared" si="19"/>
        <v>279.60000000000002</v>
      </c>
      <c r="L89" s="61">
        <f t="shared" si="19"/>
        <v>279.5</v>
      </c>
      <c r="M89" s="61">
        <f t="shared" si="19"/>
        <v>277.8</v>
      </c>
      <c r="N89" s="61">
        <f t="shared" si="19"/>
        <v>290.10000000000002</v>
      </c>
      <c r="O89" s="61">
        <f t="shared" si="19"/>
        <v>301.89999999999998</v>
      </c>
      <c r="P89" s="61">
        <f t="shared" si="19"/>
        <v>312</v>
      </c>
      <c r="Q89" s="61">
        <f t="shared" si="19"/>
        <v>296</v>
      </c>
      <c r="R89" s="61">
        <f t="shared" si="19"/>
        <v>306</v>
      </c>
      <c r="S89" s="61">
        <f t="shared" si="19"/>
        <v>174</v>
      </c>
      <c r="T89" s="61">
        <f t="shared" si="19"/>
        <v>224.5</v>
      </c>
      <c r="U89" s="61">
        <f t="shared" si="19"/>
        <v>284.89999999999998</v>
      </c>
      <c r="V89" s="61">
        <f t="shared" si="19"/>
        <v>270</v>
      </c>
      <c r="W89" s="61">
        <f t="shared" si="19"/>
        <v>234.2</v>
      </c>
      <c r="X89" s="61">
        <f t="shared" si="19"/>
        <v>138</v>
      </c>
      <c r="Y89" s="61">
        <f t="shared" si="19"/>
        <v>139.1</v>
      </c>
      <c r="Z89" s="61">
        <f t="shared" si="19"/>
        <v>141</v>
      </c>
      <c r="AA89" s="61">
        <f t="shared" si="19"/>
        <v>145.30000000000001</v>
      </c>
      <c r="AB89" s="61">
        <f t="shared" si="19"/>
        <v>171</v>
      </c>
      <c r="AC89" s="61">
        <f t="shared" si="19"/>
        <v>180</v>
      </c>
      <c r="AD89" s="61">
        <f t="shared" si="19"/>
        <v>189</v>
      </c>
      <c r="AE89" s="61">
        <f t="shared" si="19"/>
        <v>221</v>
      </c>
      <c r="AF89" s="61">
        <f t="shared" si="19"/>
        <v>239</v>
      </c>
      <c r="AG89" s="81"/>
      <c r="AH89" s="48">
        <f t="shared" si="9"/>
        <v>312</v>
      </c>
      <c r="AI89" s="49">
        <f t="shared" si="10"/>
        <v>138</v>
      </c>
      <c r="AK89" s="50"/>
    </row>
    <row r="90" spans="1:37" ht="15.75" thickBot="1" x14ac:dyDescent="0.3">
      <c r="A90" s="74" t="s">
        <v>95</v>
      </c>
      <c r="B90" s="61">
        <f t="shared" ref="B90:AF90" si="20">B74-B89</f>
        <v>-212</v>
      </c>
      <c r="C90" s="61">
        <f t="shared" si="20"/>
        <v>-231</v>
      </c>
      <c r="D90" s="61">
        <f t="shared" si="20"/>
        <v>-246.1</v>
      </c>
      <c r="E90" s="61">
        <f t="shared" si="20"/>
        <v>-250</v>
      </c>
      <c r="F90" s="61">
        <f t="shared" si="20"/>
        <v>-255.4</v>
      </c>
      <c r="G90" s="61">
        <f t="shared" si="20"/>
        <v>-250</v>
      </c>
      <c r="H90" s="61">
        <f t="shared" si="20"/>
        <v>-247.3</v>
      </c>
      <c r="I90" s="61">
        <f t="shared" si="20"/>
        <v>-268</v>
      </c>
      <c r="J90" s="61">
        <f t="shared" si="20"/>
        <v>-277</v>
      </c>
      <c r="K90" s="61">
        <f t="shared" si="20"/>
        <v>-279.60000000000002</v>
      </c>
      <c r="L90" s="61">
        <f t="shared" si="20"/>
        <v>-279.5</v>
      </c>
      <c r="M90" s="61">
        <f t="shared" si="20"/>
        <v>-277.8</v>
      </c>
      <c r="N90" s="61">
        <f t="shared" si="20"/>
        <v>-290.10000000000002</v>
      </c>
      <c r="O90" s="61">
        <f t="shared" si="20"/>
        <v>-301.89999999999998</v>
      </c>
      <c r="P90" s="61">
        <f t="shared" si="20"/>
        <v>-312</v>
      </c>
      <c r="Q90" s="61">
        <f t="shared" si="20"/>
        <v>-296</v>
      </c>
      <c r="R90" s="61">
        <f t="shared" si="20"/>
        <v>-306</v>
      </c>
      <c r="S90" s="61">
        <f t="shared" si="20"/>
        <v>-174</v>
      </c>
      <c r="T90" s="61">
        <f t="shared" si="20"/>
        <v>-224.5</v>
      </c>
      <c r="U90" s="61">
        <f t="shared" si="20"/>
        <v>-284.89999999999998</v>
      </c>
      <c r="V90" s="61">
        <f t="shared" si="20"/>
        <v>-270</v>
      </c>
      <c r="W90" s="61">
        <f t="shared" si="20"/>
        <v>-234.2</v>
      </c>
      <c r="X90" s="61">
        <f t="shared" si="20"/>
        <v>-138</v>
      </c>
      <c r="Y90" s="61">
        <f t="shared" si="20"/>
        <v>-139.1</v>
      </c>
      <c r="Z90" s="61">
        <f t="shared" si="20"/>
        <v>-141</v>
      </c>
      <c r="AA90" s="61">
        <f t="shared" si="20"/>
        <v>-145.30000000000001</v>
      </c>
      <c r="AB90" s="61">
        <f t="shared" si="20"/>
        <v>-171</v>
      </c>
      <c r="AC90" s="61">
        <f t="shared" si="20"/>
        <v>-180</v>
      </c>
      <c r="AD90" s="61">
        <f t="shared" si="20"/>
        <v>-189</v>
      </c>
      <c r="AE90" s="61">
        <f t="shared" si="20"/>
        <v>-221</v>
      </c>
      <c r="AF90" s="61">
        <f t="shared" si="20"/>
        <v>-239</v>
      </c>
      <c r="AG90" s="81"/>
      <c r="AH90" s="48">
        <f t="shared" si="9"/>
        <v>-138</v>
      </c>
      <c r="AI90" s="49">
        <f t="shared" si="10"/>
        <v>-312</v>
      </c>
    </row>
    <row r="91" spans="1:37" x14ac:dyDescent="0.25">
      <c r="A91" s="88" t="s">
        <v>96</v>
      </c>
      <c r="B91" s="89">
        <v>50.015000000000001</v>
      </c>
      <c r="C91" s="89">
        <v>49.984999999999999</v>
      </c>
      <c r="D91" s="89">
        <v>49.957000000000001</v>
      </c>
      <c r="E91" s="89">
        <v>50.000999999999998</v>
      </c>
      <c r="F91" s="89">
        <v>49.918999999999997</v>
      </c>
      <c r="G91" s="89">
        <v>49.947000000000003</v>
      </c>
      <c r="H91" s="89">
        <v>49.951999999999998</v>
      </c>
      <c r="I91" s="89">
        <v>49.96</v>
      </c>
      <c r="J91" s="89">
        <v>49.805</v>
      </c>
      <c r="K91" s="89">
        <v>49.823999999999998</v>
      </c>
      <c r="L91" s="89">
        <v>49.999000000000002</v>
      </c>
      <c r="M91" s="89">
        <v>50.054000000000002</v>
      </c>
      <c r="N91" s="89">
        <v>49.948999999999998</v>
      </c>
      <c r="O91" s="89">
        <v>49.973999999999997</v>
      </c>
      <c r="P91" s="89">
        <v>49.939</v>
      </c>
      <c r="Q91" s="89">
        <v>49.939</v>
      </c>
      <c r="R91" s="89">
        <v>49.95</v>
      </c>
      <c r="S91" s="89">
        <v>50.01</v>
      </c>
      <c r="T91" s="89">
        <v>49.948</v>
      </c>
      <c r="U91" s="89">
        <v>49.945999999999998</v>
      </c>
      <c r="V91" s="89">
        <v>49.890999999999998</v>
      </c>
      <c r="W91" s="89">
        <v>49.853000000000002</v>
      </c>
      <c r="X91" s="89">
        <v>49.975999999999999</v>
      </c>
      <c r="Y91" s="89">
        <v>50.036999999999999</v>
      </c>
      <c r="Z91" s="89">
        <v>50.036999999999999</v>
      </c>
      <c r="AA91" s="89">
        <v>50.081000000000003</v>
      </c>
      <c r="AB91" s="89">
        <v>50.040999999999997</v>
      </c>
      <c r="AC91" s="89">
        <v>50.023000000000003</v>
      </c>
      <c r="AD91" s="89">
        <v>50.034999999999997</v>
      </c>
      <c r="AE91" s="89">
        <v>50.055</v>
      </c>
      <c r="AF91" s="89">
        <v>50.005000000000003</v>
      </c>
      <c r="AG91" s="90"/>
      <c r="AH91" s="48">
        <f t="shared" si="9"/>
        <v>50.081000000000003</v>
      </c>
      <c r="AI91" s="49">
        <f t="shared" si="10"/>
        <v>49.805</v>
      </c>
    </row>
    <row r="92" spans="1:37" x14ac:dyDescent="0.25">
      <c r="A92" s="91" t="s">
        <v>97</v>
      </c>
      <c r="B92" s="65">
        <v>128</v>
      </c>
      <c r="C92" s="65">
        <v>128</v>
      </c>
      <c r="D92" s="65">
        <v>129</v>
      </c>
      <c r="E92" s="65">
        <v>129.6</v>
      </c>
      <c r="F92" s="65">
        <v>129.6</v>
      </c>
      <c r="G92" s="65">
        <v>128.80000000000001</v>
      </c>
      <c r="H92" s="65">
        <v>128</v>
      </c>
      <c r="I92" s="65">
        <v>128</v>
      </c>
      <c r="J92" s="65">
        <v>127.1</v>
      </c>
      <c r="K92" s="65">
        <v>126.4</v>
      </c>
      <c r="L92" s="65">
        <v>125.9</v>
      </c>
      <c r="M92" s="65">
        <v>126.7</v>
      </c>
      <c r="N92" s="65">
        <v>127</v>
      </c>
      <c r="O92" s="65">
        <v>126.5</v>
      </c>
      <c r="P92" s="65">
        <v>126.5</v>
      </c>
      <c r="Q92" s="65">
        <v>126.5</v>
      </c>
      <c r="R92" s="65">
        <v>127.3</v>
      </c>
      <c r="S92" s="65">
        <v>128.19999999999999</v>
      </c>
      <c r="T92" s="65">
        <v>127.8</v>
      </c>
      <c r="U92" s="65">
        <v>127</v>
      </c>
      <c r="V92" s="65">
        <v>126.2</v>
      </c>
      <c r="W92" s="65">
        <v>126.7</v>
      </c>
      <c r="X92" s="65">
        <v>125.2</v>
      </c>
      <c r="Y92" s="65">
        <v>126.1</v>
      </c>
      <c r="Z92" s="65">
        <v>127</v>
      </c>
      <c r="AA92" s="65">
        <v>125.6</v>
      </c>
      <c r="AB92" s="65">
        <v>127.5</v>
      </c>
      <c r="AC92" s="65">
        <v>127.5</v>
      </c>
      <c r="AD92" s="65">
        <v>128.5</v>
      </c>
      <c r="AE92" s="65">
        <v>128.4</v>
      </c>
      <c r="AF92" s="65">
        <v>128.30000000000001</v>
      </c>
      <c r="AG92" s="92"/>
      <c r="AH92" s="48">
        <f t="shared" si="9"/>
        <v>129.6</v>
      </c>
      <c r="AI92" s="49">
        <f t="shared" si="10"/>
        <v>125.2</v>
      </c>
    </row>
    <row r="93" spans="1:37" x14ac:dyDescent="0.25">
      <c r="A93" s="91" t="s">
        <v>98</v>
      </c>
      <c r="B93" s="65">
        <v>132</v>
      </c>
      <c r="C93" s="65">
        <v>132</v>
      </c>
      <c r="D93" s="65">
        <v>132</v>
      </c>
      <c r="E93" s="65">
        <v>133.1</v>
      </c>
      <c r="F93" s="65">
        <v>133</v>
      </c>
      <c r="G93" s="65">
        <v>132.4</v>
      </c>
      <c r="H93" s="65">
        <v>131.69999999999999</v>
      </c>
      <c r="I93" s="65">
        <v>131.4</v>
      </c>
      <c r="J93" s="65">
        <v>130</v>
      </c>
      <c r="K93" s="65">
        <v>129.5</v>
      </c>
      <c r="L93" s="65">
        <v>128.9</v>
      </c>
      <c r="M93" s="65">
        <v>129.80000000000001</v>
      </c>
      <c r="N93" s="65">
        <v>129.9</v>
      </c>
      <c r="O93" s="65">
        <v>129.69999999999999</v>
      </c>
      <c r="P93" s="65">
        <v>129.69999999999999</v>
      </c>
      <c r="Q93" s="65">
        <v>129.69999999999999</v>
      </c>
      <c r="R93" s="65">
        <v>131.6</v>
      </c>
      <c r="S93" s="65">
        <v>131.9</v>
      </c>
      <c r="T93" s="65">
        <v>131.6</v>
      </c>
      <c r="U93" s="65">
        <v>131</v>
      </c>
      <c r="V93" s="65">
        <v>130.5</v>
      </c>
      <c r="W93" s="65">
        <v>130.80000000000001</v>
      </c>
      <c r="X93" s="65">
        <v>129.1</v>
      </c>
      <c r="Y93" s="65">
        <v>129.6</v>
      </c>
      <c r="Z93" s="65">
        <v>130.19999999999999</v>
      </c>
      <c r="AA93" s="65">
        <v>129.1</v>
      </c>
      <c r="AB93" s="65">
        <v>130.9</v>
      </c>
      <c r="AC93" s="65">
        <v>131</v>
      </c>
      <c r="AD93" s="65">
        <v>132.19999999999999</v>
      </c>
      <c r="AE93" s="65">
        <v>132.4</v>
      </c>
      <c r="AF93" s="65">
        <v>132.4</v>
      </c>
      <c r="AG93" s="92"/>
      <c r="AH93" s="48">
        <f t="shared" si="9"/>
        <v>133.1</v>
      </c>
      <c r="AI93" s="49">
        <f t="shared" si="10"/>
        <v>128.9</v>
      </c>
    </row>
    <row r="94" spans="1:37" x14ac:dyDescent="0.25">
      <c r="A94" s="91" t="s">
        <v>99</v>
      </c>
      <c r="B94" s="65">
        <v>132.80000000000001</v>
      </c>
      <c r="C94" s="65">
        <v>132.80000000000001</v>
      </c>
      <c r="D94" s="65">
        <v>133</v>
      </c>
      <c r="E94" s="65">
        <v>133.6</v>
      </c>
      <c r="F94" s="65">
        <v>133.1</v>
      </c>
      <c r="G94" s="65">
        <v>132.6</v>
      </c>
      <c r="H94" s="65">
        <v>132.19999999999999</v>
      </c>
      <c r="I94" s="65">
        <v>131.19999999999999</v>
      </c>
      <c r="J94" s="65">
        <v>130.1</v>
      </c>
      <c r="K94" s="65">
        <v>129.80000000000001</v>
      </c>
      <c r="L94" s="65">
        <v>129.5</v>
      </c>
      <c r="M94" s="65">
        <v>129.5</v>
      </c>
      <c r="N94" s="65">
        <v>129</v>
      </c>
      <c r="O94" s="65">
        <v>129.6</v>
      </c>
      <c r="P94" s="65">
        <v>129.6</v>
      </c>
      <c r="Q94" s="65">
        <v>129.6</v>
      </c>
      <c r="R94" s="65">
        <v>130.9</v>
      </c>
      <c r="S94" s="65">
        <v>131.1</v>
      </c>
      <c r="T94" s="65">
        <v>133</v>
      </c>
      <c r="U94" s="65">
        <v>130.6</v>
      </c>
      <c r="V94" s="65">
        <v>129.80000000000001</v>
      </c>
      <c r="W94" s="65">
        <v>129</v>
      </c>
      <c r="X94" s="65">
        <v>129.19999999999999</v>
      </c>
      <c r="Y94" s="65">
        <v>129.69999999999999</v>
      </c>
      <c r="Z94" s="65">
        <v>130.19999999999999</v>
      </c>
      <c r="AA94" s="65">
        <v>129.69999999999999</v>
      </c>
      <c r="AB94" s="65">
        <v>130.9</v>
      </c>
      <c r="AC94" s="65">
        <v>131.1</v>
      </c>
      <c r="AD94" s="65">
        <v>131.80000000000001</v>
      </c>
      <c r="AE94" s="65">
        <v>132.30000000000001</v>
      </c>
      <c r="AF94" s="65">
        <v>131</v>
      </c>
      <c r="AG94" s="92"/>
      <c r="AH94" s="48">
        <f t="shared" si="9"/>
        <v>133.6</v>
      </c>
      <c r="AI94" s="49">
        <f t="shared" si="10"/>
        <v>129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9"/>
        <v>0</v>
      </c>
      <c r="AI95" s="49">
        <f t="shared" si="10"/>
        <v>0</v>
      </c>
    </row>
    <row r="96" spans="1:37" x14ac:dyDescent="0.25">
      <c r="A96" s="93" t="s">
        <v>101</v>
      </c>
      <c r="B96" s="94">
        <v>136</v>
      </c>
      <c r="C96" s="94">
        <v>136</v>
      </c>
      <c r="D96" s="94">
        <v>134.5</v>
      </c>
      <c r="E96" s="94">
        <v>134.6</v>
      </c>
      <c r="F96" s="94">
        <v>134.4</v>
      </c>
      <c r="G96" s="94">
        <v>134.5</v>
      </c>
      <c r="H96" s="94">
        <v>133.4</v>
      </c>
      <c r="I96" s="94">
        <v>134.4</v>
      </c>
      <c r="J96" s="94">
        <v>133.30000000000001</v>
      </c>
      <c r="K96" s="94">
        <v>133.1</v>
      </c>
      <c r="L96" s="94">
        <v>131.9</v>
      </c>
      <c r="M96" s="94">
        <v>134.5</v>
      </c>
      <c r="N96" s="94">
        <v>134.80000000000001</v>
      </c>
      <c r="O96" s="94">
        <v>134.80000000000001</v>
      </c>
      <c r="P96" s="94">
        <v>134.80000000000001</v>
      </c>
      <c r="Q96" s="94">
        <v>134.80000000000001</v>
      </c>
      <c r="R96" s="94">
        <v>135.1</v>
      </c>
      <c r="S96" s="94">
        <v>134.6</v>
      </c>
      <c r="T96" s="94">
        <v>133.9</v>
      </c>
      <c r="U96" s="94">
        <v>133.69999999999999</v>
      </c>
      <c r="V96" s="94">
        <v>133.80000000000001</v>
      </c>
      <c r="W96" s="94">
        <v>135</v>
      </c>
      <c r="X96" s="94">
        <v>132.5</v>
      </c>
      <c r="Y96" s="94">
        <v>132.1</v>
      </c>
      <c r="Z96" s="94">
        <v>132.69999999999999</v>
      </c>
      <c r="AA96" s="94">
        <v>131.6</v>
      </c>
      <c r="AB96" s="94">
        <v>135.4</v>
      </c>
      <c r="AC96" s="94">
        <v>135.69999999999999</v>
      </c>
      <c r="AD96" s="94">
        <v>136.5</v>
      </c>
      <c r="AE96" s="94">
        <v>132.80000000000001</v>
      </c>
      <c r="AF96" s="94">
        <v>132.6</v>
      </c>
      <c r="AG96" s="95"/>
      <c r="AH96" s="48">
        <f t="shared" si="9"/>
        <v>136.5</v>
      </c>
      <c r="AI96" s="49">
        <f t="shared" si="10"/>
        <v>131.6</v>
      </c>
    </row>
    <row r="97" spans="1:37" x14ac:dyDescent="0.25">
      <c r="A97" s="91" t="s">
        <v>102</v>
      </c>
      <c r="B97" s="65">
        <v>135</v>
      </c>
      <c r="C97" s="65">
        <v>135</v>
      </c>
      <c r="D97" s="65">
        <v>135</v>
      </c>
      <c r="E97" s="65">
        <v>135.4</v>
      </c>
      <c r="F97" s="65">
        <v>135.30000000000001</v>
      </c>
      <c r="G97" s="65">
        <v>135.19999999999999</v>
      </c>
      <c r="H97" s="65">
        <v>134</v>
      </c>
      <c r="I97" s="65">
        <v>133.30000000000001</v>
      </c>
      <c r="J97" s="65">
        <v>131.6</v>
      </c>
      <c r="K97" s="65">
        <v>131.69999999999999</v>
      </c>
      <c r="L97" s="65">
        <v>130.69999999999999</v>
      </c>
      <c r="M97" s="65">
        <v>132.6</v>
      </c>
      <c r="N97" s="65">
        <v>132.69999999999999</v>
      </c>
      <c r="O97" s="65">
        <v>132.30000000000001</v>
      </c>
      <c r="P97" s="65">
        <v>132.30000000000001</v>
      </c>
      <c r="Q97" s="65">
        <v>132.30000000000001</v>
      </c>
      <c r="R97" s="65">
        <v>1348</v>
      </c>
      <c r="S97" s="65">
        <v>134.30000000000001</v>
      </c>
      <c r="T97" s="65">
        <v>134</v>
      </c>
      <c r="U97" s="65">
        <v>133.9</v>
      </c>
      <c r="V97" s="65">
        <v>133.5</v>
      </c>
      <c r="W97" s="65">
        <v>134</v>
      </c>
      <c r="X97" s="65">
        <v>130</v>
      </c>
      <c r="Y97" s="65">
        <v>130.9</v>
      </c>
      <c r="Z97" s="65">
        <v>132.19999999999999</v>
      </c>
      <c r="AA97" s="65">
        <v>130.30000000000001</v>
      </c>
      <c r="AB97" s="65">
        <v>135.1</v>
      </c>
      <c r="AC97" s="65">
        <v>135.30000000000001</v>
      </c>
      <c r="AD97" s="65">
        <v>134.1</v>
      </c>
      <c r="AE97" s="65">
        <v>131.5</v>
      </c>
      <c r="AF97" s="65">
        <v>132</v>
      </c>
      <c r="AG97" s="92"/>
      <c r="AH97" s="48">
        <f t="shared" si="9"/>
        <v>1348</v>
      </c>
      <c r="AI97" s="49">
        <f t="shared" si="10"/>
        <v>130</v>
      </c>
    </row>
    <row r="98" spans="1:37" ht="15.75" thickBot="1" x14ac:dyDescent="0.3">
      <c r="A98" s="91" t="s">
        <v>103</v>
      </c>
      <c r="B98" s="96">
        <v>66.7</v>
      </c>
      <c r="C98" s="96">
        <v>66.7</v>
      </c>
      <c r="D98" s="96">
        <v>66.900000000000006</v>
      </c>
      <c r="E98" s="96">
        <v>67.099999999999994</v>
      </c>
      <c r="F98" s="96">
        <v>67</v>
      </c>
      <c r="G98" s="96">
        <v>66.7</v>
      </c>
      <c r="H98" s="96">
        <v>66.3</v>
      </c>
      <c r="I98" s="96">
        <v>66</v>
      </c>
      <c r="J98" s="96">
        <v>65.2</v>
      </c>
      <c r="K98" s="96">
        <v>65.099999999999994</v>
      </c>
      <c r="L98" s="96">
        <v>64.7</v>
      </c>
      <c r="M98" s="96">
        <v>65.5</v>
      </c>
      <c r="N98" s="96">
        <v>65.7</v>
      </c>
      <c r="O98" s="96">
        <v>65.5</v>
      </c>
      <c r="P98" s="96">
        <v>65.5</v>
      </c>
      <c r="Q98" s="96">
        <v>65.5</v>
      </c>
      <c r="R98" s="96">
        <v>66.400000000000006</v>
      </c>
      <c r="S98" s="96">
        <v>66.599999999999994</v>
      </c>
      <c r="T98" s="96">
        <v>65.900000000000006</v>
      </c>
      <c r="U98" s="96">
        <v>66</v>
      </c>
      <c r="V98" s="96">
        <v>65.900000000000006</v>
      </c>
      <c r="W98" s="96">
        <v>66</v>
      </c>
      <c r="X98" s="96">
        <v>65</v>
      </c>
      <c r="Y98" s="96">
        <v>65.5</v>
      </c>
      <c r="Z98" s="96">
        <v>65.8</v>
      </c>
      <c r="AA98" s="96">
        <v>65.2</v>
      </c>
      <c r="AB98" s="96">
        <v>66.3</v>
      </c>
      <c r="AC98" s="96">
        <v>66.400000000000006</v>
      </c>
      <c r="AD98" s="96">
        <v>66.900000000000006</v>
      </c>
      <c r="AE98" s="96">
        <v>67.099999999999994</v>
      </c>
      <c r="AF98" s="96">
        <v>67</v>
      </c>
      <c r="AG98" s="97"/>
      <c r="AH98" s="48">
        <f t="shared" si="9"/>
        <v>67.099999999999994</v>
      </c>
      <c r="AI98" s="49">
        <f t="shared" si="10"/>
        <v>64.7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9"/>
        <v>0</v>
      </c>
      <c r="AI99" s="49">
        <f t="shared" si="10"/>
        <v>0</v>
      </c>
    </row>
    <row r="100" spans="1:37" ht="15.75" thickBot="1" x14ac:dyDescent="0.3">
      <c r="A100" s="99" t="s">
        <v>104</v>
      </c>
      <c r="B100" s="100">
        <f t="shared" ref="B100:AF100" si="21">SUM(B15,B20,B22:B23,B48,B50:B51,B53,B55,B101:B105,B127,B133,B139,B148,B150,B162,B169,B172:B173,B180,B182,B184,B188:B190,B192:B194,B199,B205:B206,B208:B210,B218,B223)</f>
        <v>81.000000000000028</v>
      </c>
      <c r="C100" s="100">
        <f t="shared" si="21"/>
        <v>75.840000000000018</v>
      </c>
      <c r="D100" s="100">
        <f t="shared" si="21"/>
        <v>74.44</v>
      </c>
      <c r="E100" s="100">
        <f t="shared" si="21"/>
        <v>72.239999999999995</v>
      </c>
      <c r="F100" s="100">
        <f t="shared" si="21"/>
        <v>69.940000000000026</v>
      </c>
      <c r="G100" s="100">
        <f t="shared" si="21"/>
        <v>89.639999999999986</v>
      </c>
      <c r="H100" s="100">
        <f t="shared" si="21"/>
        <v>105.34000000000003</v>
      </c>
      <c r="I100" s="100">
        <f t="shared" si="21"/>
        <v>118.64</v>
      </c>
      <c r="J100" s="100">
        <f t="shared" si="21"/>
        <v>135.44</v>
      </c>
      <c r="K100" s="100">
        <f t="shared" si="21"/>
        <v>136.53999999999996</v>
      </c>
      <c r="L100" s="100">
        <f t="shared" si="21"/>
        <v>132.04000000000002</v>
      </c>
      <c r="M100" s="100">
        <f t="shared" si="21"/>
        <v>139.04</v>
      </c>
      <c r="N100" s="100">
        <f t="shared" si="21"/>
        <v>134.54000000000002</v>
      </c>
      <c r="O100" s="100">
        <f t="shared" si="21"/>
        <v>126.44</v>
      </c>
      <c r="P100" s="100">
        <f t="shared" si="21"/>
        <v>126.44</v>
      </c>
      <c r="Q100" s="100">
        <f t="shared" si="21"/>
        <v>125.5</v>
      </c>
      <c r="R100" s="100">
        <f t="shared" si="21"/>
        <v>88.800000000000011</v>
      </c>
      <c r="S100" s="100">
        <f t="shared" si="21"/>
        <v>59.199999999999989</v>
      </c>
      <c r="T100" s="100">
        <f t="shared" si="21"/>
        <v>78.300000000000011</v>
      </c>
      <c r="U100" s="100">
        <f t="shared" si="21"/>
        <v>93.600000000000023</v>
      </c>
      <c r="V100" s="100">
        <f t="shared" si="21"/>
        <v>103.50000000000001</v>
      </c>
      <c r="W100" s="100">
        <f t="shared" si="21"/>
        <v>117.70000000000002</v>
      </c>
      <c r="X100" s="100">
        <f t="shared" si="21"/>
        <v>174.49999999999997</v>
      </c>
      <c r="Y100" s="100">
        <f t="shared" si="21"/>
        <v>172.89999999999998</v>
      </c>
      <c r="Z100" s="100">
        <f t="shared" si="21"/>
        <v>178.79999999999998</v>
      </c>
      <c r="AA100" s="100">
        <f t="shared" si="21"/>
        <v>178.79999999999998</v>
      </c>
      <c r="AB100" s="100">
        <f t="shared" si="21"/>
        <v>175.99999999999997</v>
      </c>
      <c r="AC100" s="100">
        <f t="shared" si="21"/>
        <v>167.79999999999998</v>
      </c>
      <c r="AD100" s="100">
        <f t="shared" si="21"/>
        <v>157.80000000000001</v>
      </c>
      <c r="AE100" s="100">
        <f t="shared" si="21"/>
        <v>108.60000000000001</v>
      </c>
      <c r="AF100" s="100">
        <f t="shared" si="21"/>
        <v>161.60000000000002</v>
      </c>
      <c r="AG100" s="101"/>
      <c r="AH100" s="48">
        <f t="shared" si="9"/>
        <v>178.79999999999998</v>
      </c>
      <c r="AI100" s="49">
        <f t="shared" si="10"/>
        <v>59.199999999999989</v>
      </c>
    </row>
    <row r="101" spans="1:37" x14ac:dyDescent="0.25">
      <c r="A101" s="88" t="s">
        <v>105</v>
      </c>
      <c r="B101" s="102">
        <v>37.200000000000003</v>
      </c>
      <c r="C101" s="102">
        <v>37.200000000000003</v>
      </c>
      <c r="D101" s="102">
        <v>37.6</v>
      </c>
      <c r="E101" s="102">
        <v>36</v>
      </c>
      <c r="F101" s="102">
        <v>36.5</v>
      </c>
      <c r="G101" s="102">
        <v>38.1</v>
      </c>
      <c r="H101" s="102">
        <v>42.8</v>
      </c>
      <c r="I101" s="102">
        <v>43.1</v>
      </c>
      <c r="J101" s="102">
        <v>46.1</v>
      </c>
      <c r="K101" s="102">
        <v>49</v>
      </c>
      <c r="L101" s="102">
        <v>51.7</v>
      </c>
      <c r="M101" s="102">
        <v>50.2</v>
      </c>
      <c r="N101" s="102">
        <v>49.1</v>
      </c>
      <c r="O101" s="102">
        <v>49.9</v>
      </c>
      <c r="P101" s="102">
        <v>49.9</v>
      </c>
      <c r="Q101" s="102">
        <v>49.9</v>
      </c>
      <c r="R101" s="102">
        <v>36.799999999999997</v>
      </c>
      <c r="S101" s="102">
        <v>32.799999999999997</v>
      </c>
      <c r="T101" s="102">
        <v>34</v>
      </c>
      <c r="U101" s="102">
        <v>38.5</v>
      </c>
      <c r="V101" s="102">
        <v>41.3</v>
      </c>
      <c r="W101" s="102">
        <v>43.4</v>
      </c>
      <c r="X101" s="102">
        <v>53.5</v>
      </c>
      <c r="Y101" s="102">
        <v>50.1</v>
      </c>
      <c r="Z101" s="102">
        <v>51.1</v>
      </c>
      <c r="AA101" s="102">
        <v>51.1</v>
      </c>
      <c r="AB101" s="102">
        <v>52.8</v>
      </c>
      <c r="AC101" s="102">
        <v>50.6</v>
      </c>
      <c r="AD101" s="102">
        <v>46.6</v>
      </c>
      <c r="AE101" s="102">
        <v>41.8</v>
      </c>
      <c r="AF101" s="102">
        <v>41.5</v>
      </c>
      <c r="AG101" s="103">
        <v>75</v>
      </c>
      <c r="AH101" s="48">
        <f t="shared" si="9"/>
        <v>53.5</v>
      </c>
      <c r="AI101" s="49">
        <f t="shared" si="10"/>
        <v>32.799999999999997</v>
      </c>
    </row>
    <row r="102" spans="1:37" x14ac:dyDescent="0.25">
      <c r="A102" s="91" t="s">
        <v>106</v>
      </c>
      <c r="B102" s="104">
        <v>55.3</v>
      </c>
      <c r="C102" s="104">
        <v>55.3</v>
      </c>
      <c r="D102" s="104">
        <v>56.3</v>
      </c>
      <c r="E102" s="104">
        <v>54.2</v>
      </c>
      <c r="F102" s="104">
        <v>54.7</v>
      </c>
      <c r="G102" s="104">
        <v>57</v>
      </c>
      <c r="H102" s="104">
        <v>61.8</v>
      </c>
      <c r="I102" s="104">
        <v>61</v>
      </c>
      <c r="J102" s="104">
        <v>66.2</v>
      </c>
      <c r="K102" s="104">
        <v>70</v>
      </c>
      <c r="L102" s="104">
        <v>73.7</v>
      </c>
      <c r="M102" s="104">
        <v>71.599999999999994</v>
      </c>
      <c r="N102" s="104">
        <v>70.2</v>
      </c>
      <c r="O102" s="104">
        <v>71.599999999999994</v>
      </c>
      <c r="P102" s="104">
        <v>71.599999999999994</v>
      </c>
      <c r="Q102" s="104">
        <v>71.599999999999994</v>
      </c>
      <c r="R102" s="104">
        <v>55.1</v>
      </c>
      <c r="S102" s="104">
        <v>48.8</v>
      </c>
      <c r="T102" s="104">
        <v>51</v>
      </c>
      <c r="U102" s="104">
        <v>56.8</v>
      </c>
      <c r="V102" s="104">
        <v>60.9</v>
      </c>
      <c r="W102" s="104">
        <v>63</v>
      </c>
      <c r="X102" s="104">
        <v>76</v>
      </c>
      <c r="Y102" s="104">
        <v>71.3</v>
      </c>
      <c r="Z102" s="104">
        <v>71.900000000000006</v>
      </c>
      <c r="AA102" s="104">
        <v>71.900000000000006</v>
      </c>
      <c r="AB102" s="104">
        <v>74.2</v>
      </c>
      <c r="AC102" s="104">
        <v>72</v>
      </c>
      <c r="AD102" s="104">
        <v>65.5</v>
      </c>
      <c r="AE102" s="104">
        <v>60.8</v>
      </c>
      <c r="AF102" s="104"/>
      <c r="AG102" s="103">
        <v>240</v>
      </c>
      <c r="AH102" s="48">
        <f t="shared" si="9"/>
        <v>76</v>
      </c>
      <c r="AI102" s="49">
        <f t="shared" si="10"/>
        <v>48.8</v>
      </c>
    </row>
    <row r="103" spans="1:37" x14ac:dyDescent="0.25">
      <c r="A103" s="91" t="s">
        <v>107</v>
      </c>
      <c r="B103" s="104">
        <v>-125</v>
      </c>
      <c r="C103" s="104">
        <v>-130</v>
      </c>
      <c r="D103" s="104">
        <v>-133</v>
      </c>
      <c r="E103" s="104">
        <f>-63.8-67.6</f>
        <v>-131.39999999999998</v>
      </c>
      <c r="F103" s="104">
        <f>-63.6-67.1</f>
        <v>-130.69999999999999</v>
      </c>
      <c r="G103" s="104">
        <f>-64-67.8</f>
        <v>-131.80000000000001</v>
      </c>
      <c r="H103" s="104">
        <f>-64.5-68</f>
        <v>-132.5</v>
      </c>
      <c r="I103" s="104">
        <f>-60.2-64.6</f>
        <v>-124.8</v>
      </c>
      <c r="J103" s="104">
        <f>-60.2-64.5</f>
        <v>-124.7</v>
      </c>
      <c r="K103" s="104">
        <f>-63.6-66.8</f>
        <v>-130.4</v>
      </c>
      <c r="L103" s="104">
        <f>-62.4-65.6</f>
        <v>-128</v>
      </c>
      <c r="M103" s="104">
        <v>-125</v>
      </c>
      <c r="N103" s="104">
        <v>-131</v>
      </c>
      <c r="O103" s="104">
        <v>-140</v>
      </c>
      <c r="P103" s="104">
        <v>-140</v>
      </c>
      <c r="Q103" s="104">
        <v>-140</v>
      </c>
      <c r="R103" s="104">
        <v>-139</v>
      </c>
      <c r="S103" s="104">
        <v>-128</v>
      </c>
      <c r="T103" s="104">
        <v>-130</v>
      </c>
      <c r="U103" s="104">
        <v>-125</v>
      </c>
      <c r="V103" s="104">
        <f>-61.4-65.6</f>
        <v>-127</v>
      </c>
      <c r="W103" s="104">
        <f>-62.1-66</f>
        <v>-128.1</v>
      </c>
      <c r="X103" s="104">
        <f>-56.7-60.1</f>
        <v>-116.80000000000001</v>
      </c>
      <c r="Y103" s="104">
        <f>-55.5-59.6</f>
        <v>-115.1</v>
      </c>
      <c r="Z103" s="104">
        <f>-51.7-55.1</f>
        <v>-106.80000000000001</v>
      </c>
      <c r="AA103" s="104">
        <f>-51.7-55.1</f>
        <v>-106.80000000000001</v>
      </c>
      <c r="AB103" s="104">
        <f>-56.7-60.4</f>
        <v>-117.1</v>
      </c>
      <c r="AC103" s="104">
        <f>-58.1-62</f>
        <v>-120.1</v>
      </c>
      <c r="AD103" s="104">
        <f>-58-61.2</f>
        <v>-119.2</v>
      </c>
      <c r="AE103" s="104">
        <f>-62.6-65.9</f>
        <v>-128.5</v>
      </c>
      <c r="AF103" s="104"/>
      <c r="AG103" s="103">
        <v>240</v>
      </c>
      <c r="AH103" s="48">
        <f t="shared" si="9"/>
        <v>-106.80000000000001</v>
      </c>
      <c r="AI103" s="49">
        <f t="shared" si="10"/>
        <v>-140</v>
      </c>
    </row>
    <row r="104" spans="1:37" x14ac:dyDescent="0.25">
      <c r="A104" s="91" t="s">
        <v>108</v>
      </c>
      <c r="B104" s="104">
        <v>-2.6</v>
      </c>
      <c r="C104" s="104">
        <v>-2.2000000000000002</v>
      </c>
      <c r="D104" s="104">
        <v>-2</v>
      </c>
      <c r="E104" s="104">
        <v>-2.2000000000000002</v>
      </c>
      <c r="F104" s="104">
        <v>-1.6</v>
      </c>
      <c r="G104" s="104">
        <v>-0.9</v>
      </c>
      <c r="H104" s="104">
        <v>0</v>
      </c>
      <c r="I104" s="104">
        <v>1.1000000000000001</v>
      </c>
      <c r="J104" s="104">
        <v>0.5</v>
      </c>
      <c r="K104" s="104">
        <v>0.6</v>
      </c>
      <c r="L104" s="104">
        <v>2.2999999999999998</v>
      </c>
      <c r="M104" s="104">
        <v>2.1</v>
      </c>
      <c r="N104" s="104">
        <v>3.3</v>
      </c>
      <c r="O104" s="104">
        <v>0</v>
      </c>
      <c r="P104" s="104">
        <v>0</v>
      </c>
      <c r="Q104" s="104">
        <v>0</v>
      </c>
      <c r="R104" s="104">
        <v>-2.4</v>
      </c>
      <c r="S104" s="104">
        <v>0</v>
      </c>
      <c r="T104" s="104">
        <v>0</v>
      </c>
      <c r="U104" s="104">
        <v>0</v>
      </c>
      <c r="V104" s="104">
        <v>-0.2</v>
      </c>
      <c r="W104" s="104">
        <v>2</v>
      </c>
      <c r="X104" s="104">
        <v>9.1</v>
      </c>
      <c r="Y104" s="104">
        <v>10.1</v>
      </c>
      <c r="Z104" s="104">
        <v>11.1</v>
      </c>
      <c r="AA104" s="104">
        <v>11.1</v>
      </c>
      <c r="AB104" s="104">
        <v>6</v>
      </c>
      <c r="AC104" s="104">
        <v>5.2</v>
      </c>
      <c r="AD104" s="104">
        <v>4.8</v>
      </c>
      <c r="AE104" s="104">
        <v>2.2999999999999998</v>
      </c>
      <c r="AF104" s="104"/>
      <c r="AG104" s="103">
        <v>60</v>
      </c>
      <c r="AH104" s="48">
        <f t="shared" si="9"/>
        <v>11.1</v>
      </c>
      <c r="AI104" s="49">
        <f t="shared" si="10"/>
        <v>-2.6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0</v>
      </c>
      <c r="Y105" s="106">
        <v>0</v>
      </c>
      <c r="Z105" s="106">
        <v>0</v>
      </c>
      <c r="AA105" s="106">
        <v>0</v>
      </c>
      <c r="AB105" s="106">
        <v>0</v>
      </c>
      <c r="AC105" s="106">
        <v>0</v>
      </c>
      <c r="AD105" s="106">
        <v>0</v>
      </c>
      <c r="AE105" s="106">
        <v>0</v>
      </c>
      <c r="AF105" s="106"/>
      <c r="AG105" s="107">
        <v>120</v>
      </c>
      <c r="AH105" s="48">
        <f t="shared" si="9"/>
        <v>0</v>
      </c>
      <c r="AI105" s="49">
        <f t="shared" si="10"/>
        <v>0</v>
      </c>
    </row>
    <row r="106" spans="1:37" x14ac:dyDescent="0.25">
      <c r="A106" s="105" t="s">
        <v>110</v>
      </c>
      <c r="B106" s="106">
        <v>-40</v>
      </c>
      <c r="C106" s="106">
        <v>-46.2</v>
      </c>
      <c r="D106" s="106">
        <v>-49.9</v>
      </c>
      <c r="E106" s="106">
        <v>-48.9</v>
      </c>
      <c r="F106" s="106">
        <v>-48.6</v>
      </c>
      <c r="G106" s="106">
        <v>-45.7</v>
      </c>
      <c r="H106" s="106">
        <v>-43.7</v>
      </c>
      <c r="I106" s="106">
        <v>-41.5</v>
      </c>
      <c r="J106" s="106">
        <v>-44</v>
      </c>
      <c r="K106" s="106">
        <v>-48.9</v>
      </c>
      <c r="L106" s="106">
        <v>-48.2</v>
      </c>
      <c r="M106" s="106">
        <v>-49.3</v>
      </c>
      <c r="N106" s="106">
        <v>-53.6</v>
      </c>
      <c r="O106" s="106">
        <v>-59.9</v>
      </c>
      <c r="P106" s="106">
        <v>-59.9</v>
      </c>
      <c r="Q106" s="106">
        <v>-59.9</v>
      </c>
      <c r="R106" s="106">
        <v>-60</v>
      </c>
      <c r="S106" s="106">
        <v>-48</v>
      </c>
      <c r="T106" s="106">
        <v>-48</v>
      </c>
      <c r="U106" s="106">
        <v>-50.7</v>
      </c>
      <c r="V106" s="106">
        <v>-48.5</v>
      </c>
      <c r="W106" s="106">
        <v>-49.1</v>
      </c>
      <c r="X106" s="106">
        <v>-37.1</v>
      </c>
      <c r="Y106" s="106">
        <v>-35.5</v>
      </c>
      <c r="Z106" s="106">
        <v>-28.2</v>
      </c>
      <c r="AA106" s="106">
        <v>-28.2</v>
      </c>
      <c r="AB106" s="106">
        <v>-36.4</v>
      </c>
      <c r="AC106" s="106">
        <v>-38</v>
      </c>
      <c r="AD106" s="106">
        <v>-41.1</v>
      </c>
      <c r="AE106" s="106">
        <v>-44</v>
      </c>
      <c r="AF106" s="106"/>
      <c r="AG106" s="107"/>
      <c r="AH106" s="48">
        <f t="shared" si="9"/>
        <v>-28.2</v>
      </c>
      <c r="AI106" s="49">
        <f t="shared" si="10"/>
        <v>-60</v>
      </c>
    </row>
    <row r="107" spans="1:37" x14ac:dyDescent="0.25">
      <c r="A107" s="105" t="s">
        <v>111</v>
      </c>
      <c r="B107" s="106">
        <v>-52</v>
      </c>
      <c r="C107" s="106">
        <v>-44.9</v>
      </c>
      <c r="D107" s="106">
        <v>-49.8</v>
      </c>
      <c r="E107" s="106">
        <v>-42.5</v>
      </c>
      <c r="F107" s="106">
        <v>-43.7</v>
      </c>
      <c r="G107" s="106">
        <v>-42.8</v>
      </c>
      <c r="H107" s="106">
        <v>-40</v>
      </c>
      <c r="I107" s="106">
        <v>-41.8</v>
      </c>
      <c r="J107" s="106">
        <v>-46.1</v>
      </c>
      <c r="K107" s="106">
        <v>-56.9</v>
      </c>
      <c r="L107" s="106">
        <v>-59.2</v>
      </c>
      <c r="M107" s="106">
        <v>-66.900000000000006</v>
      </c>
      <c r="N107" s="106">
        <v>-65.099999999999994</v>
      </c>
      <c r="O107" s="106">
        <v>-99.1</v>
      </c>
      <c r="P107" s="106">
        <v>-99.1</v>
      </c>
      <c r="Q107" s="106">
        <v>-99.1</v>
      </c>
      <c r="R107" s="106">
        <v>-35.299999999999997</v>
      </c>
      <c r="S107" s="106">
        <v>-24.5</v>
      </c>
      <c r="T107" s="106">
        <v>-35.5</v>
      </c>
      <c r="U107" s="106">
        <v>-44.5</v>
      </c>
      <c r="V107" s="106">
        <v>-53.4</v>
      </c>
      <c r="W107" s="106">
        <v>-46.4</v>
      </c>
      <c r="X107" s="106">
        <v>-58.8</v>
      </c>
      <c r="Y107" s="106">
        <v>-53.8</v>
      </c>
      <c r="Z107" s="106">
        <v>-60.7</v>
      </c>
      <c r="AA107" s="106">
        <v>-60.7</v>
      </c>
      <c r="AB107" s="106">
        <v>-67.2</v>
      </c>
      <c r="AC107" s="106">
        <v>-57</v>
      </c>
      <c r="AD107" s="106">
        <v>-55.8</v>
      </c>
      <c r="AE107" s="106">
        <v>-44.2</v>
      </c>
      <c r="AF107" s="106"/>
      <c r="AG107" s="108"/>
      <c r="AH107" s="48">
        <f t="shared" si="9"/>
        <v>-24.5</v>
      </c>
      <c r="AI107" s="49">
        <f t="shared" si="10"/>
        <v>-99.1</v>
      </c>
    </row>
    <row r="108" spans="1:37" x14ac:dyDescent="0.25">
      <c r="A108" s="109" t="s">
        <v>112</v>
      </c>
      <c r="B108" s="94">
        <v>114</v>
      </c>
      <c r="C108" s="94">
        <v>114.8</v>
      </c>
      <c r="D108" s="94">
        <v>116.3</v>
      </c>
      <c r="E108" s="94">
        <v>117.8</v>
      </c>
      <c r="F108" s="94">
        <v>115.6</v>
      </c>
      <c r="G108" s="94">
        <v>118</v>
      </c>
      <c r="H108" s="94">
        <v>116.4</v>
      </c>
      <c r="I108" s="94">
        <v>118.7</v>
      </c>
      <c r="J108" s="94">
        <v>122.5</v>
      </c>
      <c r="K108" s="94">
        <v>120.7</v>
      </c>
      <c r="L108" s="94">
        <v>120.7</v>
      </c>
      <c r="M108" s="94">
        <v>119</v>
      </c>
      <c r="N108" s="94">
        <v>120</v>
      </c>
      <c r="O108" s="94">
        <v>123.1</v>
      </c>
      <c r="P108" s="94">
        <v>123.1</v>
      </c>
      <c r="Q108" s="94">
        <v>123.1</v>
      </c>
      <c r="R108" s="94">
        <v>110.1</v>
      </c>
      <c r="S108" s="94">
        <v>0</v>
      </c>
      <c r="T108" s="94">
        <v>53.5</v>
      </c>
      <c r="U108" s="94">
        <v>101</v>
      </c>
      <c r="V108" s="94">
        <v>105</v>
      </c>
      <c r="W108" s="94">
        <v>98.1</v>
      </c>
      <c r="X108" s="94">
        <v>78.3</v>
      </c>
      <c r="Y108" s="94">
        <v>80.400000000000006</v>
      </c>
      <c r="Z108" s="94">
        <v>88.9</v>
      </c>
      <c r="AA108" s="94">
        <v>88.9</v>
      </c>
      <c r="AB108" s="94">
        <v>98.2</v>
      </c>
      <c r="AC108" s="94">
        <v>98</v>
      </c>
      <c r="AD108" s="94">
        <v>101</v>
      </c>
      <c r="AE108" s="94">
        <v>107.5</v>
      </c>
      <c r="AF108" s="94"/>
      <c r="AG108" s="108"/>
      <c r="AH108" s="48">
        <f t="shared" si="9"/>
        <v>123.1</v>
      </c>
      <c r="AI108" s="49">
        <f t="shared" si="10"/>
        <v>0</v>
      </c>
    </row>
    <row r="109" spans="1:37" ht="15.75" thickBot="1" x14ac:dyDescent="0.3">
      <c r="A109" s="109" t="s">
        <v>113</v>
      </c>
      <c r="B109" s="94">
        <v>96</v>
      </c>
      <c r="C109" s="94">
        <v>98</v>
      </c>
      <c r="D109" s="94">
        <v>100.2</v>
      </c>
      <c r="E109" s="94">
        <v>97.8</v>
      </c>
      <c r="F109" s="94">
        <v>98.1</v>
      </c>
      <c r="G109" s="94">
        <v>98.3</v>
      </c>
      <c r="H109" s="94">
        <v>99</v>
      </c>
      <c r="I109" s="94">
        <v>97.1</v>
      </c>
      <c r="J109" s="94">
        <v>96</v>
      </c>
      <c r="K109" s="94">
        <v>99.5</v>
      </c>
      <c r="L109" s="94">
        <v>100</v>
      </c>
      <c r="M109" s="94">
        <v>99</v>
      </c>
      <c r="N109" s="94">
        <v>101.8</v>
      </c>
      <c r="O109" s="94">
        <v>106</v>
      </c>
      <c r="P109" s="94">
        <v>106</v>
      </c>
      <c r="Q109" s="94">
        <v>106</v>
      </c>
      <c r="R109" s="94">
        <v>102.3</v>
      </c>
      <c r="S109" s="94">
        <v>99.6</v>
      </c>
      <c r="T109" s="94">
        <v>97</v>
      </c>
      <c r="U109" s="94">
        <v>96.9</v>
      </c>
      <c r="V109" s="94">
        <v>97</v>
      </c>
      <c r="W109" s="94">
        <v>98.7</v>
      </c>
      <c r="X109" s="94">
        <v>96.1</v>
      </c>
      <c r="Y109" s="94">
        <v>93.3</v>
      </c>
      <c r="Z109" s="94">
        <v>85.5</v>
      </c>
      <c r="AA109" s="94">
        <v>85.5</v>
      </c>
      <c r="AB109" s="94">
        <v>93.6</v>
      </c>
      <c r="AC109" s="94">
        <v>95.2</v>
      </c>
      <c r="AD109" s="94">
        <v>92.8</v>
      </c>
      <c r="AE109" s="94">
        <v>96.1</v>
      </c>
      <c r="AF109" s="94"/>
      <c r="AG109" s="108"/>
      <c r="AH109" s="48">
        <f t="shared" si="9"/>
        <v>106</v>
      </c>
      <c r="AI109" s="49">
        <f t="shared" si="10"/>
        <v>85.5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22">SUM(B111:B215)</f>
        <v>0</v>
      </c>
      <c r="C216" s="125">
        <f t="shared" si="22"/>
        <v>0</v>
      </c>
      <c r="D216" s="125">
        <f t="shared" si="22"/>
        <v>0</v>
      </c>
      <c r="E216" s="125">
        <f t="shared" si="22"/>
        <v>0</v>
      </c>
      <c r="F216" s="125">
        <f t="shared" si="22"/>
        <v>0</v>
      </c>
      <c r="G216" s="125">
        <f t="shared" si="22"/>
        <v>0</v>
      </c>
      <c r="H216" s="125">
        <f t="shared" si="22"/>
        <v>0</v>
      </c>
      <c r="I216" s="125">
        <f t="shared" si="22"/>
        <v>0</v>
      </c>
      <c r="J216" s="125">
        <f t="shared" si="22"/>
        <v>0</v>
      </c>
      <c r="K216" s="125">
        <f t="shared" si="22"/>
        <v>0</v>
      </c>
      <c r="L216" s="125">
        <f t="shared" si="22"/>
        <v>0</v>
      </c>
      <c r="M216" s="125">
        <f t="shared" si="22"/>
        <v>0</v>
      </c>
      <c r="N216" s="125">
        <f t="shared" si="22"/>
        <v>0</v>
      </c>
      <c r="O216" s="125">
        <f t="shared" si="22"/>
        <v>0</v>
      </c>
      <c r="P216" s="125">
        <f t="shared" si="22"/>
        <v>0</v>
      </c>
      <c r="Q216" s="125">
        <f t="shared" si="22"/>
        <v>0</v>
      </c>
      <c r="R216" s="125">
        <f t="shared" si="22"/>
        <v>0</v>
      </c>
      <c r="S216" s="125">
        <f t="shared" si="22"/>
        <v>0</v>
      </c>
      <c r="T216" s="125">
        <f t="shared" si="22"/>
        <v>0</v>
      </c>
      <c r="U216" s="125">
        <f t="shared" si="22"/>
        <v>0</v>
      </c>
      <c r="V216" s="125">
        <f t="shared" si="22"/>
        <v>0</v>
      </c>
      <c r="W216" s="125">
        <f t="shared" si="22"/>
        <v>0</v>
      </c>
      <c r="X216" s="125">
        <f t="shared" si="22"/>
        <v>0</v>
      </c>
      <c r="Y216" s="125">
        <f t="shared" si="22"/>
        <v>0</v>
      </c>
      <c r="Z216" s="125">
        <f t="shared" si="22"/>
        <v>0</v>
      </c>
      <c r="AA216" s="125">
        <f t="shared" si="22"/>
        <v>0</v>
      </c>
      <c r="AB216" s="125">
        <f t="shared" si="22"/>
        <v>0</v>
      </c>
      <c r="AC216" s="125">
        <f t="shared" si="22"/>
        <v>0</v>
      </c>
      <c r="AD216" s="125">
        <f t="shared" si="22"/>
        <v>0</v>
      </c>
      <c r="AE216" s="125">
        <f t="shared" si="22"/>
        <v>0</v>
      </c>
      <c r="AF216" s="126">
        <f t="shared" si="22"/>
        <v>0</v>
      </c>
      <c r="AG216" s="127">
        <f t="shared" si="22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23">AF218</f>
        <v>0</v>
      </c>
      <c r="C218" s="129">
        <v>0.3</v>
      </c>
      <c r="D218" s="129">
        <f t="shared" ref="D218:P223" si="24">C218</f>
        <v>0.3</v>
      </c>
      <c r="E218" s="129">
        <f t="shared" si="24"/>
        <v>0.3</v>
      </c>
      <c r="F218" s="129">
        <f t="shared" si="24"/>
        <v>0.3</v>
      </c>
      <c r="G218" s="129">
        <f t="shared" si="24"/>
        <v>0.3</v>
      </c>
      <c r="H218" s="129">
        <f t="shared" si="24"/>
        <v>0.3</v>
      </c>
      <c r="I218" s="129">
        <f t="shared" si="24"/>
        <v>0.3</v>
      </c>
      <c r="J218" s="129">
        <f t="shared" si="24"/>
        <v>0.3</v>
      </c>
      <c r="K218" s="129">
        <f t="shared" si="24"/>
        <v>0.3</v>
      </c>
      <c r="L218" s="129">
        <f t="shared" si="24"/>
        <v>0.3</v>
      </c>
      <c r="M218" s="129">
        <f t="shared" si="24"/>
        <v>0.3</v>
      </c>
      <c r="N218" s="129">
        <f t="shared" si="24"/>
        <v>0.3</v>
      </c>
      <c r="O218" s="129">
        <f t="shared" si="24"/>
        <v>0.3</v>
      </c>
      <c r="P218" s="129">
        <f t="shared" si="24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23"/>
        <v>0</v>
      </c>
      <c r="C219" s="117">
        <v>0.4</v>
      </c>
      <c r="D219" s="117">
        <f t="shared" si="24"/>
        <v>0.4</v>
      </c>
      <c r="E219" s="117">
        <f t="shared" si="24"/>
        <v>0.4</v>
      </c>
      <c r="F219" s="117">
        <f t="shared" si="24"/>
        <v>0.4</v>
      </c>
      <c r="G219" s="117">
        <f t="shared" si="24"/>
        <v>0.4</v>
      </c>
      <c r="H219" s="117">
        <f t="shared" si="24"/>
        <v>0.4</v>
      </c>
      <c r="I219" s="117">
        <f t="shared" si="24"/>
        <v>0.4</v>
      </c>
      <c r="J219" s="117">
        <f t="shared" si="24"/>
        <v>0.4</v>
      </c>
      <c r="K219" s="117">
        <f t="shared" si="24"/>
        <v>0.4</v>
      </c>
      <c r="L219" s="117">
        <f t="shared" si="24"/>
        <v>0.4</v>
      </c>
      <c r="M219" s="117">
        <f t="shared" si="24"/>
        <v>0.4</v>
      </c>
      <c r="N219" s="117">
        <f t="shared" si="24"/>
        <v>0.4</v>
      </c>
      <c r="O219" s="117">
        <f t="shared" si="24"/>
        <v>0.4</v>
      </c>
      <c r="P219" s="117">
        <f t="shared" si="24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23"/>
        <v>0</v>
      </c>
      <c r="C220" s="117">
        <v>1.5</v>
      </c>
      <c r="D220" s="117">
        <f t="shared" si="24"/>
        <v>1.5</v>
      </c>
      <c r="E220" s="117">
        <f t="shared" si="24"/>
        <v>1.5</v>
      </c>
      <c r="F220" s="117">
        <f t="shared" si="24"/>
        <v>1.5</v>
      </c>
      <c r="G220" s="117">
        <f t="shared" si="24"/>
        <v>1.5</v>
      </c>
      <c r="H220" s="117">
        <f t="shared" si="24"/>
        <v>1.5</v>
      </c>
      <c r="I220" s="117">
        <f t="shared" si="24"/>
        <v>1.5</v>
      </c>
      <c r="J220" s="117">
        <f t="shared" si="24"/>
        <v>1.5</v>
      </c>
      <c r="K220" s="117">
        <f t="shared" si="24"/>
        <v>1.5</v>
      </c>
      <c r="L220" s="117">
        <f t="shared" si="24"/>
        <v>1.5</v>
      </c>
      <c r="M220" s="117">
        <f t="shared" si="24"/>
        <v>1.5</v>
      </c>
      <c r="N220" s="117">
        <f t="shared" si="24"/>
        <v>1.5</v>
      </c>
      <c r="O220" s="117">
        <f t="shared" si="24"/>
        <v>1.5</v>
      </c>
      <c r="P220" s="117">
        <f t="shared" si="24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23"/>
        <v>0</v>
      </c>
      <c r="C221" s="117">
        <v>0.3</v>
      </c>
      <c r="D221" s="117">
        <f t="shared" si="24"/>
        <v>0.3</v>
      </c>
      <c r="E221" s="117">
        <f t="shared" si="24"/>
        <v>0.3</v>
      </c>
      <c r="F221" s="117">
        <f t="shared" si="24"/>
        <v>0.3</v>
      </c>
      <c r="G221" s="117">
        <f t="shared" si="24"/>
        <v>0.3</v>
      </c>
      <c r="H221" s="117">
        <f t="shared" si="24"/>
        <v>0.3</v>
      </c>
      <c r="I221" s="117">
        <f t="shared" si="24"/>
        <v>0.3</v>
      </c>
      <c r="J221" s="117">
        <f t="shared" si="24"/>
        <v>0.3</v>
      </c>
      <c r="K221" s="117">
        <f t="shared" si="24"/>
        <v>0.3</v>
      </c>
      <c r="L221" s="117">
        <f t="shared" si="24"/>
        <v>0.3</v>
      </c>
      <c r="M221" s="117">
        <f t="shared" si="24"/>
        <v>0.3</v>
      </c>
      <c r="N221" s="117">
        <f t="shared" si="24"/>
        <v>0.3</v>
      </c>
      <c r="O221" s="117">
        <f t="shared" si="24"/>
        <v>0.3</v>
      </c>
      <c r="P221" s="117">
        <f t="shared" si="24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23"/>
        <v>0</v>
      </c>
      <c r="C222" s="117">
        <v>0.4</v>
      </c>
      <c r="D222" s="117">
        <f t="shared" si="24"/>
        <v>0.4</v>
      </c>
      <c r="E222" s="117">
        <f t="shared" si="24"/>
        <v>0.4</v>
      </c>
      <c r="F222" s="117">
        <f t="shared" si="24"/>
        <v>0.4</v>
      </c>
      <c r="G222" s="117">
        <f t="shared" si="24"/>
        <v>0.4</v>
      </c>
      <c r="H222" s="117">
        <f t="shared" si="24"/>
        <v>0.4</v>
      </c>
      <c r="I222" s="117">
        <f t="shared" si="24"/>
        <v>0.4</v>
      </c>
      <c r="J222" s="117">
        <f t="shared" si="24"/>
        <v>0.4</v>
      </c>
      <c r="K222" s="117">
        <f t="shared" si="24"/>
        <v>0.4</v>
      </c>
      <c r="L222" s="117">
        <f t="shared" si="24"/>
        <v>0.4</v>
      </c>
      <c r="M222" s="117">
        <f t="shared" si="24"/>
        <v>0.4</v>
      </c>
      <c r="N222" s="117">
        <f t="shared" si="24"/>
        <v>0.4</v>
      </c>
      <c r="O222" s="117">
        <f t="shared" si="24"/>
        <v>0.4</v>
      </c>
      <c r="P222" s="117">
        <f t="shared" si="24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23"/>
        <v>0</v>
      </c>
      <c r="C223" s="121">
        <v>0.64</v>
      </c>
      <c r="D223" s="121">
        <f t="shared" si="24"/>
        <v>0.64</v>
      </c>
      <c r="E223" s="121">
        <f t="shared" si="24"/>
        <v>0.64</v>
      </c>
      <c r="F223" s="121">
        <f t="shared" si="24"/>
        <v>0.64</v>
      </c>
      <c r="G223" s="121">
        <f t="shared" si="24"/>
        <v>0.64</v>
      </c>
      <c r="H223" s="121">
        <f t="shared" si="24"/>
        <v>0.64</v>
      </c>
      <c r="I223" s="121">
        <f t="shared" si="24"/>
        <v>0.64</v>
      </c>
      <c r="J223" s="121">
        <f t="shared" si="24"/>
        <v>0.64</v>
      </c>
      <c r="K223" s="121">
        <f t="shared" si="24"/>
        <v>0.64</v>
      </c>
      <c r="L223" s="121">
        <f t="shared" si="24"/>
        <v>0.64</v>
      </c>
      <c r="M223" s="121">
        <f t="shared" si="24"/>
        <v>0.64</v>
      </c>
      <c r="N223" s="121">
        <f t="shared" si="24"/>
        <v>0.64</v>
      </c>
      <c r="O223" s="121">
        <f t="shared" si="24"/>
        <v>0.64</v>
      </c>
      <c r="P223" s="121">
        <f t="shared" si="24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5">SUM(B218:B223)</f>
        <v>0</v>
      </c>
      <c r="C224" s="125">
        <f t="shared" si="25"/>
        <v>3.54</v>
      </c>
      <c r="D224" s="125">
        <f t="shared" si="25"/>
        <v>3.54</v>
      </c>
      <c r="E224" s="125">
        <f t="shared" si="25"/>
        <v>3.54</v>
      </c>
      <c r="F224" s="125">
        <f t="shared" si="25"/>
        <v>3.54</v>
      </c>
      <c r="G224" s="125">
        <f t="shared" si="25"/>
        <v>3.54</v>
      </c>
      <c r="H224" s="125">
        <f t="shared" si="25"/>
        <v>3.54</v>
      </c>
      <c r="I224" s="125">
        <f t="shared" si="25"/>
        <v>3.54</v>
      </c>
      <c r="J224" s="125">
        <f t="shared" si="25"/>
        <v>3.54</v>
      </c>
      <c r="K224" s="125">
        <f t="shared" si="25"/>
        <v>3.54</v>
      </c>
      <c r="L224" s="125">
        <f t="shared" si="25"/>
        <v>3.54</v>
      </c>
      <c r="M224" s="125">
        <f t="shared" si="25"/>
        <v>3.54</v>
      </c>
      <c r="N224" s="125">
        <f t="shared" si="25"/>
        <v>3.54</v>
      </c>
      <c r="O224" s="125">
        <f t="shared" si="25"/>
        <v>3.54</v>
      </c>
      <c r="P224" s="125">
        <f t="shared" si="25"/>
        <v>3.54</v>
      </c>
      <c r="Q224" s="125">
        <f t="shared" si="25"/>
        <v>0</v>
      </c>
      <c r="R224" s="125">
        <f t="shared" si="25"/>
        <v>0</v>
      </c>
      <c r="S224" s="125">
        <f t="shared" si="25"/>
        <v>0</v>
      </c>
      <c r="T224" s="125">
        <f t="shared" si="25"/>
        <v>0</v>
      </c>
      <c r="U224" s="125">
        <f t="shared" si="25"/>
        <v>0</v>
      </c>
      <c r="V224" s="125">
        <f t="shared" si="25"/>
        <v>0</v>
      </c>
      <c r="W224" s="125">
        <f t="shared" si="25"/>
        <v>0</v>
      </c>
      <c r="X224" s="125">
        <f t="shared" si="25"/>
        <v>0</v>
      </c>
      <c r="Y224" s="125">
        <f t="shared" si="25"/>
        <v>0</v>
      </c>
      <c r="Z224" s="125">
        <f t="shared" si="25"/>
        <v>0</v>
      </c>
      <c r="AA224" s="125">
        <f t="shared" si="25"/>
        <v>0</v>
      </c>
      <c r="AB224" s="125">
        <f t="shared" si="25"/>
        <v>0</v>
      </c>
      <c r="AC224" s="125">
        <f t="shared" si="25"/>
        <v>0</v>
      </c>
      <c r="AD224" s="125">
        <f t="shared" si="25"/>
        <v>0</v>
      </c>
      <c r="AE224" s="125">
        <f t="shared" si="25"/>
        <v>0</v>
      </c>
      <c r="AF224" s="125">
        <f t="shared" si="25"/>
        <v>0</v>
      </c>
      <c r="AG224" s="134">
        <f t="shared" si="25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1132.04</v>
      </c>
      <c r="C233" s="150">
        <f>INDEX(G9:N9,1,MATCH(MAX(G81:N81),G81:N81,0))</f>
        <v>0.3125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10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2079/06/10)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2079/06/10)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26">B81</f>
        <v>1030.3399999999999</v>
      </c>
      <c r="U238" s="159">
        <f t="shared" si="26"/>
        <v>1009.94</v>
      </c>
      <c r="V238" s="159">
        <f t="shared" si="26"/>
        <v>1003.94</v>
      </c>
      <c r="W238" s="159">
        <f t="shared" si="26"/>
        <v>1015.74</v>
      </c>
      <c r="X238" s="159">
        <f t="shared" si="26"/>
        <v>1011.1400000000001</v>
      </c>
      <c r="Y238" s="159">
        <f t="shared" si="26"/>
        <v>1041.54</v>
      </c>
      <c r="Z238" s="159">
        <f t="shared" si="26"/>
        <v>1078.94</v>
      </c>
      <c r="AA238" s="159">
        <f t="shared" si="26"/>
        <v>1097.54</v>
      </c>
      <c r="AB238" s="159">
        <f t="shared" si="26"/>
        <v>1113.44</v>
      </c>
      <c r="AC238" s="159">
        <f t="shared" si="26"/>
        <v>1124.24</v>
      </c>
      <c r="AD238" s="159">
        <f t="shared" si="26"/>
        <v>1132.04</v>
      </c>
      <c r="AE238" s="159">
        <f t="shared" si="26"/>
        <v>1125.24</v>
      </c>
      <c r="AF238" s="159">
        <f t="shared" si="26"/>
        <v>1122.24</v>
      </c>
      <c r="AG238" s="159">
        <f t="shared" si="26"/>
        <v>1117.1399999999999</v>
      </c>
      <c r="AH238" s="159">
        <f t="shared" si="26"/>
        <v>1107.24</v>
      </c>
      <c r="AI238" s="159">
        <f t="shared" si="26"/>
        <v>1107.24</v>
      </c>
      <c r="AJ238" s="159">
        <f t="shared" si="26"/>
        <v>1029.44</v>
      </c>
      <c r="AK238" s="159">
        <f t="shared" si="26"/>
        <v>912.74</v>
      </c>
      <c r="AL238" s="159">
        <f t="shared" si="26"/>
        <v>983.43999999999994</v>
      </c>
      <c r="AM238" s="159">
        <f t="shared" si="26"/>
        <v>1013.14</v>
      </c>
      <c r="AN238" s="159">
        <f t="shared" si="26"/>
        <v>1026.04</v>
      </c>
      <c r="AO238" s="159">
        <f t="shared" si="26"/>
        <v>1068.54</v>
      </c>
      <c r="AP238" s="159">
        <f t="shared" si="26"/>
        <v>1242.1399999999999</v>
      </c>
      <c r="AQ238" s="159">
        <f t="shared" si="26"/>
        <v>1256.94</v>
      </c>
      <c r="AR238" s="159">
        <f t="shared" si="26"/>
        <v>1250.8399999999999</v>
      </c>
      <c r="AS238" s="159">
        <f t="shared" si="26"/>
        <v>1228.54</v>
      </c>
      <c r="AT238" s="159">
        <f t="shared" si="26"/>
        <v>1222.04</v>
      </c>
      <c r="AU238" s="159">
        <f t="shared" si="26"/>
        <v>1222.04</v>
      </c>
      <c r="AV238" s="159">
        <f t="shared" si="26"/>
        <v>1215.54</v>
      </c>
      <c r="AW238" s="159">
        <f t="shared" si="26"/>
        <v>1121.04</v>
      </c>
      <c r="AX238" s="159">
        <f t="shared" si="26"/>
        <v>1079.1399999999999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27">C223</f>
        <v>0.64</v>
      </c>
      <c r="C259" s="162">
        <f t="shared" si="27"/>
        <v>0.64</v>
      </c>
      <c r="D259" s="162">
        <f t="shared" si="27"/>
        <v>0.64</v>
      </c>
      <c r="E259" s="162">
        <f t="shared" si="27"/>
        <v>0.64</v>
      </c>
      <c r="F259" s="162">
        <f t="shared" si="27"/>
        <v>0.64</v>
      </c>
      <c r="G259" s="162">
        <f t="shared" si="27"/>
        <v>0.64</v>
      </c>
      <c r="H259" s="162">
        <f t="shared" si="27"/>
        <v>0.64</v>
      </c>
      <c r="I259" s="162">
        <f t="shared" si="27"/>
        <v>0.64</v>
      </c>
      <c r="J259" s="162">
        <f t="shared" si="27"/>
        <v>0.64</v>
      </c>
      <c r="K259" s="162">
        <f t="shared" si="27"/>
        <v>0.64</v>
      </c>
      <c r="L259" s="162">
        <f t="shared" si="27"/>
        <v>0.64</v>
      </c>
      <c r="M259" s="162">
        <f t="shared" si="27"/>
        <v>0.64</v>
      </c>
      <c r="N259" s="162">
        <f t="shared" si="27"/>
        <v>0.64</v>
      </c>
      <c r="O259" s="162">
        <f t="shared" si="27"/>
        <v>0.64</v>
      </c>
      <c r="P259" s="162">
        <f t="shared" si="27"/>
        <v>0</v>
      </c>
      <c r="Q259" s="162">
        <f t="shared" si="27"/>
        <v>0</v>
      </c>
      <c r="R259" s="162">
        <f t="shared" si="27"/>
        <v>0</v>
      </c>
      <c r="S259" s="162">
        <f t="shared" si="27"/>
        <v>0</v>
      </c>
      <c r="T259" s="162">
        <f t="shared" si="27"/>
        <v>0</v>
      </c>
      <c r="U259" s="162">
        <f t="shared" si="27"/>
        <v>0</v>
      </c>
      <c r="V259" s="162">
        <f t="shared" si="27"/>
        <v>0</v>
      </c>
      <c r="W259" s="162">
        <f t="shared" si="27"/>
        <v>0</v>
      </c>
      <c r="X259" s="162">
        <f t="shared" si="27"/>
        <v>0</v>
      </c>
      <c r="Y259" s="162">
        <f t="shared" si="27"/>
        <v>0</v>
      </c>
      <c r="Z259" s="162">
        <f t="shared" si="27"/>
        <v>0</v>
      </c>
      <c r="AA259" s="162">
        <f t="shared" si="27"/>
        <v>0</v>
      </c>
      <c r="AB259" s="162">
        <f t="shared" si="27"/>
        <v>0</v>
      </c>
      <c r="AC259" s="162">
        <f t="shared" si="27"/>
        <v>0</v>
      </c>
      <c r="AD259" s="162">
        <f t="shared" si="27"/>
        <v>0</v>
      </c>
      <c r="AE259" s="162">
        <f t="shared" si="27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28">IF(B227&lt;100,"",B227-520)</f>
        <v/>
      </c>
      <c r="C260" s="163" t="str">
        <f t="shared" si="28"/>
        <v/>
      </c>
      <c r="D260" s="163" t="str">
        <f t="shared" si="28"/>
        <v/>
      </c>
      <c r="E260" s="163" t="str">
        <f t="shared" si="28"/>
        <v/>
      </c>
      <c r="F260" s="163" t="str">
        <f t="shared" si="28"/>
        <v/>
      </c>
      <c r="G260" s="163" t="str">
        <f t="shared" si="28"/>
        <v/>
      </c>
      <c r="H260" s="163" t="str">
        <f t="shared" si="28"/>
        <v/>
      </c>
      <c r="I260" s="163" t="str">
        <f t="shared" si="28"/>
        <v/>
      </c>
      <c r="J260" s="163" t="str">
        <f t="shared" si="28"/>
        <v/>
      </c>
      <c r="K260" s="163" t="str">
        <f t="shared" si="28"/>
        <v/>
      </c>
      <c r="L260" s="163" t="str">
        <f t="shared" si="28"/>
        <v/>
      </c>
      <c r="M260" s="163" t="str">
        <f t="shared" si="28"/>
        <v/>
      </c>
      <c r="N260" s="163" t="str">
        <f t="shared" si="28"/>
        <v/>
      </c>
      <c r="O260" s="163" t="str">
        <f t="shared" si="28"/>
        <v/>
      </c>
      <c r="P260" s="163" t="str">
        <f t="shared" si="28"/>
        <v/>
      </c>
      <c r="Q260" s="163" t="str">
        <f t="shared" si="28"/>
        <v/>
      </c>
      <c r="R260" s="163" t="str">
        <f t="shared" si="28"/>
        <v/>
      </c>
      <c r="S260" s="163" t="str">
        <f t="shared" si="28"/>
        <v/>
      </c>
      <c r="T260" s="163" t="str">
        <f t="shared" si="28"/>
        <v/>
      </c>
      <c r="U260" s="163" t="str">
        <f t="shared" si="28"/>
        <v/>
      </c>
      <c r="V260" s="163" t="str">
        <f t="shared" si="28"/>
        <v/>
      </c>
      <c r="W260" s="163" t="str">
        <f t="shared" si="28"/>
        <v/>
      </c>
      <c r="X260" s="163" t="str">
        <f t="shared" si="28"/>
        <v/>
      </c>
      <c r="Y260" s="163" t="str">
        <f t="shared" si="28"/>
        <v/>
      </c>
      <c r="Z260" s="163" t="str">
        <f t="shared" si="28"/>
        <v/>
      </c>
      <c r="AA260" s="163" t="str">
        <f t="shared" si="28"/>
        <v/>
      </c>
      <c r="AB260" s="163" t="str">
        <f t="shared" si="28"/>
        <v/>
      </c>
      <c r="AC260" s="163" t="str">
        <f t="shared" si="28"/>
        <v/>
      </c>
      <c r="AD260" s="163" t="str">
        <f t="shared" si="28"/>
        <v/>
      </c>
      <c r="AE260" s="163" t="str">
        <f t="shared" si="28"/>
        <v/>
      </c>
      <c r="AF260" s="163" t="str">
        <f t="shared" si="28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29">IF(B228&lt;100,"",B228-620)</f>
        <v/>
      </c>
      <c r="C261" s="163" t="str">
        <f t="shared" si="29"/>
        <v/>
      </c>
      <c r="D261" s="163" t="str">
        <f t="shared" si="29"/>
        <v/>
      </c>
      <c r="E261" s="163" t="str">
        <f t="shared" si="29"/>
        <v/>
      </c>
      <c r="F261" s="163" t="str">
        <f t="shared" si="29"/>
        <v/>
      </c>
      <c r="G261" s="163" t="str">
        <f t="shared" si="29"/>
        <v/>
      </c>
      <c r="H261" s="163" t="str">
        <f t="shared" si="29"/>
        <v/>
      </c>
      <c r="I261" s="163" t="str">
        <f t="shared" si="29"/>
        <v/>
      </c>
      <c r="J261" s="163" t="str">
        <f t="shared" si="29"/>
        <v/>
      </c>
      <c r="K261" s="163" t="str">
        <f t="shared" si="29"/>
        <v/>
      </c>
      <c r="L261" s="163" t="str">
        <f t="shared" si="29"/>
        <v/>
      </c>
      <c r="M261" s="163" t="str">
        <f t="shared" si="29"/>
        <v/>
      </c>
      <c r="N261" s="163" t="str">
        <f t="shared" si="29"/>
        <v/>
      </c>
      <c r="O261" s="163" t="str">
        <f t="shared" si="29"/>
        <v/>
      </c>
      <c r="P261" s="163" t="str">
        <f t="shared" si="29"/>
        <v/>
      </c>
      <c r="Q261" s="163" t="str">
        <f t="shared" si="29"/>
        <v/>
      </c>
      <c r="R261" s="163" t="str">
        <f t="shared" si="29"/>
        <v/>
      </c>
      <c r="S261" s="163" t="str">
        <f t="shared" si="29"/>
        <v/>
      </c>
      <c r="T261" s="163" t="str">
        <f t="shared" si="29"/>
        <v/>
      </c>
      <c r="U261" s="163" t="str">
        <f t="shared" si="29"/>
        <v/>
      </c>
      <c r="V261" s="163" t="str">
        <f t="shared" si="29"/>
        <v/>
      </c>
      <c r="W261" s="163" t="str">
        <f t="shared" si="29"/>
        <v/>
      </c>
      <c r="X261" s="163" t="str">
        <f t="shared" si="29"/>
        <v/>
      </c>
      <c r="Y261" s="163" t="str">
        <f t="shared" si="29"/>
        <v/>
      </c>
      <c r="Z261" s="163" t="str">
        <f t="shared" si="29"/>
        <v/>
      </c>
      <c r="AA261" s="163" t="str">
        <f t="shared" si="29"/>
        <v/>
      </c>
      <c r="AB261" s="163" t="str">
        <f t="shared" si="29"/>
        <v/>
      </c>
      <c r="AC261" s="163" t="str">
        <f t="shared" si="29"/>
        <v/>
      </c>
      <c r="AD261" s="163" t="str">
        <f t="shared" si="29"/>
        <v/>
      </c>
      <c r="AE261" s="163" t="str">
        <f t="shared" si="29"/>
        <v/>
      </c>
      <c r="AF261" s="163" t="str">
        <f t="shared" si="29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0">IF(B229&lt;100,"",B229-330)</f>
        <v/>
      </c>
      <c r="C262" s="163" t="str">
        <f t="shared" si="30"/>
        <v/>
      </c>
      <c r="D262" s="163" t="str">
        <f t="shared" si="30"/>
        <v/>
      </c>
      <c r="E262" s="163" t="str">
        <f t="shared" si="30"/>
        <v/>
      </c>
      <c r="F262" s="163" t="str">
        <f t="shared" si="30"/>
        <v/>
      </c>
      <c r="G262" s="163" t="str">
        <f t="shared" si="30"/>
        <v/>
      </c>
      <c r="H262" s="163" t="str">
        <f t="shared" si="30"/>
        <v/>
      </c>
      <c r="I262" s="163" t="str">
        <f t="shared" si="30"/>
        <v/>
      </c>
      <c r="J262" s="163" t="str">
        <f t="shared" si="30"/>
        <v/>
      </c>
      <c r="K262" s="163" t="str">
        <f t="shared" si="30"/>
        <v/>
      </c>
      <c r="L262" s="163" t="str">
        <f t="shared" si="30"/>
        <v/>
      </c>
      <c r="M262" s="163" t="str">
        <f t="shared" si="30"/>
        <v/>
      </c>
      <c r="N262" s="163" t="str">
        <f t="shared" si="30"/>
        <v/>
      </c>
      <c r="O262" s="163" t="str">
        <f t="shared" si="30"/>
        <v/>
      </c>
      <c r="P262" s="163" t="str">
        <f t="shared" si="30"/>
        <v/>
      </c>
      <c r="Q262" s="163" t="str">
        <f t="shared" si="30"/>
        <v/>
      </c>
      <c r="R262" s="163" t="str">
        <f t="shared" si="30"/>
        <v/>
      </c>
      <c r="S262" s="163" t="str">
        <f t="shared" si="30"/>
        <v/>
      </c>
      <c r="T262" s="163" t="str">
        <f t="shared" si="30"/>
        <v/>
      </c>
      <c r="U262" s="163" t="str">
        <f t="shared" si="30"/>
        <v/>
      </c>
      <c r="V262" s="163" t="str">
        <f t="shared" si="30"/>
        <v/>
      </c>
      <c r="W262" s="163" t="str">
        <f t="shared" si="30"/>
        <v/>
      </c>
      <c r="X262" s="163" t="str">
        <f t="shared" si="30"/>
        <v/>
      </c>
      <c r="Y262" s="163" t="str">
        <f t="shared" si="30"/>
        <v/>
      </c>
      <c r="Z262" s="163" t="str">
        <f t="shared" si="30"/>
        <v/>
      </c>
      <c r="AA262" s="163" t="str">
        <f t="shared" si="30"/>
        <v/>
      </c>
      <c r="AB262" s="163" t="str">
        <f t="shared" si="30"/>
        <v/>
      </c>
      <c r="AC262" s="163" t="str">
        <f t="shared" si="30"/>
        <v/>
      </c>
      <c r="AD262" s="163" t="str">
        <f t="shared" si="30"/>
        <v/>
      </c>
      <c r="AE262" s="163" t="str">
        <f t="shared" si="30"/>
        <v/>
      </c>
      <c r="AF262" s="163" t="str">
        <f t="shared" si="30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1">IF(B230&lt;100,"",B230-1500)</f>
        <v/>
      </c>
      <c r="C263" s="163" t="str">
        <f t="shared" si="31"/>
        <v/>
      </c>
      <c r="D263" s="163" t="str">
        <f t="shared" si="31"/>
        <v/>
      </c>
      <c r="E263" s="163" t="str">
        <f t="shared" si="31"/>
        <v/>
      </c>
      <c r="F263" s="163" t="str">
        <f t="shared" si="31"/>
        <v/>
      </c>
      <c r="G263" s="163" t="str">
        <f t="shared" si="31"/>
        <v/>
      </c>
      <c r="H263" s="163" t="str">
        <f t="shared" si="31"/>
        <v/>
      </c>
      <c r="I263" s="163" t="str">
        <f t="shared" si="31"/>
        <v/>
      </c>
      <c r="J263" s="163" t="str">
        <f t="shared" si="31"/>
        <v/>
      </c>
      <c r="K263" s="163" t="str">
        <f t="shared" si="31"/>
        <v/>
      </c>
      <c r="L263" s="163" t="str">
        <f t="shared" si="31"/>
        <v/>
      </c>
      <c r="M263" s="163" t="str">
        <f t="shared" si="31"/>
        <v/>
      </c>
      <c r="N263" s="163" t="str">
        <f t="shared" si="31"/>
        <v/>
      </c>
      <c r="O263" s="163" t="str">
        <f t="shared" si="31"/>
        <v/>
      </c>
      <c r="P263" s="163" t="str">
        <f t="shared" si="31"/>
        <v/>
      </c>
      <c r="Q263" s="163" t="str">
        <f t="shared" si="31"/>
        <v/>
      </c>
      <c r="R263" s="163" t="str">
        <f t="shared" si="31"/>
        <v/>
      </c>
      <c r="S263" s="163" t="str">
        <f t="shared" si="31"/>
        <v/>
      </c>
      <c r="T263" s="163" t="str">
        <f t="shared" si="31"/>
        <v/>
      </c>
      <c r="U263" s="163" t="str">
        <f t="shared" si="31"/>
        <v/>
      </c>
      <c r="V263" s="163" t="str">
        <f t="shared" si="31"/>
        <v/>
      </c>
      <c r="W263" s="163" t="str">
        <f t="shared" si="31"/>
        <v/>
      </c>
      <c r="X263" s="163" t="str">
        <f t="shared" si="31"/>
        <v/>
      </c>
      <c r="Y263" s="163" t="str">
        <f t="shared" si="31"/>
        <v/>
      </c>
      <c r="Z263" s="163" t="str">
        <f t="shared" si="31"/>
        <v/>
      </c>
      <c r="AA263" s="163" t="str">
        <f t="shared" si="31"/>
        <v/>
      </c>
      <c r="AB263" s="163" t="str">
        <f t="shared" si="31"/>
        <v/>
      </c>
      <c r="AC263" s="163" t="str">
        <f t="shared" si="31"/>
        <v/>
      </c>
      <c r="AD263" s="163" t="str">
        <f t="shared" si="31"/>
        <v/>
      </c>
      <c r="AE263" s="163" t="str">
        <f t="shared" si="31"/>
        <v/>
      </c>
      <c r="AF263" s="163" t="str">
        <f t="shared" si="31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A11:A225">
    <cfRule type="expression" dxfId="914" priority="16">
      <formula>$AH11=0</formula>
    </cfRule>
  </conditionalFormatting>
  <conditionalFormatting sqref="B8 M8 S8 AB8">
    <cfRule type="expression" dxfId="913" priority="246">
      <formula>AND(C$9&gt;=14/24,C$9&lt;20/24)</formula>
    </cfRule>
    <cfRule type="expression" dxfId="912" priority="248">
      <formula>C$9&lt;8/24</formula>
    </cfRule>
    <cfRule type="expression" dxfId="911" priority="247">
      <formula>AND(C$9&gt;=8/24,C$9&lt;14/24)</formula>
    </cfRule>
  </conditionalFormatting>
  <conditionalFormatting sqref="B41:B44 C44:AG44">
    <cfRule type="expression" dxfId="910" priority="71">
      <formula>AND(B$9&gt;=8/24,B$9&lt;14/24)</formula>
    </cfRule>
    <cfRule type="expression" dxfId="909" priority="72">
      <formula>B$9&lt;8/24</formula>
    </cfRule>
    <cfRule type="expression" dxfId="908" priority="70">
      <formula>AND(B$9&gt;=14/24,B$9&lt;20/24)</formula>
    </cfRule>
    <cfRule type="expression" dxfId="907" priority="69">
      <formula>B$9&gt;=20/24</formula>
    </cfRule>
    <cfRule type="expression" dxfId="906" priority="68">
      <formula>B41&gt;$AG41</formula>
    </cfRule>
  </conditionalFormatting>
  <conditionalFormatting sqref="B45:D47">
    <cfRule type="expression" dxfId="905" priority="127">
      <formula>B$9&lt;8/24</formula>
    </cfRule>
    <cfRule type="expression" dxfId="904" priority="126">
      <formula>AND(B$9&gt;=8/24,B$9&lt;14/24)</formula>
    </cfRule>
    <cfRule type="expression" dxfId="903" priority="125">
      <formula>AND(B$9&gt;=14/24,B$9&lt;20/24)</formula>
    </cfRule>
    <cfRule type="expression" dxfId="902" priority="124">
      <formula>B$9&gt;=20/24</formula>
    </cfRule>
  </conditionalFormatting>
  <conditionalFormatting sqref="B11:R11">
    <cfRule type="expression" dxfId="901" priority="141">
      <formula>B$9&gt;=20/24</formula>
    </cfRule>
    <cfRule type="expression" dxfId="900" priority="142">
      <formula>AND(B$9&gt;=14/24,B$9&lt;20/24)</formula>
    </cfRule>
    <cfRule type="expression" dxfId="899" priority="143">
      <formula>AND(B$9&gt;=8/24,B$9&lt;14/24)</formula>
    </cfRule>
    <cfRule type="expression" dxfId="898" priority="144">
      <formula>B$9&lt;8/24</formula>
    </cfRule>
  </conditionalFormatting>
  <conditionalFormatting sqref="B11:R16">
    <cfRule type="expression" dxfId="897" priority="136">
      <formula>B11&gt;$AG11</formula>
    </cfRule>
  </conditionalFormatting>
  <conditionalFormatting sqref="B12:R15">
    <cfRule type="expression" dxfId="896" priority="108">
      <formula>AND(B$9&gt;=8/24,B$9&lt;14/24)</formula>
    </cfRule>
    <cfRule type="expression" dxfId="895" priority="107">
      <formula>AND(B$9&gt;=14/24,B$9&lt;20/24)</formula>
    </cfRule>
    <cfRule type="expression" dxfId="894" priority="109">
      <formula>B$9&lt;8/24</formula>
    </cfRule>
    <cfRule type="expression" dxfId="893" priority="106">
      <formula>B$9&gt;=20/24</formula>
    </cfRule>
  </conditionalFormatting>
  <conditionalFormatting sqref="B9:AF10 AD11:AF11 B16:AF16 B216:AF216 B218:B224 D218:AF224 U237:AF237">
    <cfRule type="expression" dxfId="892" priority="240">
      <formula>AND(B$9&gt;=14/24,B$9&lt;20/24)</formula>
    </cfRule>
    <cfRule type="expression" dxfId="891" priority="241">
      <formula>AND(B$9&gt;=8/24,B$9&lt;14/24)</formula>
    </cfRule>
    <cfRule type="expression" dxfId="890" priority="242">
      <formula>B$9&lt;8/24</formula>
    </cfRule>
  </conditionalFormatting>
  <conditionalFormatting sqref="B17:AF17">
    <cfRule type="expression" dxfId="889" priority="18">
      <formula>B$9&gt;=20/24</formula>
    </cfRule>
    <cfRule type="expression" dxfId="888" priority="19">
      <formula>AND(B$9&gt;=14/24,B$9&lt;20/24)</formula>
    </cfRule>
    <cfRule type="expression" dxfId="887" priority="20">
      <formula>AND(B$9&gt;=8/24,B$9&lt;14/24)</formula>
    </cfRule>
    <cfRule type="expression" dxfId="886" priority="21">
      <formula>B$9&lt;8/24</formula>
    </cfRule>
    <cfRule type="expression" dxfId="885" priority="27">
      <formula>B17&gt;$AG17</formula>
    </cfRule>
  </conditionalFormatting>
  <conditionalFormatting sqref="B18:AF24">
    <cfRule type="expression" dxfId="884" priority="91">
      <formula>B$9&lt;8/24</formula>
    </cfRule>
    <cfRule type="expression" dxfId="883" priority="90">
      <formula>AND(B$9&gt;=8/24,B$9&lt;14/24)</formula>
    </cfRule>
    <cfRule type="expression" dxfId="882" priority="88">
      <formula>B$9&gt;=20/24</formula>
    </cfRule>
    <cfRule type="expression" dxfId="881" priority="89">
      <formula>AND(B$9&gt;=14/24,B$9&lt;20/24)</formula>
    </cfRule>
  </conditionalFormatting>
  <conditionalFormatting sqref="B19:AF24">
    <cfRule type="expression" dxfId="880" priority="87">
      <formula>B19&gt;$AG19</formula>
    </cfRule>
  </conditionalFormatting>
  <conditionalFormatting sqref="B25:AF27 B29:AF29 C59:AF61 B59:B62 C62:AG62 B75:B79 C79:AG79 B80:AF81">
    <cfRule type="expression" dxfId="879" priority="121">
      <formula>AND(B$9&gt;=8/24,B$9&lt;14/24)</formula>
    </cfRule>
    <cfRule type="expression" dxfId="878" priority="122">
      <formula>B$9&lt;8/24</formula>
    </cfRule>
    <cfRule type="expression" dxfId="877" priority="119">
      <formula>B$9&gt;=20/24</formula>
    </cfRule>
    <cfRule type="expression" dxfId="876" priority="120">
      <formula>AND(B$9&gt;=14/24,B$9&lt;20/24)</formula>
    </cfRule>
  </conditionalFormatting>
  <conditionalFormatting sqref="B25:AF29 B40:AG40 B48:L49 C57:AG58 B57:B62 C59:AF61 C62:AG62">
    <cfRule type="expression" dxfId="875" priority="114">
      <formula>B25&gt;$AG25</formula>
    </cfRule>
  </conditionalFormatting>
  <conditionalFormatting sqref="B28:AF28">
    <cfRule type="expression" dxfId="874" priority="95">
      <formula>B$9&lt;8/24</formula>
    </cfRule>
    <cfRule type="expression" dxfId="873" priority="94">
      <formula>AND(B$9&gt;=8/24,B$9&lt;14/24)</formula>
    </cfRule>
    <cfRule type="expression" dxfId="872" priority="92">
      <formula>B$9&gt;=20/24</formula>
    </cfRule>
    <cfRule type="expression" dxfId="871" priority="93">
      <formula>AND(B$9&gt;=14/24,B$9&lt;20/24)</formula>
    </cfRule>
  </conditionalFormatting>
  <conditionalFormatting sqref="B30:AF36">
    <cfRule type="expression" dxfId="870" priority="1">
      <formula>B30&gt;$AG30</formula>
    </cfRule>
  </conditionalFormatting>
  <conditionalFormatting sqref="B30:AF37">
    <cfRule type="expression" dxfId="869" priority="3">
      <formula>AND(B$9&gt;=14/24,B$9&lt;20/24)</formula>
    </cfRule>
    <cfRule type="expression" dxfId="868" priority="4">
      <formula>AND(B$9&gt;=8/24,B$9&lt;14/24)</formula>
    </cfRule>
    <cfRule type="expression" dxfId="867" priority="5">
      <formula>B$9&lt;8/24</formula>
    </cfRule>
    <cfRule type="expression" dxfId="866" priority="2">
      <formula>B$9&gt;=20/24</formula>
    </cfRule>
  </conditionalFormatting>
  <conditionalFormatting sqref="B37:AF39 B45:F47">
    <cfRule type="expression" dxfId="865" priority="123">
      <formula>B37&gt;$AG37</formula>
    </cfRule>
  </conditionalFormatting>
  <conditionalFormatting sqref="B38:AF39">
    <cfRule type="expression" dxfId="864" priority="128">
      <formula>B$9&gt;=20/24</formula>
    </cfRule>
    <cfRule type="expression" dxfId="863" priority="129">
      <formula>AND(B$9&gt;=14/24,B$9&lt;20/24)</formula>
    </cfRule>
    <cfRule type="expression" dxfId="862" priority="130">
      <formula>AND(B$9&gt;=8/24,B$9&lt;14/24)</formula>
    </cfRule>
    <cfRule type="expression" dxfId="861" priority="131">
      <formula>B$9&lt;8/24</formula>
    </cfRule>
  </conditionalFormatting>
  <conditionalFormatting sqref="B50:AF56">
    <cfRule type="expression" dxfId="860" priority="33">
      <formula>B$9&lt;8/24</formula>
    </cfRule>
    <cfRule type="expression" dxfId="859" priority="32">
      <formula>AND(B$9&gt;=8/24,B$9&lt;14/24)</formula>
    </cfRule>
    <cfRule type="expression" dxfId="858" priority="31">
      <formula>AND(B$9&gt;=14/24,B$9&lt;20/24)</formula>
    </cfRule>
    <cfRule type="expression" dxfId="857" priority="30">
      <formula>B$9&gt;=20/24</formula>
    </cfRule>
    <cfRule type="expression" dxfId="856" priority="29">
      <formula>B50&gt;$AG50</formula>
    </cfRule>
  </conditionalFormatting>
  <conditionalFormatting sqref="B63:AF74">
    <cfRule type="expression" dxfId="855" priority="85">
      <formula>B$9&lt;8/24</formula>
    </cfRule>
    <cfRule type="expression" dxfId="854" priority="83">
      <formula>AND(B$9&gt;=14/24,B$9&lt;20/24)</formula>
    </cfRule>
    <cfRule type="expression" dxfId="853" priority="84">
      <formula>AND(B$9&gt;=8/24,B$9&lt;14/24)</formula>
    </cfRule>
    <cfRule type="expression" dxfId="852" priority="82">
      <formula>B$9&gt;=20/24</formula>
    </cfRule>
  </conditionalFormatting>
  <conditionalFormatting sqref="B83:AF99">
    <cfRule type="expression" dxfId="847" priority="60">
      <formula>B$9&gt;=20/24</formula>
    </cfRule>
    <cfRule type="expression" dxfId="846" priority="63">
      <formula>B$9&lt;8/24</formula>
    </cfRule>
    <cfRule type="expression" dxfId="845" priority="61">
      <formula>AND(B$9&gt;=14/24,B$9&lt;20/24)</formula>
    </cfRule>
    <cfRule type="expression" dxfId="844" priority="62">
      <formula>AND(B$9&gt;=8/24,B$9&lt;14/24)</formula>
    </cfRule>
  </conditionalFormatting>
  <conditionalFormatting sqref="B101:AF108">
    <cfRule type="expression" dxfId="843" priority="37">
      <formula>B$9&lt;8/24</formula>
    </cfRule>
    <cfRule type="expression" dxfId="842" priority="36">
      <formula>AND(B$9&gt;=8/24,B$9&lt;14/24)</formula>
    </cfRule>
    <cfRule type="expression" dxfId="841" priority="35">
      <formula>AND(B$9&gt;=14/24,B$9&lt;20/24)</formula>
    </cfRule>
    <cfRule type="expression" dxfId="840" priority="34">
      <formula>B$9&gt;=20/24</formula>
    </cfRule>
  </conditionalFormatting>
  <conditionalFormatting sqref="C41:AF43">
    <cfRule type="expression" dxfId="835" priority="74">
      <formula>C$9&gt;=20/24</formula>
    </cfRule>
    <cfRule type="expression" dxfId="834" priority="75">
      <formula>AND(C$9&gt;=14/24,C$9&lt;20/24)</formula>
    </cfRule>
    <cfRule type="expression" dxfId="833" priority="73">
      <formula>C41&gt;$AG41</formula>
    </cfRule>
    <cfRule type="expression" dxfId="832" priority="76">
      <formula>AND(C$9&gt;=8/24,C$9&lt;14/24)</formula>
    </cfRule>
    <cfRule type="expression" dxfId="831" priority="77">
      <formula>C$9&lt;8/24</formula>
    </cfRule>
  </conditionalFormatting>
  <conditionalFormatting sqref="E46:M46 E47:L47 M47:M49">
    <cfRule type="expression" dxfId="830" priority="207">
      <formula>AND(E$9&gt;=8/24,E$9&lt;14/24)</formula>
    </cfRule>
    <cfRule type="expression" dxfId="829" priority="205">
      <formula>E$9&gt;=20/24</formula>
    </cfRule>
    <cfRule type="expression" dxfId="828" priority="208">
      <formula>E$9&lt;8/24</formula>
    </cfRule>
    <cfRule type="expression" dxfId="827" priority="206">
      <formula>AND(E$9&gt;=14/24,E$9&lt;20/24)</formula>
    </cfRule>
  </conditionalFormatting>
  <conditionalFormatting sqref="E45:N45 N46:N49">
    <cfRule type="expression" dxfId="826" priority="172">
      <formula>E$9&lt;8/24</formula>
    </cfRule>
    <cfRule type="expression" dxfId="825" priority="171">
      <formula>AND(E$9&gt;=8/24,E$9&lt;14/24)</formula>
    </cfRule>
    <cfRule type="expression" dxfId="824" priority="170">
      <formula>AND(E$9&gt;=14/24,E$9&lt;20/24)</formula>
    </cfRule>
    <cfRule type="expression" dxfId="823" priority="169">
      <formula>E$9&gt;=20/24</formula>
    </cfRule>
  </conditionalFormatting>
  <conditionalFormatting sqref="G46:M46 G47:L47 M47:M49">
    <cfRule type="expression" dxfId="822" priority="200">
      <formula>G46&gt;$AG46</formula>
    </cfRule>
  </conditionalFormatting>
  <conditionalFormatting sqref="G45:N45 N46:N49">
    <cfRule type="expression" dxfId="821" priority="168">
      <formula>G45&gt;$AG45</formula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O45:AF49">
    <cfRule type="expression" dxfId="820" priority="148">
      <formula>AND(O$9&gt;=8/24,O$9&lt;14/24)</formula>
    </cfRule>
    <cfRule type="expression" dxfId="819" priority="147">
      <formula>AND(O$9&gt;=14/24,O$9&lt;20/24)</formula>
    </cfRule>
    <cfRule type="expression" dxfId="818" priority="149">
      <formula>O$9&lt;8/24</formula>
    </cfRule>
    <cfRule type="expression" dxfId="817" priority="145">
      <formula>O45&gt;$AG45</formula>
    </cfRule>
    <cfRule type="expression" dxfId="816" priority="146">
      <formula>O$9&gt;=20/24</formula>
    </cfRule>
  </conditionalFormatting>
  <conditionalFormatting sqref="S8 AB8 B8 M8">
    <cfRule type="expression" dxfId="815" priority="245">
      <formula>C$9&gt;=20/24</formula>
    </cfRule>
  </conditionalFormatting>
  <conditionalFormatting sqref="S8">
    <cfRule type="expression" dxfId="814" priority="217">
      <formula>U$9&lt;8/24</formula>
    </cfRule>
    <cfRule type="expression" dxfId="813" priority="214">
      <formula>U$9&gt;=20/24</formula>
    </cfRule>
    <cfRule type="expression" dxfId="812" priority="215">
      <formula>AND(U$9&gt;=14/24,U$9&lt;20/24)</formula>
    </cfRule>
    <cfRule type="expression" dxfId="811" priority="216">
      <formula>AND(U$9&gt;=8/24,U$9&lt;14/24)</formula>
    </cfRule>
  </conditionalFormatting>
  <conditionalFormatting sqref="S11:AF11">
    <cfRule type="expression" dxfId="810" priority="191">
      <formula>S11&gt;$AG11</formula>
    </cfRule>
  </conditionalFormatting>
  <conditionalFormatting sqref="S11:AF14 C75:AF78">
    <cfRule type="expression" dxfId="809" priority="198">
      <formula>AND(C$9&gt;=8/24,C$9&lt;14/24)</formula>
    </cfRule>
    <cfRule type="expression" dxfId="808" priority="197">
      <formula>AND(C$9&gt;=14/24,C$9&lt;20/24)</formula>
    </cfRule>
    <cfRule type="expression" dxfId="807" priority="199">
      <formula>C$9&lt;8/24</formula>
    </cfRule>
    <cfRule type="expression" dxfId="806" priority="196">
      <formula>C$9&gt;=20/24</formula>
    </cfRule>
  </conditionalFormatting>
  <conditionalFormatting sqref="S11:AF16 B18:AF18">
    <cfRule type="expression" dxfId="805" priority="233">
      <formula>B11&gt;$AG11</formula>
    </cfRule>
  </conditionalFormatting>
  <conditionalFormatting sqref="S15:AF15">
    <cfRule type="expression" dxfId="804" priority="185">
      <formula>AND(S$9&gt;=8/24,S$9&lt;14/24)</formula>
    </cfRule>
    <cfRule type="expression" dxfId="803" priority="186">
      <formula>S$9&lt;8/24</formula>
    </cfRule>
    <cfRule type="expression" dxfId="802" priority="184">
      <formula>AND(S$9&gt;=14/24,S$9&lt;20/24)</formula>
    </cfRule>
    <cfRule type="expression" dxfId="801" priority="183">
      <formula>S$9&gt;=20/24</formula>
    </cfRule>
  </conditionalFormatting>
  <conditionalFormatting sqref="T237">
    <cfRule type="expression" dxfId="800" priority="258">
      <formula>AX$9&gt;=20/24</formula>
    </cfRule>
    <cfRule type="expression" dxfId="799" priority="261">
      <formula>AX$9&lt;8/24</formula>
    </cfRule>
    <cfRule type="expression" dxfId="798" priority="259">
      <formula>AND(AX$9&gt;=14/24,AX$9&lt;20/24)</formula>
    </cfRule>
    <cfRule type="expression" dxfId="797" priority="260">
      <formula>AND(AX$9&gt;=8/24,AX$9&lt;14/24)</formula>
    </cfRule>
  </conditionalFormatting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796" priority="213">
      <formula>AD$9&lt;8/24</formula>
    </cfRule>
    <cfRule type="expression" dxfId="795" priority="212">
      <formula>AND(AD$9&gt;=8/24,AD$9&lt;14/24)</formula>
    </cfRule>
    <cfRule type="expression" dxfId="794" priority="211">
      <formula>AND(AD$9&gt;=14/24,AD$9&lt;20/24)</formula>
    </cfRule>
    <cfRule type="expression" dxfId="793" priority="210">
      <formula>AD$9&gt;=20/24</formula>
    </cfRule>
  </conditionalFormatting>
  <conditionalFormatting sqref="AD11:AF11 B16:AF16 B9:AF10 B216:AF216 B218:B224 D218:AF224 U237:AF237">
    <cfRule type="expression" dxfId="792" priority="239">
      <formula>B$9&gt;=20/24</formula>
    </cfRule>
  </conditionalFormatting>
  <conditionalFormatting sqref="AG237">
    <cfRule type="expression" dxfId="791" priority="250">
      <formula>B$9&gt;=20/24</formula>
    </cfRule>
    <cfRule type="expression" dxfId="790" priority="252">
      <formula>AND(B$9&gt;=8/24,B$9&lt;14/24)</formula>
    </cfRule>
    <cfRule type="expression" dxfId="789" priority="253">
      <formula>B$9&lt;8/24</formula>
    </cfRule>
    <cfRule type="expression" dxfId="788" priority="251">
      <formula>AND(B$9&gt;=14/24,B$9&lt;20/24)</formula>
    </cfRule>
  </conditionalFormatting>
  <conditionalFormatting sqref="AH237:AX237">
    <cfRule type="expression" dxfId="787" priority="254">
      <formula>AG$9&gt;=20/24</formula>
    </cfRule>
    <cfRule type="expression" dxfId="786" priority="255">
      <formula>AND(AG$9&gt;=14/24,AG$9&lt;20/24)</formula>
    </cfRule>
    <cfRule type="expression" dxfId="785" priority="257">
      <formula>AG$9&lt;8/24</formula>
    </cfRule>
    <cfRule type="expression" dxfId="784" priority="256">
      <formula>AND(AG$9&gt;=8/24,AG$9&lt;14/24)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8" id="{8C28D69B-893A-4DAE-9A3C-CE083D558EF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57" id="{6BC262C8-7D1C-40E3-BB17-E0FA700CE06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6" id="{CE939934-32FE-40C9-AF7B-BE348CFE7A8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5" id="{FF4AE2C5-27EA-470C-94C8-3A9C82C7B5D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6" id="{7CD3DD84-C50C-4DE0-B59F-AAEAD6B8558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5" id="{2887889F-589D-4524-81EC-2E416E72182F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4" id="{16E055E5-66FB-444B-863A-0C1EC58F461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7" id="{A577280B-0A70-4D58-9946-9674EE638C90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B109:AF109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J270"/>
  <sheetViews>
    <sheetView zoomScale="90" zoomScaleNormal="90" workbookViewId="0">
      <pane xSplit="1" ySplit="10" topLeftCell="B56" activePane="bottomRight" state="frozen"/>
      <selection activeCell="AF88" sqref="AF88"/>
      <selection pane="topRight" activeCell="AF88" sqref="AF88"/>
      <selection pane="bottomLeft" activeCell="AF88" sqref="AF88"/>
      <selection pane="bottomRight" activeCell="AJ7" sqref="AJ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21.140625" style="1" customWidth="1"/>
    <col min="37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2079/06/11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1140MW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Load=968</v>
      </c>
      <c r="B7" s="35">
        <f t="shared" ref="B7:AF7" si="1">B81</f>
        <v>1019.14</v>
      </c>
      <c r="C7" s="35">
        <f t="shared" si="1"/>
        <v>993.43999999999994</v>
      </c>
      <c r="D7" s="35">
        <f t="shared" si="1"/>
        <v>993.43999999999994</v>
      </c>
      <c r="E7" s="35">
        <f t="shared" si="1"/>
        <v>968.04</v>
      </c>
      <c r="F7" s="35">
        <f t="shared" si="1"/>
        <v>971.33999999999992</v>
      </c>
      <c r="G7" s="35">
        <f t="shared" si="1"/>
        <v>972.24</v>
      </c>
      <c r="H7" s="35">
        <f t="shared" si="1"/>
        <v>983.43999999999994</v>
      </c>
      <c r="I7" s="35">
        <f t="shared" si="1"/>
        <v>1016.54</v>
      </c>
      <c r="J7" s="35">
        <f t="shared" si="1"/>
        <v>1027.74</v>
      </c>
      <c r="K7" s="35">
        <f t="shared" si="1"/>
        <v>1066.74</v>
      </c>
      <c r="L7" s="35">
        <f t="shared" si="1"/>
        <v>1118.44</v>
      </c>
      <c r="M7" s="35">
        <f t="shared" si="1"/>
        <v>1139.94</v>
      </c>
      <c r="N7" s="35">
        <f t="shared" si="1"/>
        <v>1132.24</v>
      </c>
      <c r="O7" s="35">
        <f t="shared" si="1"/>
        <v>1089.1399999999999</v>
      </c>
      <c r="P7" s="35">
        <f t="shared" si="1"/>
        <v>1048.94</v>
      </c>
      <c r="Q7" s="35">
        <f t="shared" si="1"/>
        <v>1021.1399999999999</v>
      </c>
      <c r="R7" s="35">
        <f t="shared" si="1"/>
        <v>1056.6399999999999</v>
      </c>
      <c r="S7" s="35">
        <f t="shared" si="1"/>
        <v>1033.04</v>
      </c>
      <c r="T7" s="35">
        <f t="shared" si="1"/>
        <v>1045.1399999999999</v>
      </c>
      <c r="U7" s="35">
        <f t="shared" si="1"/>
        <v>1076.83</v>
      </c>
      <c r="V7" s="35">
        <f t="shared" si="1"/>
        <v>1106.1400000000001</v>
      </c>
      <c r="W7" s="35">
        <f t="shared" si="1"/>
        <v>1202.24</v>
      </c>
      <c r="X7" s="35">
        <f t="shared" si="1"/>
        <v>1326.6399999999999</v>
      </c>
      <c r="Y7" s="35">
        <f t="shared" si="1"/>
        <v>1321.1399999999999</v>
      </c>
      <c r="Z7" s="35">
        <f t="shared" si="1"/>
        <v>1260.3399999999999</v>
      </c>
      <c r="AA7" s="35">
        <f t="shared" si="1"/>
        <v>1255.3399999999999</v>
      </c>
      <c r="AB7" s="35">
        <f t="shared" si="1"/>
        <v>1234.3399999999999</v>
      </c>
      <c r="AC7" s="35">
        <f t="shared" si="1"/>
        <v>1224.6399999999999</v>
      </c>
      <c r="AD7" s="35">
        <f t="shared" si="1"/>
        <v>1137.3400000000001</v>
      </c>
      <c r="AE7" s="35">
        <f t="shared" si="1"/>
        <v>1086.3400000000001</v>
      </c>
      <c r="AF7" s="35">
        <f t="shared" si="1"/>
        <v>1029.04</v>
      </c>
      <c r="AG7" s="36"/>
      <c r="AI7" s="37"/>
      <c r="AJ7" s="22">
        <f>1425*24-(B7+C7+D7+E7+F7+G7+I7+K7+M7+N7+O7+P7+Q7+R7+S7+T7+U7+V7+X7+Z7+AB7+AD7+AE7+AF7)</f>
        <v>8375.8500000000058</v>
      </c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52.8</v>
      </c>
      <c r="C11" s="45">
        <v>52.8</v>
      </c>
      <c r="D11" s="45">
        <v>52.8</v>
      </c>
      <c r="E11" s="45">
        <v>52.8</v>
      </c>
      <c r="F11" s="45">
        <v>52.8</v>
      </c>
      <c r="G11" s="45">
        <v>52.8</v>
      </c>
      <c r="H11" s="45">
        <v>52.8</v>
      </c>
      <c r="I11" s="45">
        <v>52.8</v>
      </c>
      <c r="J11" s="45">
        <v>52.8</v>
      </c>
      <c r="K11" s="45">
        <v>52.8</v>
      </c>
      <c r="L11" s="45">
        <v>52.8</v>
      </c>
      <c r="M11" s="45">
        <v>52.8</v>
      </c>
      <c r="N11" s="45">
        <v>52.8</v>
      </c>
      <c r="O11" s="45">
        <v>52.8</v>
      </c>
      <c r="P11" s="45">
        <v>52.8</v>
      </c>
      <c r="Q11" s="45">
        <v>52.8</v>
      </c>
      <c r="R11" s="45">
        <v>52.8</v>
      </c>
      <c r="S11" s="45">
        <v>52.8</v>
      </c>
      <c r="T11" s="45">
        <v>52.8</v>
      </c>
      <c r="U11" s="45">
        <v>52.8</v>
      </c>
      <c r="V11" s="45">
        <v>52.8</v>
      </c>
      <c r="W11" s="45">
        <v>52.8</v>
      </c>
      <c r="X11" s="45">
        <v>52.8</v>
      </c>
      <c r="Y11" s="45">
        <v>52.8</v>
      </c>
      <c r="Z11" s="45">
        <v>52.8</v>
      </c>
      <c r="AA11" s="45">
        <v>52.8</v>
      </c>
      <c r="AB11" s="45">
        <v>52.8</v>
      </c>
      <c r="AC11" s="45">
        <v>52.8</v>
      </c>
      <c r="AD11" s="45">
        <v>52.8</v>
      </c>
      <c r="AE11" s="45">
        <v>52.8</v>
      </c>
      <c r="AF11" s="45">
        <v>52.7</v>
      </c>
      <c r="AG11" s="47">
        <v>52.4</v>
      </c>
      <c r="AH11" s="48">
        <f>MAX(B11:AF11)</f>
        <v>52.8</v>
      </c>
      <c r="AI11" s="49">
        <f>MIN(B11:AF11)</f>
        <v>52.7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50.7</v>
      </c>
      <c r="C12" s="45">
        <v>25</v>
      </c>
      <c r="D12" s="45">
        <v>25</v>
      </c>
      <c r="E12" s="45">
        <v>25</v>
      </c>
      <c r="F12" s="45">
        <v>25</v>
      </c>
      <c r="G12" s="45">
        <v>25</v>
      </c>
      <c r="H12" s="45">
        <v>25</v>
      </c>
      <c r="I12" s="45">
        <v>25</v>
      </c>
      <c r="J12" s="45">
        <v>25</v>
      </c>
      <c r="K12" s="45">
        <v>25</v>
      </c>
      <c r="L12" s="45">
        <v>25</v>
      </c>
      <c r="M12" s="45">
        <v>50</v>
      </c>
      <c r="N12" s="45">
        <v>50</v>
      </c>
      <c r="O12" s="45">
        <v>50</v>
      </c>
      <c r="P12" s="45">
        <v>50</v>
      </c>
      <c r="Q12" s="45">
        <v>50</v>
      </c>
      <c r="R12" s="45">
        <v>50</v>
      </c>
      <c r="S12" s="45">
        <v>50.5</v>
      </c>
      <c r="T12" s="45">
        <v>50.5</v>
      </c>
      <c r="U12" s="45">
        <v>50.5</v>
      </c>
      <c r="V12" s="45">
        <v>50.5</v>
      </c>
      <c r="W12" s="45">
        <v>50.5</v>
      </c>
      <c r="X12" s="45">
        <v>50.5</v>
      </c>
      <c r="Y12" s="45">
        <v>50.5</v>
      </c>
      <c r="Z12" s="45">
        <v>50.5</v>
      </c>
      <c r="AA12" s="45">
        <v>50.5</v>
      </c>
      <c r="AB12" s="45">
        <v>50.5</v>
      </c>
      <c r="AC12" s="45">
        <v>50.5</v>
      </c>
      <c r="AD12" s="45">
        <v>50.5</v>
      </c>
      <c r="AE12" s="45">
        <v>50.5</v>
      </c>
      <c r="AF12" s="45">
        <v>50.6</v>
      </c>
      <c r="AG12" s="51">
        <v>50</v>
      </c>
      <c r="AH12" s="48">
        <f t="shared" ref="AH12:AH75" si="2">MAX(B12:AF12)</f>
        <v>50.7</v>
      </c>
      <c r="AI12" s="49">
        <f t="shared" ref="AI12:AI75" si="3">MIN(B12:AF12)</f>
        <v>25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30.6</v>
      </c>
      <c r="C13" s="45">
        <v>30.6</v>
      </c>
      <c r="D13" s="45">
        <v>30.6</v>
      </c>
      <c r="E13" s="45">
        <v>30.6</v>
      </c>
      <c r="F13" s="45">
        <v>30.6</v>
      </c>
      <c r="G13" s="45">
        <v>30.6</v>
      </c>
      <c r="H13" s="45">
        <v>30.6</v>
      </c>
      <c r="I13" s="45">
        <v>30.6</v>
      </c>
      <c r="J13" s="45">
        <v>30.6</v>
      </c>
      <c r="K13" s="45">
        <v>30.6</v>
      </c>
      <c r="L13" s="45">
        <v>41.8</v>
      </c>
      <c r="M13" s="45">
        <v>41.8</v>
      </c>
      <c r="N13" s="45">
        <v>41.8</v>
      </c>
      <c r="O13" s="45">
        <v>41.8</v>
      </c>
      <c r="P13" s="45">
        <v>41.8</v>
      </c>
      <c r="Q13" s="45">
        <v>30.7</v>
      </c>
      <c r="R13" s="45">
        <v>30.7</v>
      </c>
      <c r="S13" s="45">
        <v>30.2</v>
      </c>
      <c r="T13" s="45">
        <v>30.2</v>
      </c>
      <c r="U13" s="45">
        <v>30.2</v>
      </c>
      <c r="V13" s="45">
        <v>30.2</v>
      </c>
      <c r="W13" s="45">
        <v>45</v>
      </c>
      <c r="X13" s="45">
        <v>45</v>
      </c>
      <c r="Y13" s="45">
        <v>45</v>
      </c>
      <c r="Z13" s="45">
        <v>45</v>
      </c>
      <c r="AA13" s="45">
        <v>45</v>
      </c>
      <c r="AB13" s="45">
        <v>45.7</v>
      </c>
      <c r="AC13" s="45">
        <v>45.7</v>
      </c>
      <c r="AD13" s="45">
        <v>36.9</v>
      </c>
      <c r="AE13" s="45">
        <v>36.799999999999997</v>
      </c>
      <c r="AF13" s="45">
        <v>36.9</v>
      </c>
      <c r="AG13" s="51">
        <v>45</v>
      </c>
      <c r="AH13" s="48">
        <f t="shared" si="2"/>
        <v>45.7</v>
      </c>
      <c r="AI13" s="49">
        <f t="shared" si="3"/>
        <v>30.2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14</v>
      </c>
      <c r="C14" s="45">
        <v>14</v>
      </c>
      <c r="D14" s="45">
        <v>14</v>
      </c>
      <c r="E14" s="45">
        <v>14</v>
      </c>
      <c r="F14" s="45">
        <v>15</v>
      </c>
      <c r="G14" s="45">
        <v>15</v>
      </c>
      <c r="H14" s="45">
        <v>15</v>
      </c>
      <c r="I14" s="45">
        <v>15</v>
      </c>
      <c r="J14" s="45">
        <v>15</v>
      </c>
      <c r="K14" s="45">
        <v>15</v>
      </c>
      <c r="L14" s="45">
        <v>15</v>
      </c>
      <c r="M14" s="45">
        <v>15</v>
      </c>
      <c r="N14" s="45">
        <v>15</v>
      </c>
      <c r="O14" s="45">
        <v>15</v>
      </c>
      <c r="P14" s="45">
        <v>15</v>
      </c>
      <c r="Q14" s="45">
        <v>15</v>
      </c>
      <c r="R14" s="45">
        <v>15</v>
      </c>
      <c r="S14" s="45">
        <v>15</v>
      </c>
      <c r="T14" s="45">
        <v>15</v>
      </c>
      <c r="U14" s="45">
        <v>15</v>
      </c>
      <c r="V14" s="45">
        <v>15</v>
      </c>
      <c r="W14" s="45">
        <v>15</v>
      </c>
      <c r="X14" s="45">
        <v>28</v>
      </c>
      <c r="Y14" s="45">
        <v>28</v>
      </c>
      <c r="Z14" s="45">
        <v>20</v>
      </c>
      <c r="AA14" s="45">
        <v>20</v>
      </c>
      <c r="AB14" s="45">
        <v>21</v>
      </c>
      <c r="AC14" s="45">
        <v>21</v>
      </c>
      <c r="AD14" s="45">
        <v>15.5</v>
      </c>
      <c r="AE14" s="45">
        <v>15.5</v>
      </c>
      <c r="AF14" s="45">
        <v>15.5</v>
      </c>
      <c r="AG14" s="51">
        <v>42</v>
      </c>
      <c r="AH14" s="48">
        <f t="shared" si="2"/>
        <v>28</v>
      </c>
      <c r="AI14" s="49">
        <f t="shared" si="3"/>
        <v>14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30</v>
      </c>
      <c r="Y15" s="45">
        <v>25.5</v>
      </c>
      <c r="Z15" s="45">
        <v>15</v>
      </c>
      <c r="AA15" s="45">
        <v>10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52">
        <v>30</v>
      </c>
      <c r="AH15" s="48">
        <f t="shared" si="2"/>
        <v>30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15.5</v>
      </c>
      <c r="C16" s="45">
        <v>15.5</v>
      </c>
      <c r="D16" s="45">
        <v>15.5</v>
      </c>
      <c r="E16" s="45">
        <v>15.5</v>
      </c>
      <c r="F16" s="45">
        <v>15.5</v>
      </c>
      <c r="G16" s="45">
        <v>15.5</v>
      </c>
      <c r="H16" s="45">
        <v>15.5</v>
      </c>
      <c r="I16" s="45">
        <v>15.5</v>
      </c>
      <c r="J16" s="45">
        <v>15.5</v>
      </c>
      <c r="K16" s="45">
        <v>15.5</v>
      </c>
      <c r="L16" s="45">
        <v>15.5</v>
      </c>
      <c r="M16" s="45">
        <v>15.5</v>
      </c>
      <c r="N16" s="45">
        <v>15.5</v>
      </c>
      <c r="O16" s="45">
        <v>15.5</v>
      </c>
      <c r="P16" s="45">
        <v>15.5</v>
      </c>
      <c r="Q16" s="45">
        <v>15.5</v>
      </c>
      <c r="R16" s="45">
        <v>15.5</v>
      </c>
      <c r="S16" s="45">
        <v>15.7</v>
      </c>
      <c r="T16" s="45">
        <v>15.7</v>
      </c>
      <c r="U16" s="45">
        <v>15.7</v>
      </c>
      <c r="V16" s="45">
        <v>15.7</v>
      </c>
      <c r="W16" s="45">
        <v>15.7</v>
      </c>
      <c r="X16" s="45">
        <v>15.7</v>
      </c>
      <c r="Y16" s="45">
        <v>15.7</v>
      </c>
      <c r="Z16" s="45">
        <v>15.7</v>
      </c>
      <c r="AA16" s="45">
        <v>15.7</v>
      </c>
      <c r="AB16" s="45">
        <v>15.6</v>
      </c>
      <c r="AC16" s="45">
        <v>15.6</v>
      </c>
      <c r="AD16" s="45">
        <v>15.6</v>
      </c>
      <c r="AE16" s="45">
        <v>15.6</v>
      </c>
      <c r="AF16" s="45">
        <v>15.6</v>
      </c>
      <c r="AG16" s="51">
        <v>24.2</v>
      </c>
      <c r="AH16" s="48">
        <f t="shared" si="2"/>
        <v>15.7</v>
      </c>
      <c r="AI16" s="49">
        <f t="shared" si="3"/>
        <v>15.5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6</v>
      </c>
      <c r="X17" s="45">
        <v>27</v>
      </c>
      <c r="Y17" s="45">
        <v>27</v>
      </c>
      <c r="Z17" s="45">
        <v>14</v>
      </c>
      <c r="AA17" s="45">
        <v>14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52">
        <v>30</v>
      </c>
      <c r="AH17" s="48">
        <f t="shared" si="2"/>
        <v>27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15.7</v>
      </c>
      <c r="C18" s="45">
        <v>15.7</v>
      </c>
      <c r="D18" s="45">
        <v>15.7</v>
      </c>
      <c r="E18" s="45">
        <v>15.7</v>
      </c>
      <c r="F18" s="45">
        <v>15.7</v>
      </c>
      <c r="G18" s="45">
        <v>15.7</v>
      </c>
      <c r="H18" s="45">
        <v>15.7</v>
      </c>
      <c r="I18" s="45">
        <v>15.7</v>
      </c>
      <c r="J18" s="45">
        <v>15.7</v>
      </c>
      <c r="K18" s="45">
        <v>15.7</v>
      </c>
      <c r="L18" s="45">
        <v>15.7</v>
      </c>
      <c r="M18" s="45">
        <v>10.6</v>
      </c>
      <c r="N18" s="45">
        <v>10.6</v>
      </c>
      <c r="O18" s="45">
        <v>10.6</v>
      </c>
      <c r="P18" s="45">
        <v>10.6</v>
      </c>
      <c r="Q18" s="45">
        <v>10.6</v>
      </c>
      <c r="R18" s="45">
        <v>10.6</v>
      </c>
      <c r="S18" s="45">
        <v>13.1</v>
      </c>
      <c r="T18" s="45">
        <v>13.1</v>
      </c>
      <c r="U18" s="45">
        <v>13.1</v>
      </c>
      <c r="V18" s="45">
        <v>13.1</v>
      </c>
      <c r="W18" s="45">
        <v>13.1</v>
      </c>
      <c r="X18" s="45">
        <v>25.4</v>
      </c>
      <c r="Y18" s="45">
        <v>25.4</v>
      </c>
      <c r="Z18" s="45">
        <v>20</v>
      </c>
      <c r="AA18" s="45">
        <v>20</v>
      </c>
      <c r="AB18" s="45">
        <v>21</v>
      </c>
      <c r="AC18" s="45">
        <v>21</v>
      </c>
      <c r="AD18" s="45">
        <v>13.2</v>
      </c>
      <c r="AE18" s="45">
        <v>13.1</v>
      </c>
      <c r="AF18" s="45">
        <v>13.2</v>
      </c>
      <c r="AG18" s="51">
        <v>25</v>
      </c>
      <c r="AH18" s="48">
        <f t="shared" si="2"/>
        <v>25.4</v>
      </c>
      <c r="AI18" s="49">
        <f t="shared" si="3"/>
        <v>10.6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25</v>
      </c>
      <c r="C19" s="45">
        <v>25</v>
      </c>
      <c r="D19" s="45">
        <v>25</v>
      </c>
      <c r="E19" s="45">
        <v>25</v>
      </c>
      <c r="F19" s="45">
        <v>25</v>
      </c>
      <c r="G19" s="45">
        <v>25</v>
      </c>
      <c r="H19" s="45">
        <v>25</v>
      </c>
      <c r="I19" s="45">
        <v>25</v>
      </c>
      <c r="J19" s="45">
        <v>25</v>
      </c>
      <c r="K19" s="45">
        <v>25</v>
      </c>
      <c r="L19" s="45">
        <v>25</v>
      </c>
      <c r="M19" s="45">
        <v>25</v>
      </c>
      <c r="N19" s="45">
        <v>25</v>
      </c>
      <c r="O19" s="45">
        <v>0</v>
      </c>
      <c r="P19" s="45">
        <v>0</v>
      </c>
      <c r="Q19" s="45">
        <v>0</v>
      </c>
      <c r="R19" s="45">
        <v>25</v>
      </c>
      <c r="S19" s="45">
        <v>25</v>
      </c>
      <c r="T19" s="45">
        <v>25</v>
      </c>
      <c r="U19" s="45">
        <v>25</v>
      </c>
      <c r="V19" s="45">
        <v>25</v>
      </c>
      <c r="W19" s="45">
        <v>25</v>
      </c>
      <c r="X19" s="45">
        <v>25</v>
      </c>
      <c r="Y19" s="45">
        <v>25</v>
      </c>
      <c r="Z19" s="45">
        <v>25</v>
      </c>
      <c r="AA19" s="45">
        <v>25</v>
      </c>
      <c r="AB19" s="45">
        <v>25</v>
      </c>
      <c r="AC19" s="45">
        <v>25</v>
      </c>
      <c r="AD19" s="45">
        <v>25</v>
      </c>
      <c r="AE19" s="45">
        <v>25</v>
      </c>
      <c r="AF19" s="45">
        <v>25</v>
      </c>
      <c r="AG19" s="51">
        <v>25</v>
      </c>
      <c r="AH19" s="48">
        <f t="shared" si="2"/>
        <v>25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15</v>
      </c>
      <c r="C20" s="45">
        <v>15</v>
      </c>
      <c r="D20" s="45">
        <v>15</v>
      </c>
      <c r="E20" s="45">
        <v>15</v>
      </c>
      <c r="F20" s="45">
        <v>15</v>
      </c>
      <c r="G20" s="45">
        <v>15</v>
      </c>
      <c r="H20" s="45">
        <v>15</v>
      </c>
      <c r="I20" s="45">
        <v>15</v>
      </c>
      <c r="J20" s="45">
        <v>15</v>
      </c>
      <c r="K20" s="45">
        <v>15</v>
      </c>
      <c r="L20" s="45">
        <v>15</v>
      </c>
      <c r="M20" s="45">
        <v>15</v>
      </c>
      <c r="N20" s="45">
        <v>15</v>
      </c>
      <c r="O20" s="45">
        <v>15</v>
      </c>
      <c r="P20" s="45">
        <v>15</v>
      </c>
      <c r="Q20" s="45">
        <v>15</v>
      </c>
      <c r="R20" s="45">
        <v>15</v>
      </c>
      <c r="S20" s="45">
        <v>15</v>
      </c>
      <c r="T20" s="45">
        <v>15</v>
      </c>
      <c r="U20" s="45">
        <v>15</v>
      </c>
      <c r="V20" s="45">
        <v>15</v>
      </c>
      <c r="W20" s="45">
        <v>25</v>
      </c>
      <c r="X20" s="45">
        <v>25</v>
      </c>
      <c r="Y20" s="45">
        <v>25</v>
      </c>
      <c r="Z20" s="45">
        <v>25</v>
      </c>
      <c r="AA20" s="45">
        <v>25</v>
      </c>
      <c r="AB20" s="45">
        <v>25</v>
      </c>
      <c r="AC20" s="45">
        <v>25</v>
      </c>
      <c r="AD20" s="45">
        <v>25</v>
      </c>
      <c r="AE20" s="45">
        <v>25</v>
      </c>
      <c r="AF20" s="45">
        <v>10</v>
      </c>
      <c r="AG20" s="51">
        <v>25</v>
      </c>
      <c r="AH20" s="48">
        <f t="shared" si="2"/>
        <v>25</v>
      </c>
      <c r="AI20" s="49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22.7</v>
      </c>
      <c r="C21" s="45">
        <v>22.7</v>
      </c>
      <c r="D21" s="45">
        <v>22.7</v>
      </c>
      <c r="E21" s="45">
        <v>22.7</v>
      </c>
      <c r="F21" s="45">
        <v>22.7</v>
      </c>
      <c r="G21" s="45">
        <v>22.7</v>
      </c>
      <c r="H21" s="45">
        <v>22.7</v>
      </c>
      <c r="I21" s="45">
        <v>22.7</v>
      </c>
      <c r="J21" s="45">
        <v>22.7</v>
      </c>
      <c r="K21" s="45">
        <v>22.7</v>
      </c>
      <c r="L21" s="45">
        <v>22.7</v>
      </c>
      <c r="M21" s="45">
        <v>22.7</v>
      </c>
      <c r="N21" s="45">
        <v>22.7</v>
      </c>
      <c r="O21" s="45">
        <v>22.7</v>
      </c>
      <c r="P21" s="45">
        <v>22.7</v>
      </c>
      <c r="Q21" s="45">
        <v>22.7</v>
      </c>
      <c r="R21" s="45">
        <v>22.7</v>
      </c>
      <c r="S21" s="45">
        <v>22.5</v>
      </c>
      <c r="T21" s="45">
        <v>22.5</v>
      </c>
      <c r="U21" s="45">
        <v>22.5</v>
      </c>
      <c r="V21" s="45">
        <v>22.5</v>
      </c>
      <c r="W21" s="45">
        <v>22.5</v>
      </c>
      <c r="X21" s="45">
        <v>22.5</v>
      </c>
      <c r="Y21" s="45">
        <v>22.5</v>
      </c>
      <c r="Z21" s="45">
        <v>22.5</v>
      </c>
      <c r="AA21" s="45">
        <v>22.5</v>
      </c>
      <c r="AB21" s="45">
        <v>22.4</v>
      </c>
      <c r="AC21" s="45">
        <v>22.4</v>
      </c>
      <c r="AD21" s="45">
        <v>22.4</v>
      </c>
      <c r="AE21" s="45">
        <v>22.4</v>
      </c>
      <c r="AF21" s="45">
        <v>22.4</v>
      </c>
      <c r="AG21" s="51">
        <v>23.5</v>
      </c>
      <c r="AH21" s="48">
        <f t="shared" si="2"/>
        <v>22.7</v>
      </c>
      <c r="AI21" s="49">
        <f t="shared" si="3"/>
        <v>22.4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8</v>
      </c>
      <c r="M22" s="45">
        <v>8</v>
      </c>
      <c r="N22" s="45">
        <v>8</v>
      </c>
      <c r="O22" s="45">
        <v>8</v>
      </c>
      <c r="P22" s="45">
        <v>8</v>
      </c>
      <c r="Q22" s="45">
        <v>8</v>
      </c>
      <c r="R22" s="45">
        <v>8</v>
      </c>
      <c r="S22" s="45">
        <v>8</v>
      </c>
      <c r="T22" s="45">
        <v>8</v>
      </c>
      <c r="U22" s="45">
        <v>8</v>
      </c>
      <c r="V22" s="45">
        <v>8</v>
      </c>
      <c r="W22" s="45">
        <v>16</v>
      </c>
      <c r="X22" s="45">
        <v>16</v>
      </c>
      <c r="Y22" s="45">
        <v>16</v>
      </c>
      <c r="Z22" s="45">
        <v>16</v>
      </c>
      <c r="AA22" s="45">
        <v>16</v>
      </c>
      <c r="AB22" s="45">
        <v>14</v>
      </c>
      <c r="AC22" s="45">
        <v>14</v>
      </c>
      <c r="AD22" s="45">
        <v>14</v>
      </c>
      <c r="AE22" s="45">
        <v>14</v>
      </c>
      <c r="AF22" s="45">
        <v>14</v>
      </c>
      <c r="AG22" s="51">
        <v>22.2</v>
      </c>
      <c r="AH22" s="48">
        <f t="shared" si="2"/>
        <v>16</v>
      </c>
      <c r="AI22" s="49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22</v>
      </c>
      <c r="C23" s="45">
        <v>22</v>
      </c>
      <c r="D23" s="45">
        <v>22</v>
      </c>
      <c r="E23" s="45">
        <v>22</v>
      </c>
      <c r="F23" s="45">
        <v>22</v>
      </c>
      <c r="G23" s="45">
        <v>22</v>
      </c>
      <c r="H23" s="45">
        <v>22</v>
      </c>
      <c r="I23" s="45">
        <v>22</v>
      </c>
      <c r="J23" s="45">
        <v>22</v>
      </c>
      <c r="K23" s="45">
        <v>22</v>
      </c>
      <c r="L23" s="45">
        <v>22</v>
      </c>
      <c r="M23" s="45">
        <v>22</v>
      </c>
      <c r="N23" s="45">
        <v>22</v>
      </c>
      <c r="O23" s="45">
        <v>22</v>
      </c>
      <c r="P23" s="45">
        <v>22</v>
      </c>
      <c r="Q23" s="45">
        <v>22</v>
      </c>
      <c r="R23" s="45">
        <v>22</v>
      </c>
      <c r="S23" s="45">
        <v>22</v>
      </c>
      <c r="T23" s="45">
        <v>22</v>
      </c>
      <c r="U23" s="45">
        <v>22</v>
      </c>
      <c r="V23" s="45">
        <v>22</v>
      </c>
      <c r="W23" s="45">
        <v>22</v>
      </c>
      <c r="X23" s="45">
        <v>22</v>
      </c>
      <c r="Y23" s="45">
        <v>22</v>
      </c>
      <c r="Z23" s="45">
        <v>22</v>
      </c>
      <c r="AA23" s="45">
        <v>22</v>
      </c>
      <c r="AB23" s="45">
        <v>22</v>
      </c>
      <c r="AC23" s="45">
        <v>22</v>
      </c>
      <c r="AD23" s="45">
        <v>22</v>
      </c>
      <c r="AE23" s="45">
        <v>22</v>
      </c>
      <c r="AF23" s="45">
        <v>22</v>
      </c>
      <c r="AG23" s="51">
        <v>22.1</v>
      </c>
      <c r="AH23" s="48">
        <f t="shared" si="2"/>
        <v>22</v>
      </c>
      <c r="AI23" s="49">
        <f t="shared" si="3"/>
        <v>22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22</v>
      </c>
      <c r="C24" s="45">
        <v>22</v>
      </c>
      <c r="D24" s="45">
        <v>22</v>
      </c>
      <c r="E24" s="45">
        <v>22</v>
      </c>
      <c r="F24" s="45">
        <v>22</v>
      </c>
      <c r="G24" s="45">
        <v>22</v>
      </c>
      <c r="H24" s="45">
        <v>22</v>
      </c>
      <c r="I24" s="45">
        <v>22</v>
      </c>
      <c r="J24" s="45">
        <v>22</v>
      </c>
      <c r="K24" s="45">
        <v>22</v>
      </c>
      <c r="L24" s="45">
        <v>22</v>
      </c>
      <c r="M24" s="45">
        <v>22</v>
      </c>
      <c r="N24" s="45">
        <v>22</v>
      </c>
      <c r="O24" s="45">
        <v>22</v>
      </c>
      <c r="P24" s="45">
        <v>22</v>
      </c>
      <c r="Q24" s="45">
        <v>22</v>
      </c>
      <c r="R24" s="45">
        <v>22</v>
      </c>
      <c r="S24" s="45">
        <v>22</v>
      </c>
      <c r="T24" s="45">
        <v>22</v>
      </c>
      <c r="U24" s="45">
        <v>22</v>
      </c>
      <c r="V24" s="45">
        <v>22</v>
      </c>
      <c r="W24" s="45">
        <v>22</v>
      </c>
      <c r="X24" s="45">
        <v>22</v>
      </c>
      <c r="Y24" s="45">
        <v>22</v>
      </c>
      <c r="Z24" s="45">
        <v>22</v>
      </c>
      <c r="AA24" s="45">
        <v>22</v>
      </c>
      <c r="AB24" s="45">
        <v>22</v>
      </c>
      <c r="AC24" s="45">
        <v>22</v>
      </c>
      <c r="AD24" s="45">
        <v>22</v>
      </c>
      <c r="AE24" s="45">
        <v>22</v>
      </c>
      <c r="AF24" s="45">
        <v>22</v>
      </c>
      <c r="AG24" s="51">
        <v>22</v>
      </c>
      <c r="AH24" s="48">
        <f t="shared" si="2"/>
        <v>22</v>
      </c>
      <c r="AI24" s="49">
        <f t="shared" si="3"/>
        <v>22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18</v>
      </c>
      <c r="C25" s="45">
        <v>18</v>
      </c>
      <c r="D25" s="45">
        <v>18</v>
      </c>
      <c r="E25" s="45">
        <v>18</v>
      </c>
      <c r="F25" s="45">
        <v>18</v>
      </c>
      <c r="G25" s="45">
        <v>18</v>
      </c>
      <c r="H25" s="45">
        <v>18</v>
      </c>
      <c r="I25" s="45">
        <v>18</v>
      </c>
      <c r="J25" s="45">
        <v>18</v>
      </c>
      <c r="K25" s="45">
        <v>18</v>
      </c>
      <c r="L25" s="45">
        <v>18</v>
      </c>
      <c r="M25" s="45">
        <v>18</v>
      </c>
      <c r="N25" s="45">
        <v>18</v>
      </c>
      <c r="O25" s="45">
        <v>18</v>
      </c>
      <c r="P25" s="45">
        <v>18</v>
      </c>
      <c r="Q25" s="45">
        <v>18</v>
      </c>
      <c r="R25" s="45">
        <v>18</v>
      </c>
      <c r="S25" s="45">
        <v>18</v>
      </c>
      <c r="T25" s="45">
        <v>18</v>
      </c>
      <c r="U25" s="45">
        <v>18</v>
      </c>
      <c r="V25" s="45">
        <v>18</v>
      </c>
      <c r="W25" s="45">
        <v>22</v>
      </c>
      <c r="X25" s="45">
        <v>22</v>
      </c>
      <c r="Y25" s="45">
        <v>22</v>
      </c>
      <c r="Z25" s="45">
        <v>22</v>
      </c>
      <c r="AA25" s="45">
        <v>22</v>
      </c>
      <c r="AB25" s="45">
        <v>22</v>
      </c>
      <c r="AC25" s="45">
        <v>22</v>
      </c>
      <c r="AD25" s="45">
        <v>10</v>
      </c>
      <c r="AE25" s="45">
        <v>10</v>
      </c>
      <c r="AF25" s="45">
        <v>10</v>
      </c>
      <c r="AG25" s="51">
        <v>22</v>
      </c>
      <c r="AH25" s="48">
        <f t="shared" si="2"/>
        <v>22</v>
      </c>
      <c r="AI25" s="49">
        <f t="shared" si="3"/>
        <v>10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10</v>
      </c>
      <c r="Y26" s="45">
        <v>10</v>
      </c>
      <c r="Z26" s="45">
        <v>10</v>
      </c>
      <c r="AA26" s="45">
        <v>10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>
        <v>14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14.9</v>
      </c>
      <c r="AH27" s="48">
        <f t="shared" si="2"/>
        <v>14</v>
      </c>
      <c r="AI27" s="49">
        <f t="shared" si="3"/>
        <v>14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51">
        <v>13.6</v>
      </c>
      <c r="AH28" s="48">
        <f t="shared" si="2"/>
        <v>6</v>
      </c>
      <c r="AI28" s="49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6</v>
      </c>
      <c r="C29" s="45">
        <v>6</v>
      </c>
      <c r="D29" s="45">
        <v>6</v>
      </c>
      <c r="E29" s="45">
        <v>6</v>
      </c>
      <c r="F29" s="45">
        <v>6</v>
      </c>
      <c r="G29" s="45">
        <v>6</v>
      </c>
      <c r="H29" s="45">
        <v>6</v>
      </c>
      <c r="I29" s="45">
        <v>6</v>
      </c>
      <c r="J29" s="45">
        <v>6</v>
      </c>
      <c r="K29" s="45">
        <v>6</v>
      </c>
      <c r="L29" s="45">
        <v>6</v>
      </c>
      <c r="M29" s="45">
        <v>6</v>
      </c>
      <c r="N29" s="45">
        <v>6</v>
      </c>
      <c r="O29" s="45">
        <v>6</v>
      </c>
      <c r="P29" s="45">
        <v>6</v>
      </c>
      <c r="Q29" s="45">
        <v>6</v>
      </c>
      <c r="R29" s="45">
        <v>6</v>
      </c>
      <c r="S29" s="45">
        <v>6</v>
      </c>
      <c r="T29" s="45">
        <v>6</v>
      </c>
      <c r="U29" s="45">
        <v>6</v>
      </c>
      <c r="V29" s="45">
        <v>6</v>
      </c>
      <c r="W29" s="45">
        <v>6</v>
      </c>
      <c r="X29" s="45">
        <v>6</v>
      </c>
      <c r="Y29" s="45">
        <v>6</v>
      </c>
      <c r="Z29" s="45">
        <v>6</v>
      </c>
      <c r="AA29" s="45">
        <v>6</v>
      </c>
      <c r="AB29" s="45">
        <v>12</v>
      </c>
      <c r="AC29" s="45">
        <v>12</v>
      </c>
      <c r="AD29" s="45">
        <v>6</v>
      </c>
      <c r="AE29" s="45">
        <v>6</v>
      </c>
      <c r="AF29" s="45">
        <v>6</v>
      </c>
      <c r="AG29" s="51">
        <v>13</v>
      </c>
      <c r="AH29" s="48">
        <f t="shared" si="2"/>
        <v>12</v>
      </c>
      <c r="AI29" s="49">
        <f t="shared" si="3"/>
        <v>6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6</v>
      </c>
      <c r="X30" s="45">
        <v>12</v>
      </c>
      <c r="Y30" s="45">
        <v>12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51">
        <v>12</v>
      </c>
      <c r="AH30" s="48">
        <f t="shared" si="2"/>
        <v>12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12</v>
      </c>
      <c r="C31" s="45">
        <v>12</v>
      </c>
      <c r="D31" s="45">
        <v>12</v>
      </c>
      <c r="E31" s="45">
        <v>12</v>
      </c>
      <c r="F31" s="45">
        <v>4</v>
      </c>
      <c r="G31" s="45">
        <v>4</v>
      </c>
      <c r="H31" s="45">
        <v>4</v>
      </c>
      <c r="I31" s="45">
        <v>4</v>
      </c>
      <c r="J31" s="45">
        <v>4</v>
      </c>
      <c r="K31" s="45">
        <v>4</v>
      </c>
      <c r="L31" s="45">
        <v>4</v>
      </c>
      <c r="M31" s="45">
        <v>12</v>
      </c>
      <c r="N31" s="45">
        <v>8</v>
      </c>
      <c r="O31" s="45">
        <v>8</v>
      </c>
      <c r="P31" s="45">
        <v>8</v>
      </c>
      <c r="Q31" s="45">
        <v>8</v>
      </c>
      <c r="R31" s="45">
        <v>8</v>
      </c>
      <c r="S31" s="45">
        <v>8</v>
      </c>
      <c r="T31" s="45">
        <v>8</v>
      </c>
      <c r="U31" s="45">
        <v>8</v>
      </c>
      <c r="V31" s="45">
        <v>8</v>
      </c>
      <c r="W31" s="45">
        <v>8</v>
      </c>
      <c r="X31" s="45">
        <v>8</v>
      </c>
      <c r="Y31" s="45">
        <v>8</v>
      </c>
      <c r="Z31" s="45">
        <v>8</v>
      </c>
      <c r="AA31" s="45">
        <v>8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2"/>
        <v>12</v>
      </c>
      <c r="AI31" s="49">
        <f t="shared" si="3"/>
        <v>4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</v>
      </c>
      <c r="C32" s="45">
        <v>2</v>
      </c>
      <c r="D32" s="45">
        <v>2</v>
      </c>
      <c r="E32" s="45">
        <v>2</v>
      </c>
      <c r="F32" s="45">
        <v>2</v>
      </c>
      <c r="G32" s="45">
        <v>2</v>
      </c>
      <c r="H32" s="45">
        <v>2</v>
      </c>
      <c r="I32" s="45">
        <v>2</v>
      </c>
      <c r="J32" s="45">
        <v>2</v>
      </c>
      <c r="K32" s="45">
        <v>2</v>
      </c>
      <c r="L32" s="45">
        <v>2</v>
      </c>
      <c r="M32" s="45">
        <v>2</v>
      </c>
      <c r="N32" s="45">
        <v>2</v>
      </c>
      <c r="O32" s="45">
        <v>2</v>
      </c>
      <c r="P32" s="45">
        <v>2</v>
      </c>
      <c r="Q32" s="45">
        <v>2</v>
      </c>
      <c r="R32" s="45">
        <v>2</v>
      </c>
      <c r="S32" s="45">
        <v>2</v>
      </c>
      <c r="T32" s="45">
        <v>2</v>
      </c>
      <c r="U32" s="45">
        <v>2</v>
      </c>
      <c r="V32" s="45">
        <v>2</v>
      </c>
      <c r="W32" s="45">
        <v>2</v>
      </c>
      <c r="X32" s="45">
        <v>2</v>
      </c>
      <c r="Y32" s="45">
        <v>2</v>
      </c>
      <c r="Z32" s="45">
        <v>2</v>
      </c>
      <c r="AA32" s="45">
        <v>2</v>
      </c>
      <c r="AB32" s="45">
        <v>2</v>
      </c>
      <c r="AC32" s="45">
        <v>2</v>
      </c>
      <c r="AD32" s="45">
        <v>2</v>
      </c>
      <c r="AE32" s="45">
        <v>2</v>
      </c>
      <c r="AF32" s="45">
        <v>2</v>
      </c>
      <c r="AG32" s="51">
        <v>12</v>
      </c>
      <c r="AH32" s="48">
        <f t="shared" si="2"/>
        <v>2</v>
      </c>
      <c r="AI32" s="49">
        <f t="shared" si="3"/>
        <v>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8</v>
      </c>
      <c r="C33" s="45">
        <v>8</v>
      </c>
      <c r="D33" s="45">
        <v>8</v>
      </c>
      <c r="E33" s="45">
        <v>8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3">
        <v>22</v>
      </c>
      <c r="AH33" s="48">
        <f t="shared" si="2"/>
        <v>8</v>
      </c>
      <c r="AI33" s="49">
        <f t="shared" si="3"/>
        <v>8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6</v>
      </c>
      <c r="C34" s="45">
        <v>6</v>
      </c>
      <c r="D34" s="45">
        <v>6</v>
      </c>
      <c r="E34" s="45">
        <v>6</v>
      </c>
      <c r="F34" s="45">
        <v>6</v>
      </c>
      <c r="G34" s="45">
        <v>6</v>
      </c>
      <c r="H34" s="45">
        <v>6</v>
      </c>
      <c r="I34" s="45">
        <v>6</v>
      </c>
      <c r="J34" s="45">
        <v>6</v>
      </c>
      <c r="K34" s="45">
        <v>6</v>
      </c>
      <c r="L34" s="45">
        <v>6</v>
      </c>
      <c r="M34" s="45">
        <v>6</v>
      </c>
      <c r="N34" s="45">
        <v>6</v>
      </c>
      <c r="O34" s="45">
        <v>6</v>
      </c>
      <c r="P34" s="45">
        <v>6</v>
      </c>
      <c r="Q34" s="45">
        <v>6</v>
      </c>
      <c r="R34" s="45">
        <v>6</v>
      </c>
      <c r="S34" s="45">
        <v>6</v>
      </c>
      <c r="T34" s="45">
        <v>6</v>
      </c>
      <c r="U34" s="45">
        <v>6</v>
      </c>
      <c r="V34" s="45">
        <v>6</v>
      </c>
      <c r="W34" s="45">
        <v>6</v>
      </c>
      <c r="X34" s="45">
        <v>6</v>
      </c>
      <c r="Y34" s="45">
        <v>6</v>
      </c>
      <c r="Z34" s="45">
        <v>6</v>
      </c>
      <c r="AA34" s="45">
        <v>6</v>
      </c>
      <c r="AB34" s="45">
        <v>11</v>
      </c>
      <c r="AC34" s="45">
        <v>11</v>
      </c>
      <c r="AD34" s="45">
        <v>6</v>
      </c>
      <c r="AE34" s="45">
        <v>6</v>
      </c>
      <c r="AF34" s="45">
        <v>6</v>
      </c>
      <c r="AG34" s="52">
        <v>11.88</v>
      </c>
      <c r="AH34" s="48">
        <f t="shared" si="2"/>
        <v>11</v>
      </c>
      <c r="AI34" s="49">
        <f t="shared" si="3"/>
        <v>6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7</v>
      </c>
      <c r="C35" s="45">
        <v>7</v>
      </c>
      <c r="D35" s="45">
        <v>7</v>
      </c>
      <c r="E35" s="45">
        <v>7</v>
      </c>
      <c r="F35" s="45">
        <v>7</v>
      </c>
      <c r="G35" s="45">
        <v>7</v>
      </c>
      <c r="H35" s="45">
        <v>7</v>
      </c>
      <c r="I35" s="45">
        <v>7</v>
      </c>
      <c r="J35" s="45">
        <v>7</v>
      </c>
      <c r="K35" s="45">
        <v>7</v>
      </c>
      <c r="L35" s="45">
        <v>7</v>
      </c>
      <c r="M35" s="45">
        <v>7</v>
      </c>
      <c r="N35" s="45">
        <v>7</v>
      </c>
      <c r="O35" s="45">
        <v>7</v>
      </c>
      <c r="P35" s="45">
        <v>7</v>
      </c>
      <c r="Q35" s="45">
        <v>7</v>
      </c>
      <c r="R35" s="45">
        <v>7</v>
      </c>
      <c r="S35" s="45">
        <v>7</v>
      </c>
      <c r="T35" s="45">
        <v>7</v>
      </c>
      <c r="U35" s="45">
        <v>7</v>
      </c>
      <c r="V35" s="45">
        <v>7</v>
      </c>
      <c r="W35" s="45">
        <v>7</v>
      </c>
      <c r="X35" s="45">
        <v>7</v>
      </c>
      <c r="Y35" s="45">
        <v>7</v>
      </c>
      <c r="Z35" s="45">
        <v>7</v>
      </c>
      <c r="AA35" s="45">
        <v>7</v>
      </c>
      <c r="AB35" s="45">
        <v>7</v>
      </c>
      <c r="AC35" s="45">
        <v>7</v>
      </c>
      <c r="AD35" s="45">
        <v>7</v>
      </c>
      <c r="AE35" s="45">
        <v>7</v>
      </c>
      <c r="AF35" s="45">
        <v>7</v>
      </c>
      <c r="AG35" s="55">
        <v>11</v>
      </c>
      <c r="AH35" s="48">
        <f t="shared" si="2"/>
        <v>7</v>
      </c>
      <c r="AI35" s="49">
        <f t="shared" si="3"/>
        <v>7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5</v>
      </c>
      <c r="C36" s="45">
        <v>5</v>
      </c>
      <c r="D36" s="45">
        <v>5</v>
      </c>
      <c r="E36" s="45">
        <v>5</v>
      </c>
      <c r="F36" s="45">
        <v>5</v>
      </c>
      <c r="G36" s="45">
        <v>5</v>
      </c>
      <c r="H36" s="45">
        <v>5</v>
      </c>
      <c r="I36" s="45">
        <v>5</v>
      </c>
      <c r="J36" s="45">
        <v>5</v>
      </c>
      <c r="K36" s="45">
        <v>5</v>
      </c>
      <c r="L36" s="45">
        <v>5</v>
      </c>
      <c r="M36" s="45">
        <v>5</v>
      </c>
      <c r="N36" s="45">
        <v>5</v>
      </c>
      <c r="O36" s="45">
        <v>5</v>
      </c>
      <c r="P36" s="45">
        <v>5</v>
      </c>
      <c r="Q36" s="45">
        <v>5</v>
      </c>
      <c r="R36" s="45">
        <v>5</v>
      </c>
      <c r="S36" s="45">
        <v>5</v>
      </c>
      <c r="T36" s="45">
        <v>5</v>
      </c>
      <c r="U36" s="45">
        <v>5</v>
      </c>
      <c r="V36" s="45">
        <v>5</v>
      </c>
      <c r="W36" s="45">
        <v>5</v>
      </c>
      <c r="X36" s="45">
        <v>5</v>
      </c>
      <c r="Y36" s="45">
        <v>5</v>
      </c>
      <c r="Z36" s="45">
        <v>5</v>
      </c>
      <c r="AA36" s="45">
        <v>5</v>
      </c>
      <c r="AB36" s="45">
        <v>9</v>
      </c>
      <c r="AC36" s="45">
        <v>9</v>
      </c>
      <c r="AD36" s="45">
        <v>5</v>
      </c>
      <c r="AE36" s="45">
        <v>5</v>
      </c>
      <c r="AF36" s="45">
        <v>5</v>
      </c>
      <c r="AG36" s="55">
        <v>10</v>
      </c>
      <c r="AH36" s="48">
        <f t="shared" si="2"/>
        <v>9</v>
      </c>
      <c r="AI36" s="49">
        <f t="shared" si="3"/>
        <v>5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2</v>
      </c>
      <c r="N37" s="45">
        <v>2</v>
      </c>
      <c r="O37" s="45">
        <v>2</v>
      </c>
      <c r="P37" s="45">
        <v>2</v>
      </c>
      <c r="Q37" s="45">
        <v>2</v>
      </c>
      <c r="R37" s="45">
        <v>2</v>
      </c>
      <c r="S37" s="45">
        <v>2</v>
      </c>
      <c r="T37" s="45">
        <v>2</v>
      </c>
      <c r="U37" s="45">
        <v>2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2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260</v>
      </c>
      <c r="C38" s="57">
        <v>260</v>
      </c>
      <c r="D38" s="57">
        <v>260</v>
      </c>
      <c r="E38" s="57">
        <v>260</v>
      </c>
      <c r="F38" s="57">
        <v>260</v>
      </c>
      <c r="G38" s="57">
        <v>260</v>
      </c>
      <c r="H38" s="57">
        <v>260</v>
      </c>
      <c r="I38" s="57">
        <v>260</v>
      </c>
      <c r="J38" s="57">
        <v>260</v>
      </c>
      <c r="K38" s="57">
        <v>260</v>
      </c>
      <c r="L38" s="57">
        <v>270</v>
      </c>
      <c r="M38" s="57">
        <v>270</v>
      </c>
      <c r="N38" s="57">
        <v>270</v>
      </c>
      <c r="O38" s="57">
        <v>270</v>
      </c>
      <c r="P38" s="57">
        <v>270</v>
      </c>
      <c r="Q38" s="57">
        <v>270</v>
      </c>
      <c r="R38" s="57">
        <v>270</v>
      </c>
      <c r="S38" s="57">
        <v>270</v>
      </c>
      <c r="T38" s="57">
        <v>270</v>
      </c>
      <c r="U38" s="57">
        <v>270</v>
      </c>
      <c r="V38" s="57">
        <v>270</v>
      </c>
      <c r="W38" s="57">
        <v>270</v>
      </c>
      <c r="X38" s="57">
        <v>300</v>
      </c>
      <c r="Y38" s="57">
        <v>300</v>
      </c>
      <c r="Z38" s="57">
        <v>300</v>
      </c>
      <c r="AA38" s="57">
        <v>300</v>
      </c>
      <c r="AB38" s="57">
        <v>280</v>
      </c>
      <c r="AC38" s="57">
        <v>270</v>
      </c>
      <c r="AD38" s="57">
        <v>270</v>
      </c>
      <c r="AE38" s="57">
        <v>270</v>
      </c>
      <c r="AF38" s="57">
        <v>270</v>
      </c>
      <c r="AG38" s="55">
        <v>85</v>
      </c>
      <c r="AH38" s="48">
        <f t="shared" si="2"/>
        <v>300</v>
      </c>
      <c r="AI38" s="49">
        <f t="shared" si="3"/>
        <v>260</v>
      </c>
      <c r="AK38" s="50"/>
    </row>
    <row r="39" spans="1:88" ht="15.75" thickBot="1" x14ac:dyDescent="0.3">
      <c r="A39" s="58" t="s">
        <v>47</v>
      </c>
      <c r="B39" s="59">
        <f>91.2+67.3</f>
        <v>158.5</v>
      </c>
      <c r="C39" s="59">
        <f>91.6+68.4</f>
        <v>160</v>
      </c>
      <c r="D39" s="59">
        <f>91.6+67.8</f>
        <v>159.39999999999998</v>
      </c>
      <c r="E39" s="59">
        <f>91.2+68</f>
        <v>159.19999999999999</v>
      </c>
      <c r="F39" s="59">
        <f>91.2+68.3</f>
        <v>159.5</v>
      </c>
      <c r="G39" s="59">
        <f>91.1+68.4</f>
        <v>159.5</v>
      </c>
      <c r="H39" s="59">
        <f>91.2+68</f>
        <v>159.19999999999999</v>
      </c>
      <c r="I39" s="59">
        <f>91.2+68.7</f>
        <v>159.9</v>
      </c>
      <c r="J39" s="59">
        <f>91.8+69.8</f>
        <v>161.6</v>
      </c>
      <c r="K39" s="59">
        <f>91.7+69.4</f>
        <v>161.10000000000002</v>
      </c>
      <c r="L39" s="57">
        <f>91.4+69.1</f>
        <v>160.5</v>
      </c>
      <c r="M39" s="57">
        <f>72+88.6</f>
        <v>160.6</v>
      </c>
      <c r="N39" s="57">
        <f>71.9+90.6</f>
        <v>162.5</v>
      </c>
      <c r="O39" s="57">
        <f>38.1+90.6</f>
        <v>128.69999999999999</v>
      </c>
      <c r="P39" s="57">
        <f>37.8+91.4</f>
        <v>129.19999999999999</v>
      </c>
      <c r="Q39" s="57">
        <f>55.3+88.4</f>
        <v>143.69999999999999</v>
      </c>
      <c r="R39" s="57">
        <f>65.6+91</f>
        <v>156.6</v>
      </c>
      <c r="S39" s="59">
        <v>155.30000000000001</v>
      </c>
      <c r="T39" s="59">
        <v>156</v>
      </c>
      <c r="U39" s="59">
        <v>154</v>
      </c>
      <c r="V39" s="59">
        <v>158</v>
      </c>
      <c r="W39" s="59">
        <f>85.9+69.1</f>
        <v>155</v>
      </c>
      <c r="X39" s="59">
        <f>85.9+69.1</f>
        <v>155</v>
      </c>
      <c r="Y39" s="59">
        <v>152.6</v>
      </c>
      <c r="Z39" s="59">
        <v>152.6</v>
      </c>
      <c r="AA39" s="59">
        <v>152.6</v>
      </c>
      <c r="AB39" s="59">
        <f>68.7+84.4</f>
        <v>153.10000000000002</v>
      </c>
      <c r="AC39" s="59">
        <f>69.2+86</f>
        <v>155.19999999999999</v>
      </c>
      <c r="AD39" s="59">
        <f>69.4+86.7</f>
        <v>156.10000000000002</v>
      </c>
      <c r="AE39" s="59">
        <f>69.9+89.6</f>
        <v>159.5</v>
      </c>
      <c r="AF39" s="59">
        <f>70.3+88.6</f>
        <v>158.89999999999998</v>
      </c>
      <c r="AG39" s="55">
        <v>240</v>
      </c>
      <c r="AH39" s="48">
        <f t="shared" si="2"/>
        <v>162.5</v>
      </c>
      <c r="AI39" s="49">
        <f t="shared" si="3"/>
        <v>128.69999999999999</v>
      </c>
      <c r="AK39" s="50"/>
    </row>
    <row r="40" spans="1:88" ht="15.75" thickBot="1" x14ac:dyDescent="0.3">
      <c r="A40" s="60" t="s">
        <v>48</v>
      </c>
      <c r="B40" s="61">
        <f t="shared" ref="B40:AG40" si="4">SUM(B11:B38)</f>
        <v>630</v>
      </c>
      <c r="C40" s="61">
        <f t="shared" si="4"/>
        <v>604.29999999999995</v>
      </c>
      <c r="D40" s="61">
        <f t="shared" si="4"/>
        <v>604.29999999999995</v>
      </c>
      <c r="E40" s="61">
        <f t="shared" si="4"/>
        <v>604.29999999999995</v>
      </c>
      <c r="F40" s="61">
        <f t="shared" si="4"/>
        <v>597.29999999999995</v>
      </c>
      <c r="G40" s="61">
        <f t="shared" si="4"/>
        <v>597.29999999999995</v>
      </c>
      <c r="H40" s="61">
        <f t="shared" si="4"/>
        <v>597.29999999999995</v>
      </c>
      <c r="I40" s="61">
        <f t="shared" si="4"/>
        <v>597.29999999999995</v>
      </c>
      <c r="J40" s="61">
        <f t="shared" si="4"/>
        <v>597.29999999999995</v>
      </c>
      <c r="K40" s="61">
        <f t="shared" si="4"/>
        <v>597.29999999999995</v>
      </c>
      <c r="L40" s="61">
        <f t="shared" si="4"/>
        <v>626.5</v>
      </c>
      <c r="M40" s="61">
        <f t="shared" si="4"/>
        <v>656.4</v>
      </c>
      <c r="N40" s="61">
        <f t="shared" si="4"/>
        <v>652.4</v>
      </c>
      <c r="O40" s="61">
        <f t="shared" si="4"/>
        <v>627.4</v>
      </c>
      <c r="P40" s="61">
        <f t="shared" si="4"/>
        <v>627.4</v>
      </c>
      <c r="Q40" s="61">
        <f t="shared" si="4"/>
        <v>616.29999999999995</v>
      </c>
      <c r="R40" s="61">
        <f t="shared" si="4"/>
        <v>641.29999999999995</v>
      </c>
      <c r="S40" s="61">
        <f t="shared" si="4"/>
        <v>643.79999999999995</v>
      </c>
      <c r="T40" s="61">
        <f t="shared" si="4"/>
        <v>643.79999999999995</v>
      </c>
      <c r="U40" s="61">
        <f t="shared" si="4"/>
        <v>643.79999999999995</v>
      </c>
      <c r="V40" s="61">
        <f>SUM(V11:V38)</f>
        <v>641.79999999999995</v>
      </c>
      <c r="W40" s="61">
        <f t="shared" si="4"/>
        <v>690.6</v>
      </c>
      <c r="X40" s="61">
        <f>SUM(X11:X38)</f>
        <v>812.9</v>
      </c>
      <c r="Y40" s="61">
        <f t="shared" si="4"/>
        <v>808.4</v>
      </c>
      <c r="Z40" s="61">
        <f t="shared" si="4"/>
        <v>759.5</v>
      </c>
      <c r="AA40" s="61">
        <f t="shared" si="4"/>
        <v>754.5</v>
      </c>
      <c r="AB40" s="61">
        <f t="shared" si="4"/>
        <v>720</v>
      </c>
      <c r="AC40" s="61">
        <f t="shared" si="4"/>
        <v>710</v>
      </c>
      <c r="AD40" s="61">
        <f t="shared" si="4"/>
        <v>660.9</v>
      </c>
      <c r="AE40" s="61">
        <f t="shared" si="4"/>
        <v>660.7</v>
      </c>
      <c r="AF40" s="61">
        <f t="shared" si="4"/>
        <v>645.9</v>
      </c>
      <c r="AG40" s="62">
        <f t="shared" si="4"/>
        <v>707.78000000000009</v>
      </c>
      <c r="AH40" s="48">
        <f t="shared" si="2"/>
        <v>812.9</v>
      </c>
      <c r="AI40" s="49">
        <f t="shared" si="3"/>
        <v>597.29999999999995</v>
      </c>
      <c r="AK40" s="50"/>
    </row>
    <row r="41" spans="1:88" x14ac:dyDescent="0.25">
      <c r="A41" s="6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2">
        <v>456</v>
      </c>
      <c r="AH41" s="48">
        <f t="shared" si="2"/>
        <v>0</v>
      </c>
      <c r="AI41" s="49">
        <f t="shared" si="3"/>
        <v>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17.100000000000001</v>
      </c>
      <c r="C43" s="67">
        <v>17.100000000000001</v>
      </c>
      <c r="D43" s="67">
        <v>17.100000000000001</v>
      </c>
      <c r="E43" s="67">
        <v>17.100000000000001</v>
      </c>
      <c r="F43" s="67">
        <v>17.100000000000001</v>
      </c>
      <c r="G43" s="67">
        <v>17.100000000000001</v>
      </c>
      <c r="H43" s="67">
        <v>17.100000000000001</v>
      </c>
      <c r="I43" s="67">
        <v>17.100000000000001</v>
      </c>
      <c r="J43" s="67">
        <v>17.100000000000001</v>
      </c>
      <c r="K43" s="67">
        <v>17.100000000000001</v>
      </c>
      <c r="L43" s="67">
        <v>22</v>
      </c>
      <c r="M43" s="67">
        <v>22</v>
      </c>
      <c r="N43" s="67">
        <v>22</v>
      </c>
      <c r="O43" s="67">
        <v>22</v>
      </c>
      <c r="P43" s="67">
        <v>22</v>
      </c>
      <c r="Q43" s="67">
        <v>16</v>
      </c>
      <c r="R43" s="67">
        <v>16.7</v>
      </c>
      <c r="S43" s="67">
        <v>16.7</v>
      </c>
      <c r="T43" s="67">
        <v>16.7</v>
      </c>
      <c r="U43" s="67">
        <v>16.7</v>
      </c>
      <c r="V43" s="67">
        <v>16.7</v>
      </c>
      <c r="W43" s="67">
        <v>22</v>
      </c>
      <c r="X43" s="67">
        <v>22</v>
      </c>
      <c r="Y43" s="67">
        <v>22</v>
      </c>
      <c r="Z43" s="67">
        <v>22</v>
      </c>
      <c r="AA43" s="67">
        <v>22</v>
      </c>
      <c r="AB43" s="67">
        <v>22</v>
      </c>
      <c r="AC43" s="67">
        <v>22</v>
      </c>
      <c r="AD43" s="67">
        <v>11</v>
      </c>
      <c r="AE43" s="67">
        <v>11</v>
      </c>
      <c r="AF43" s="67">
        <v>11</v>
      </c>
      <c r="AG43" s="68">
        <v>22.1</v>
      </c>
      <c r="AH43" s="48">
        <f t="shared" si="2"/>
        <v>22</v>
      </c>
      <c r="AI43" s="49">
        <f t="shared" si="3"/>
        <v>11</v>
      </c>
      <c r="AK43" s="50"/>
    </row>
    <row r="44" spans="1:88" ht="15.75" thickBot="1" x14ac:dyDescent="0.3">
      <c r="A44" s="69" t="s">
        <v>52</v>
      </c>
      <c r="B44" s="61">
        <f t="shared" ref="B44:AG44" si="5">SUM(B41:B43)</f>
        <v>77.099999999999994</v>
      </c>
      <c r="C44" s="61">
        <f t="shared" si="5"/>
        <v>77.099999999999994</v>
      </c>
      <c r="D44" s="61">
        <f t="shared" si="5"/>
        <v>77.099999999999994</v>
      </c>
      <c r="E44" s="61">
        <f t="shared" si="5"/>
        <v>77.099999999999994</v>
      </c>
      <c r="F44" s="61">
        <f t="shared" si="5"/>
        <v>77.099999999999994</v>
      </c>
      <c r="G44" s="61">
        <f t="shared" si="5"/>
        <v>77.099999999999994</v>
      </c>
      <c r="H44" s="61">
        <f t="shared" si="5"/>
        <v>77.099999999999994</v>
      </c>
      <c r="I44" s="61">
        <f t="shared" si="5"/>
        <v>77.099999999999994</v>
      </c>
      <c r="J44" s="61">
        <f t="shared" si="5"/>
        <v>77.099999999999994</v>
      </c>
      <c r="K44" s="61">
        <f t="shared" si="5"/>
        <v>77.099999999999994</v>
      </c>
      <c r="L44" s="61">
        <f t="shared" si="5"/>
        <v>82</v>
      </c>
      <c r="M44" s="61">
        <f t="shared" si="5"/>
        <v>82</v>
      </c>
      <c r="N44" s="61">
        <f t="shared" si="5"/>
        <v>82</v>
      </c>
      <c r="O44" s="61">
        <f t="shared" si="5"/>
        <v>82</v>
      </c>
      <c r="P44" s="61">
        <f t="shared" si="5"/>
        <v>82</v>
      </c>
      <c r="Q44" s="61">
        <f t="shared" si="5"/>
        <v>76</v>
      </c>
      <c r="R44" s="61">
        <f t="shared" si="5"/>
        <v>76.7</v>
      </c>
      <c r="S44" s="61">
        <f t="shared" si="5"/>
        <v>76.7</v>
      </c>
      <c r="T44" s="61">
        <f t="shared" si="5"/>
        <v>76.7</v>
      </c>
      <c r="U44" s="61">
        <f t="shared" si="5"/>
        <v>76.7</v>
      </c>
      <c r="V44" s="61">
        <f t="shared" si="5"/>
        <v>76.7</v>
      </c>
      <c r="W44" s="61">
        <f t="shared" si="5"/>
        <v>82</v>
      </c>
      <c r="X44" s="61">
        <f t="shared" si="5"/>
        <v>82</v>
      </c>
      <c r="Y44" s="61">
        <f t="shared" si="5"/>
        <v>82</v>
      </c>
      <c r="Z44" s="61">
        <f t="shared" si="5"/>
        <v>82</v>
      </c>
      <c r="AA44" s="61">
        <f t="shared" si="5"/>
        <v>82</v>
      </c>
      <c r="AB44" s="61">
        <f t="shared" si="5"/>
        <v>82</v>
      </c>
      <c r="AC44" s="61">
        <f t="shared" si="5"/>
        <v>82</v>
      </c>
      <c r="AD44" s="61">
        <f t="shared" si="5"/>
        <v>71</v>
      </c>
      <c r="AE44" s="61">
        <f t="shared" si="5"/>
        <v>71</v>
      </c>
      <c r="AF44" s="61">
        <f t="shared" si="5"/>
        <v>71</v>
      </c>
      <c r="AG44" s="62">
        <f t="shared" si="5"/>
        <v>538.1</v>
      </c>
      <c r="AH44" s="48">
        <f t="shared" si="2"/>
        <v>82</v>
      </c>
      <c r="AI44" s="49">
        <f t="shared" si="3"/>
        <v>71</v>
      </c>
      <c r="AK44" s="50"/>
    </row>
    <row r="45" spans="1:88" x14ac:dyDescent="0.25">
      <c r="A45" s="44" t="s">
        <v>53</v>
      </c>
      <c r="B45" s="45">
        <v>101</v>
      </c>
      <c r="C45" s="45">
        <v>101</v>
      </c>
      <c r="D45" s="45">
        <v>101</v>
      </c>
      <c r="E45" s="45">
        <v>91</v>
      </c>
      <c r="F45" s="45">
        <v>91.2</v>
      </c>
      <c r="G45" s="45">
        <v>91.1</v>
      </c>
      <c r="H45" s="45">
        <v>91</v>
      </c>
      <c r="I45" s="45">
        <v>111.4</v>
      </c>
      <c r="J45" s="45">
        <v>120</v>
      </c>
      <c r="K45" s="45">
        <v>131</v>
      </c>
      <c r="L45" s="45">
        <v>136.5</v>
      </c>
      <c r="M45" s="45">
        <v>132</v>
      </c>
      <c r="N45" s="45">
        <v>121.3</v>
      </c>
      <c r="O45" s="45">
        <v>121.3</v>
      </c>
      <c r="P45" s="45">
        <v>111</v>
      </c>
      <c r="Q45" s="45">
        <v>100</v>
      </c>
      <c r="R45" s="45">
        <v>70</v>
      </c>
      <c r="S45" s="45">
        <v>81</v>
      </c>
      <c r="T45" s="45">
        <v>80.900000000000006</v>
      </c>
      <c r="U45" s="45">
        <v>80.989999999999995</v>
      </c>
      <c r="V45" s="45">
        <v>105.7</v>
      </c>
      <c r="W45" s="45">
        <v>139.9</v>
      </c>
      <c r="X45" s="45">
        <v>142</v>
      </c>
      <c r="Y45" s="45">
        <v>142</v>
      </c>
      <c r="Z45" s="45">
        <v>140</v>
      </c>
      <c r="AA45" s="45">
        <v>140</v>
      </c>
      <c r="AB45" s="45">
        <v>140</v>
      </c>
      <c r="AC45" s="45">
        <v>140</v>
      </c>
      <c r="AD45" s="45">
        <v>131.80000000000001</v>
      </c>
      <c r="AE45" s="45">
        <v>121.1</v>
      </c>
      <c r="AF45" s="45">
        <v>111.2</v>
      </c>
      <c r="AG45" s="52">
        <v>144</v>
      </c>
      <c r="AH45" s="48">
        <f t="shared" si="2"/>
        <v>142</v>
      </c>
      <c r="AI45" s="49">
        <f t="shared" si="3"/>
        <v>70</v>
      </c>
      <c r="AK45" s="50"/>
    </row>
    <row r="46" spans="1:88" x14ac:dyDescent="0.25">
      <c r="A46" s="54" t="s">
        <v>54</v>
      </c>
      <c r="B46" s="65">
        <v>50.1</v>
      </c>
      <c r="C46" s="65">
        <v>50.1</v>
      </c>
      <c r="D46" s="65">
        <v>50.1</v>
      </c>
      <c r="E46" s="65">
        <v>50</v>
      </c>
      <c r="F46" s="65">
        <v>60</v>
      </c>
      <c r="G46" s="65">
        <v>60.6</v>
      </c>
      <c r="H46" s="65">
        <v>60</v>
      </c>
      <c r="I46" s="65">
        <v>60</v>
      </c>
      <c r="J46" s="65">
        <v>62.6</v>
      </c>
      <c r="K46" s="65">
        <v>61.2</v>
      </c>
      <c r="L46" s="65">
        <v>69.5</v>
      </c>
      <c r="M46" s="65">
        <v>61.9</v>
      </c>
      <c r="N46" s="45">
        <v>61.5</v>
      </c>
      <c r="O46" s="45">
        <v>62.5</v>
      </c>
      <c r="P46" s="45">
        <v>48.7</v>
      </c>
      <c r="Q46" s="45">
        <v>52.1</v>
      </c>
      <c r="R46" s="45">
        <v>64.599999999999994</v>
      </c>
      <c r="S46" s="65">
        <v>56.3</v>
      </c>
      <c r="T46" s="65">
        <v>60.6</v>
      </c>
      <c r="U46" s="65">
        <v>62.8</v>
      </c>
      <c r="V46" s="65">
        <v>65</v>
      </c>
      <c r="W46" s="65">
        <v>72</v>
      </c>
      <c r="X46" s="65">
        <v>72</v>
      </c>
      <c r="Y46" s="65">
        <v>71</v>
      </c>
      <c r="Z46" s="65">
        <v>71</v>
      </c>
      <c r="AA46" s="65">
        <v>71</v>
      </c>
      <c r="AB46" s="65">
        <v>71</v>
      </c>
      <c r="AC46" s="65">
        <v>71</v>
      </c>
      <c r="AD46" s="65">
        <v>61.7</v>
      </c>
      <c r="AE46" s="65">
        <v>61.9</v>
      </c>
      <c r="AF46" s="65">
        <v>48.6</v>
      </c>
      <c r="AG46" s="55">
        <v>70</v>
      </c>
      <c r="AH46" s="48">
        <f t="shared" si="2"/>
        <v>72</v>
      </c>
      <c r="AI46" s="49">
        <f t="shared" si="3"/>
        <v>48.6</v>
      </c>
      <c r="AK46" s="50"/>
    </row>
    <row r="47" spans="1:88" x14ac:dyDescent="0.25">
      <c r="A47" s="54" t="s">
        <v>55</v>
      </c>
      <c r="B47" s="65">
        <v>58.8</v>
      </c>
      <c r="C47" s="65">
        <v>58.8</v>
      </c>
      <c r="D47" s="65">
        <v>58.8</v>
      </c>
      <c r="E47" s="65">
        <v>43.5</v>
      </c>
      <c r="F47" s="65">
        <v>43.6</v>
      </c>
      <c r="G47" s="65">
        <v>44</v>
      </c>
      <c r="H47" s="65">
        <v>43.6</v>
      </c>
      <c r="I47" s="65">
        <v>43.5</v>
      </c>
      <c r="J47" s="65">
        <v>43.5</v>
      </c>
      <c r="K47" s="65">
        <v>63.6</v>
      </c>
      <c r="L47" s="65">
        <v>67.7</v>
      </c>
      <c r="M47" s="65">
        <v>62.9</v>
      </c>
      <c r="N47" s="45">
        <v>70.3</v>
      </c>
      <c r="O47" s="45">
        <v>62</v>
      </c>
      <c r="P47" s="45">
        <v>55.7</v>
      </c>
      <c r="Q47" s="45">
        <v>52.6</v>
      </c>
      <c r="R47" s="45">
        <v>60</v>
      </c>
      <c r="S47" s="65">
        <v>54.3</v>
      </c>
      <c r="T47" s="65">
        <v>62.2</v>
      </c>
      <c r="U47" s="65">
        <v>70.599999999999994</v>
      </c>
      <c r="V47" s="65">
        <v>70.900000000000006</v>
      </c>
      <c r="W47" s="65">
        <v>70.900000000000006</v>
      </c>
      <c r="X47" s="65">
        <v>70.900000000000006</v>
      </c>
      <c r="Y47" s="65">
        <v>70.900000000000006</v>
      </c>
      <c r="Z47" s="65">
        <v>61</v>
      </c>
      <c r="AA47" s="65">
        <v>61</v>
      </c>
      <c r="AB47" s="65">
        <v>71</v>
      </c>
      <c r="AC47" s="65">
        <v>71.099999999999994</v>
      </c>
      <c r="AD47" s="65">
        <v>70.8</v>
      </c>
      <c r="AE47" s="65">
        <v>61.3</v>
      </c>
      <c r="AF47" s="65">
        <v>51.3</v>
      </c>
      <c r="AG47" s="55">
        <v>69</v>
      </c>
      <c r="AH47" s="48">
        <f t="shared" si="2"/>
        <v>71.099999999999994</v>
      </c>
      <c r="AI47" s="49">
        <f t="shared" si="3"/>
        <v>43.5</v>
      </c>
      <c r="AK47" s="50"/>
    </row>
    <row r="48" spans="1:88" x14ac:dyDescent="0.25">
      <c r="A48" s="54" t="s">
        <v>56</v>
      </c>
      <c r="B48" s="65">
        <v>30</v>
      </c>
      <c r="C48" s="65">
        <v>30</v>
      </c>
      <c r="D48" s="65">
        <v>30</v>
      </c>
      <c r="E48" s="57">
        <v>30</v>
      </c>
      <c r="F48" s="57">
        <v>30</v>
      </c>
      <c r="G48" s="57">
        <v>30</v>
      </c>
      <c r="H48" s="57">
        <v>42.3</v>
      </c>
      <c r="I48" s="57">
        <v>51.4</v>
      </c>
      <c r="J48" s="57">
        <v>51.4</v>
      </c>
      <c r="K48" s="57">
        <v>60.7</v>
      </c>
      <c r="L48" s="57">
        <v>60.4</v>
      </c>
      <c r="M48" s="65">
        <v>60.7</v>
      </c>
      <c r="N48" s="65">
        <v>60.7</v>
      </c>
      <c r="O48" s="65">
        <v>51.9</v>
      </c>
      <c r="P48" s="45">
        <v>40.1</v>
      </c>
      <c r="Q48" s="45">
        <v>40.1</v>
      </c>
      <c r="R48" s="45">
        <v>60</v>
      </c>
      <c r="S48" s="45">
        <v>40.6</v>
      </c>
      <c r="T48" s="45">
        <v>40.6</v>
      </c>
      <c r="U48" s="45">
        <v>60</v>
      </c>
      <c r="V48" s="65">
        <v>60.9</v>
      </c>
      <c r="W48" s="65">
        <v>60.9</v>
      </c>
      <c r="X48" s="65">
        <v>60.9</v>
      </c>
      <c r="Y48" s="65">
        <v>60.9</v>
      </c>
      <c r="Z48" s="65">
        <v>60.9</v>
      </c>
      <c r="AA48" s="65">
        <v>60.9</v>
      </c>
      <c r="AB48" s="65">
        <v>60.9</v>
      </c>
      <c r="AC48" s="65">
        <v>60.9</v>
      </c>
      <c r="AD48" s="57">
        <v>51.6</v>
      </c>
      <c r="AE48" s="57">
        <v>40.299999999999997</v>
      </c>
      <c r="AF48" s="57">
        <v>30.7</v>
      </c>
      <c r="AG48" s="55">
        <v>60</v>
      </c>
      <c r="AH48" s="48">
        <f t="shared" si="2"/>
        <v>60.9</v>
      </c>
      <c r="AI48" s="49">
        <f t="shared" si="3"/>
        <v>30</v>
      </c>
      <c r="AK48" s="50"/>
    </row>
    <row r="49" spans="1:41" x14ac:dyDescent="0.25">
      <c r="A49" s="54" t="s">
        <v>57</v>
      </c>
      <c r="B49" s="65">
        <v>15</v>
      </c>
      <c r="C49" s="65">
        <v>15</v>
      </c>
      <c r="D49" s="65">
        <v>15</v>
      </c>
      <c r="E49" s="57">
        <v>15</v>
      </c>
      <c r="F49" s="57">
        <v>15</v>
      </c>
      <c r="G49" s="57">
        <v>15</v>
      </c>
      <c r="H49" s="57">
        <v>15</v>
      </c>
      <c r="I49" s="57">
        <v>15</v>
      </c>
      <c r="J49" s="57">
        <v>15</v>
      </c>
      <c r="K49" s="57">
        <v>15</v>
      </c>
      <c r="L49" s="57">
        <v>15</v>
      </c>
      <c r="M49" s="65">
        <v>15.1</v>
      </c>
      <c r="N49" s="65">
        <v>15.1</v>
      </c>
      <c r="O49" s="65">
        <v>15.1</v>
      </c>
      <c r="P49" s="45">
        <v>15.1</v>
      </c>
      <c r="Q49" s="45">
        <v>15.1</v>
      </c>
      <c r="R49" s="45">
        <v>15.1</v>
      </c>
      <c r="S49" s="45">
        <v>13.5</v>
      </c>
      <c r="T49" s="45">
        <v>13.5</v>
      </c>
      <c r="U49" s="45">
        <v>15</v>
      </c>
      <c r="V49" s="65">
        <v>30</v>
      </c>
      <c r="W49" s="65">
        <v>30</v>
      </c>
      <c r="X49" s="65">
        <v>30</v>
      </c>
      <c r="Y49" s="65">
        <v>30</v>
      </c>
      <c r="Z49" s="65">
        <v>30</v>
      </c>
      <c r="AA49" s="65">
        <v>30</v>
      </c>
      <c r="AB49" s="65">
        <v>30</v>
      </c>
      <c r="AC49" s="65">
        <v>30</v>
      </c>
      <c r="AD49" s="57">
        <v>30</v>
      </c>
      <c r="AE49" s="57">
        <v>15</v>
      </c>
      <c r="AF49" s="57">
        <v>15</v>
      </c>
      <c r="AG49" s="55">
        <v>30</v>
      </c>
      <c r="AH49" s="48">
        <f t="shared" si="2"/>
        <v>30</v>
      </c>
      <c r="AI49" s="49">
        <f t="shared" si="3"/>
        <v>13.5</v>
      </c>
      <c r="AK49" s="50"/>
    </row>
    <row r="50" spans="1:41" x14ac:dyDescent="0.25">
      <c r="A50" s="54" t="s">
        <v>58</v>
      </c>
      <c r="B50" s="45">
        <v>0</v>
      </c>
      <c r="C50" s="45">
        <v>0</v>
      </c>
      <c r="D50" s="4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8</v>
      </c>
      <c r="N50" s="65">
        <v>8</v>
      </c>
      <c r="O50" s="65">
        <v>10</v>
      </c>
      <c r="P50" s="65">
        <v>12</v>
      </c>
      <c r="Q50" s="65">
        <v>12</v>
      </c>
      <c r="R50" s="65">
        <v>12</v>
      </c>
      <c r="S50" s="45">
        <v>12</v>
      </c>
      <c r="T50" s="45">
        <v>12</v>
      </c>
      <c r="U50" s="45">
        <v>12</v>
      </c>
      <c r="V50" s="45">
        <v>0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45">
        <v>0</v>
      </c>
      <c r="AC50" s="45">
        <v>0</v>
      </c>
      <c r="AD50" s="65">
        <v>0</v>
      </c>
      <c r="AE50" s="65">
        <v>0</v>
      </c>
      <c r="AF50" s="65">
        <v>0</v>
      </c>
      <c r="AG50" s="55">
        <v>25</v>
      </c>
      <c r="AH50" s="48">
        <f t="shared" si="2"/>
        <v>12</v>
      </c>
      <c r="AI50" s="49">
        <f t="shared" si="3"/>
        <v>0</v>
      </c>
      <c r="AK50" s="50"/>
    </row>
    <row r="51" spans="1:41" x14ac:dyDescent="0.25">
      <c r="A51" s="54" t="s">
        <v>59</v>
      </c>
      <c r="B51" s="45">
        <v>17.2</v>
      </c>
      <c r="C51" s="45">
        <v>17.2</v>
      </c>
      <c r="D51" s="45">
        <v>17.2</v>
      </c>
      <c r="E51" s="45">
        <v>17.2</v>
      </c>
      <c r="F51" s="45">
        <v>17.2</v>
      </c>
      <c r="G51" s="45">
        <v>17.2</v>
      </c>
      <c r="H51" s="45">
        <v>17.2</v>
      </c>
      <c r="I51" s="45">
        <v>17.2</v>
      </c>
      <c r="J51" s="45">
        <v>17.2</v>
      </c>
      <c r="K51" s="45">
        <v>17.2</v>
      </c>
      <c r="L51" s="45">
        <v>17.2</v>
      </c>
      <c r="M51" s="45">
        <v>16.8</v>
      </c>
      <c r="N51" s="45">
        <v>16.8</v>
      </c>
      <c r="O51" s="45">
        <v>16.8</v>
      </c>
      <c r="P51" s="45">
        <v>16.8</v>
      </c>
      <c r="Q51" s="45">
        <v>16.8</v>
      </c>
      <c r="R51" s="45">
        <v>16.8</v>
      </c>
      <c r="S51" s="45">
        <v>14.9</v>
      </c>
      <c r="T51" s="45">
        <v>14.9</v>
      </c>
      <c r="U51" s="45">
        <v>14.9</v>
      </c>
      <c r="V51" s="45">
        <v>15.1</v>
      </c>
      <c r="W51" s="45">
        <v>15.9</v>
      </c>
      <c r="X51" s="45">
        <v>15.9</v>
      </c>
      <c r="Y51" s="45">
        <v>15.9</v>
      </c>
      <c r="Z51" s="45">
        <v>15.9</v>
      </c>
      <c r="AA51" s="45">
        <v>15.9</v>
      </c>
      <c r="AB51" s="45">
        <v>16.899999999999999</v>
      </c>
      <c r="AC51" s="45">
        <v>17</v>
      </c>
      <c r="AD51" s="65">
        <v>16.8</v>
      </c>
      <c r="AE51" s="65">
        <v>16.899999999999999</v>
      </c>
      <c r="AF51" s="65">
        <v>17</v>
      </c>
      <c r="AG51" s="55">
        <v>24</v>
      </c>
      <c r="AH51" s="48">
        <f t="shared" si="2"/>
        <v>17.2</v>
      </c>
      <c r="AI51" s="49">
        <f t="shared" si="3"/>
        <v>14.9</v>
      </c>
      <c r="AK51" s="50"/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10.9</v>
      </c>
      <c r="C53" s="65">
        <v>10.9</v>
      </c>
      <c r="D53" s="65">
        <v>10.9</v>
      </c>
      <c r="E53" s="65">
        <v>10.9</v>
      </c>
      <c r="F53" s="65">
        <v>10.9</v>
      </c>
      <c r="G53" s="65">
        <v>10.9</v>
      </c>
      <c r="H53" s="65">
        <v>10.9</v>
      </c>
      <c r="I53" s="65">
        <v>10.9</v>
      </c>
      <c r="J53" s="65">
        <v>10.9</v>
      </c>
      <c r="K53" s="65">
        <v>10.9</v>
      </c>
      <c r="L53" s="65">
        <v>10.9</v>
      </c>
      <c r="M53" s="65">
        <v>11.4</v>
      </c>
      <c r="N53" s="65">
        <v>11.4</v>
      </c>
      <c r="O53" s="65">
        <v>11.4</v>
      </c>
      <c r="P53" s="65">
        <v>11.4</v>
      </c>
      <c r="Q53" s="65">
        <v>11.4</v>
      </c>
      <c r="R53" s="65">
        <v>11.4</v>
      </c>
      <c r="S53" s="65">
        <v>11.2</v>
      </c>
      <c r="T53" s="65">
        <v>11.2</v>
      </c>
      <c r="U53" s="65">
        <v>11.3</v>
      </c>
      <c r="V53" s="65">
        <v>11.3</v>
      </c>
      <c r="W53" s="65">
        <v>11.3</v>
      </c>
      <c r="X53" s="65">
        <v>11.3</v>
      </c>
      <c r="Y53" s="65">
        <v>11.3</v>
      </c>
      <c r="Z53" s="65">
        <v>11.3</v>
      </c>
      <c r="AA53" s="65">
        <v>11.3</v>
      </c>
      <c r="AB53" s="65">
        <v>11.3</v>
      </c>
      <c r="AC53" s="65">
        <v>11.4</v>
      </c>
      <c r="AD53" s="65">
        <v>11.5</v>
      </c>
      <c r="AE53" s="65">
        <v>6.9</v>
      </c>
      <c r="AF53" s="65">
        <v>7.1</v>
      </c>
      <c r="AG53" s="55">
        <v>14.1</v>
      </c>
      <c r="AH53" s="48">
        <f t="shared" si="2"/>
        <v>11.5</v>
      </c>
      <c r="AI53" s="49">
        <f t="shared" si="3"/>
        <v>6.9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10.3</v>
      </c>
      <c r="C54" s="65">
        <v>10.3</v>
      </c>
      <c r="D54" s="65">
        <v>10.3</v>
      </c>
      <c r="E54" s="65">
        <v>10.3</v>
      </c>
      <c r="F54" s="65">
        <v>10.3</v>
      </c>
      <c r="G54" s="65">
        <v>10.3</v>
      </c>
      <c r="H54" s="65">
        <v>10.3</v>
      </c>
      <c r="I54" s="65">
        <v>14</v>
      </c>
      <c r="J54" s="65">
        <v>14</v>
      </c>
      <c r="K54" s="65">
        <v>14</v>
      </c>
      <c r="L54" s="65">
        <v>14</v>
      </c>
      <c r="M54" s="65">
        <v>14</v>
      </c>
      <c r="N54" s="65">
        <v>14</v>
      </c>
      <c r="O54" s="65">
        <v>10</v>
      </c>
      <c r="P54" s="65">
        <v>10</v>
      </c>
      <c r="Q54" s="65">
        <v>10</v>
      </c>
      <c r="R54" s="65">
        <v>10</v>
      </c>
      <c r="S54" s="65">
        <v>10</v>
      </c>
      <c r="T54" s="65">
        <v>10</v>
      </c>
      <c r="U54" s="65">
        <v>10</v>
      </c>
      <c r="V54" s="65">
        <v>10</v>
      </c>
      <c r="W54" s="65">
        <v>10</v>
      </c>
      <c r="X54" s="65">
        <v>10</v>
      </c>
      <c r="Y54" s="65">
        <v>10</v>
      </c>
      <c r="Z54" s="65">
        <v>10</v>
      </c>
      <c r="AA54" s="65">
        <v>10</v>
      </c>
      <c r="AB54" s="65">
        <v>12.5</v>
      </c>
      <c r="AC54" s="65">
        <v>12.5</v>
      </c>
      <c r="AD54" s="65">
        <v>12.5</v>
      </c>
      <c r="AE54" s="65">
        <v>12.5</v>
      </c>
      <c r="AF54" s="65">
        <v>12.5</v>
      </c>
      <c r="AG54" s="55">
        <v>14</v>
      </c>
      <c r="AH54" s="48">
        <f t="shared" si="2"/>
        <v>14</v>
      </c>
      <c r="AI54" s="49">
        <f t="shared" si="3"/>
        <v>10</v>
      </c>
      <c r="AK54" s="50"/>
    </row>
    <row r="55" spans="1:41" x14ac:dyDescent="0.25">
      <c r="A55" s="54" t="s">
        <v>63</v>
      </c>
      <c r="B55" s="65">
        <v>9</v>
      </c>
      <c r="C55" s="65">
        <v>9</v>
      </c>
      <c r="D55" s="65">
        <v>9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9</v>
      </c>
      <c r="S55" s="65">
        <v>9</v>
      </c>
      <c r="T55" s="65">
        <v>9</v>
      </c>
      <c r="U55" s="65">
        <v>9</v>
      </c>
      <c r="V55" s="65">
        <v>9</v>
      </c>
      <c r="W55" s="65">
        <v>9</v>
      </c>
      <c r="X55" s="65">
        <v>9</v>
      </c>
      <c r="Y55" s="65">
        <v>9</v>
      </c>
      <c r="Z55" s="65">
        <v>9</v>
      </c>
      <c r="AA55" s="65">
        <v>9</v>
      </c>
      <c r="AB55" s="65">
        <v>9</v>
      </c>
      <c r="AC55" s="65">
        <v>9</v>
      </c>
      <c r="AD55" s="65">
        <v>9</v>
      </c>
      <c r="AE55" s="65">
        <v>9</v>
      </c>
      <c r="AF55" s="65">
        <v>9</v>
      </c>
      <c r="AG55" s="55">
        <v>10.050000000000001</v>
      </c>
      <c r="AH55" s="48">
        <f t="shared" si="2"/>
        <v>9</v>
      </c>
      <c r="AI55" s="49">
        <f t="shared" si="3"/>
        <v>9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:AG58" si="6">SUM(B45:B57)</f>
        <v>312.03999999999996</v>
      </c>
      <c r="C58" s="61">
        <f t="shared" si="6"/>
        <v>312.03999999999996</v>
      </c>
      <c r="D58" s="61">
        <f t="shared" si="6"/>
        <v>312.03999999999996</v>
      </c>
      <c r="E58" s="61">
        <f t="shared" si="6"/>
        <v>286.64</v>
      </c>
      <c r="F58" s="61">
        <f t="shared" si="6"/>
        <v>296.94</v>
      </c>
      <c r="G58" s="61">
        <f t="shared" si="6"/>
        <v>297.83999999999997</v>
      </c>
      <c r="H58" s="61">
        <f t="shared" si="6"/>
        <v>309.03999999999996</v>
      </c>
      <c r="I58" s="61">
        <f t="shared" si="6"/>
        <v>342.14</v>
      </c>
      <c r="J58" s="61">
        <f t="shared" si="6"/>
        <v>353.34</v>
      </c>
      <c r="K58" s="61">
        <f t="shared" si="6"/>
        <v>392.34</v>
      </c>
      <c r="L58" s="61">
        <f t="shared" si="6"/>
        <v>409.93999999999994</v>
      </c>
      <c r="M58" s="61">
        <f t="shared" si="6"/>
        <v>401.54</v>
      </c>
      <c r="N58" s="61">
        <f t="shared" si="6"/>
        <v>397.84000000000003</v>
      </c>
      <c r="O58" s="61">
        <f t="shared" si="6"/>
        <v>379.74</v>
      </c>
      <c r="P58" s="61">
        <f t="shared" si="6"/>
        <v>339.53999999999996</v>
      </c>
      <c r="Q58" s="61">
        <f t="shared" si="6"/>
        <v>328.84</v>
      </c>
      <c r="R58" s="61">
        <f t="shared" si="6"/>
        <v>338.64</v>
      </c>
      <c r="S58" s="61">
        <f t="shared" si="6"/>
        <v>312.54000000000002</v>
      </c>
      <c r="T58" s="61">
        <f t="shared" si="6"/>
        <v>324.63999999999993</v>
      </c>
      <c r="U58" s="61">
        <f t="shared" si="6"/>
        <v>356.33</v>
      </c>
      <c r="V58" s="61">
        <f t="shared" si="6"/>
        <v>387.64000000000004</v>
      </c>
      <c r="W58" s="61">
        <f t="shared" si="6"/>
        <v>429.64</v>
      </c>
      <c r="X58" s="61">
        <f t="shared" si="6"/>
        <v>431.73999999999995</v>
      </c>
      <c r="Y58" s="61">
        <f t="shared" si="6"/>
        <v>430.73999999999995</v>
      </c>
      <c r="Z58" s="61">
        <f t="shared" si="6"/>
        <v>418.84</v>
      </c>
      <c r="AA58" s="61">
        <f t="shared" si="6"/>
        <v>418.84</v>
      </c>
      <c r="AB58" s="61">
        <f t="shared" si="6"/>
        <v>432.34</v>
      </c>
      <c r="AC58" s="61">
        <f t="shared" si="6"/>
        <v>432.64</v>
      </c>
      <c r="AD58" s="61">
        <f t="shared" si="6"/>
        <v>405.44000000000005</v>
      </c>
      <c r="AE58" s="61">
        <f t="shared" si="6"/>
        <v>354.64</v>
      </c>
      <c r="AF58" s="61">
        <f t="shared" si="6"/>
        <v>312.14000000000004</v>
      </c>
      <c r="AG58" s="62">
        <f t="shared" si="6"/>
        <v>489.91</v>
      </c>
      <c r="AH58" s="48">
        <f t="shared" si="2"/>
        <v>432.64</v>
      </c>
      <c r="AI58" s="49">
        <f t="shared" si="3"/>
        <v>286.64</v>
      </c>
      <c r="AK58" s="50"/>
    </row>
    <row r="59" spans="1:41" x14ac:dyDescent="0.25">
      <c r="A59" s="44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/>
      <c r="X59" s="45"/>
      <c r="Y59" s="45"/>
      <c r="Z59" s="45"/>
      <c r="AA59" s="45"/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/>
      <c r="X60" s="65"/>
      <c r="Y60" s="65"/>
      <c r="Z60" s="65"/>
      <c r="AA60" s="65"/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/>
      <c r="X61" s="67"/>
      <c r="Y61" s="67"/>
      <c r="Z61" s="67"/>
      <c r="AA61" s="67"/>
      <c r="AB61" s="67">
        <v>0</v>
      </c>
      <c r="AC61" s="67">
        <v>0</v>
      </c>
      <c r="AD61" s="67">
        <v>0</v>
      </c>
      <c r="AE61" s="67">
        <v>0</v>
      </c>
      <c r="AF61" s="67">
        <v>0</v>
      </c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AG62" si="7">SUM(B59:B61)</f>
        <v>0</v>
      </c>
      <c r="C62" s="61">
        <f t="shared" si="7"/>
        <v>0</v>
      </c>
      <c r="D62" s="61">
        <f t="shared" si="7"/>
        <v>0</v>
      </c>
      <c r="E62" s="61">
        <f t="shared" si="7"/>
        <v>0</v>
      </c>
      <c r="F62" s="61">
        <f t="shared" si="7"/>
        <v>0</v>
      </c>
      <c r="G62" s="61">
        <f t="shared" si="7"/>
        <v>0</v>
      </c>
      <c r="H62" s="61">
        <f t="shared" si="7"/>
        <v>0</v>
      </c>
      <c r="I62" s="61">
        <f t="shared" si="7"/>
        <v>0</v>
      </c>
      <c r="J62" s="61">
        <f t="shared" si="7"/>
        <v>0</v>
      </c>
      <c r="K62" s="61">
        <f t="shared" si="7"/>
        <v>0</v>
      </c>
      <c r="L62" s="61">
        <f t="shared" si="7"/>
        <v>0</v>
      </c>
      <c r="M62" s="61">
        <f t="shared" si="7"/>
        <v>0</v>
      </c>
      <c r="N62" s="61">
        <f t="shared" si="7"/>
        <v>0</v>
      </c>
      <c r="O62" s="61">
        <f t="shared" si="7"/>
        <v>0</v>
      </c>
      <c r="P62" s="61">
        <f t="shared" si="7"/>
        <v>0</v>
      </c>
      <c r="Q62" s="61">
        <f t="shared" si="7"/>
        <v>0</v>
      </c>
      <c r="R62" s="61">
        <f t="shared" si="7"/>
        <v>0</v>
      </c>
      <c r="S62" s="61">
        <f t="shared" si="7"/>
        <v>0</v>
      </c>
      <c r="T62" s="61">
        <f t="shared" si="7"/>
        <v>0</v>
      </c>
      <c r="U62" s="61">
        <f t="shared" si="7"/>
        <v>0</v>
      </c>
      <c r="V62" s="61">
        <f t="shared" si="7"/>
        <v>0</v>
      </c>
      <c r="W62" s="61">
        <f t="shared" si="7"/>
        <v>0</v>
      </c>
      <c r="X62" s="61">
        <f t="shared" si="7"/>
        <v>0</v>
      </c>
      <c r="Y62" s="61">
        <f t="shared" si="7"/>
        <v>0</v>
      </c>
      <c r="Z62" s="61">
        <f t="shared" si="7"/>
        <v>0</v>
      </c>
      <c r="AA62" s="61">
        <f t="shared" si="7"/>
        <v>0</v>
      </c>
      <c r="AB62" s="61">
        <f t="shared" si="7"/>
        <v>0</v>
      </c>
      <c r="AC62" s="61">
        <f t="shared" si="7"/>
        <v>0</v>
      </c>
      <c r="AD62" s="61">
        <f t="shared" si="7"/>
        <v>0</v>
      </c>
      <c r="AE62" s="61">
        <f t="shared" si="7"/>
        <v>0</v>
      </c>
      <c r="AF62" s="61">
        <f t="shared" si="7"/>
        <v>0</v>
      </c>
      <c r="AG62" s="62">
        <f t="shared" si="7"/>
        <v>106</v>
      </c>
      <c r="AH62" s="48">
        <f t="shared" si="2"/>
        <v>0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-238</v>
      </c>
      <c r="C65" s="65">
        <v>-234</v>
      </c>
      <c r="D65" s="65">
        <v>-250</v>
      </c>
      <c r="E65" s="65">
        <v>-255</v>
      </c>
      <c r="F65" s="65">
        <v>-262</v>
      </c>
      <c r="G65" s="65">
        <v>-258</v>
      </c>
      <c r="H65" s="65">
        <v>-260</v>
      </c>
      <c r="I65" s="65">
        <v>-272</v>
      </c>
      <c r="J65" s="65">
        <v>-286</v>
      </c>
      <c r="K65" s="65">
        <v>-278</v>
      </c>
      <c r="L65" s="65">
        <v>-276</v>
      </c>
      <c r="M65" s="65">
        <v>-256.8</v>
      </c>
      <c r="N65" s="65">
        <v>-264.7</v>
      </c>
      <c r="O65" s="65">
        <v>-267.7</v>
      </c>
      <c r="P65" s="65">
        <v>-262</v>
      </c>
      <c r="Q65" s="65">
        <v>-273</v>
      </c>
      <c r="R65" s="65">
        <v>-267</v>
      </c>
      <c r="S65" s="65">
        <v>-281</v>
      </c>
      <c r="T65" s="65">
        <v>-270</v>
      </c>
      <c r="U65" s="65">
        <v>-260</v>
      </c>
      <c r="V65" s="65">
        <v>-250</v>
      </c>
      <c r="W65" s="65">
        <v>-175</v>
      </c>
      <c r="X65" s="65">
        <v>-110</v>
      </c>
      <c r="Y65" s="65">
        <v>-123</v>
      </c>
      <c r="Z65" s="65">
        <v>-127</v>
      </c>
      <c r="AA65" s="65">
        <v>-127</v>
      </c>
      <c r="AB65" s="65">
        <v>-159.4</v>
      </c>
      <c r="AC65" s="65">
        <v>-187.9</v>
      </c>
      <c r="AD65" s="65">
        <v>-192.7</v>
      </c>
      <c r="AE65" s="65">
        <v>-227.5</v>
      </c>
      <c r="AF65" s="65">
        <v>-235.2</v>
      </c>
      <c r="AG65" s="75"/>
      <c r="AH65" s="48">
        <f t="shared" si="2"/>
        <v>-110</v>
      </c>
      <c r="AI65" s="49">
        <f t="shared" si="3"/>
        <v>-286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76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>
        <v>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6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6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9">
        <v>0</v>
      </c>
      <c r="C72" s="79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6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9">
        <v>0</v>
      </c>
      <c r="C73" s="79">
        <v>0</v>
      </c>
      <c r="D73" s="79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6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:AF74" si="8">SUMIF(B63:B73,"&gt;0")</f>
        <v>0</v>
      </c>
      <c r="C74" s="61">
        <f t="shared" si="8"/>
        <v>0</v>
      </c>
      <c r="D74" s="61">
        <f t="shared" si="8"/>
        <v>0</v>
      </c>
      <c r="E74" s="61">
        <f t="shared" si="8"/>
        <v>0</v>
      </c>
      <c r="F74" s="61">
        <f t="shared" si="8"/>
        <v>0</v>
      </c>
      <c r="G74" s="61">
        <f t="shared" si="8"/>
        <v>0</v>
      </c>
      <c r="H74" s="61">
        <f t="shared" si="8"/>
        <v>0</v>
      </c>
      <c r="I74" s="61">
        <f t="shared" si="8"/>
        <v>0</v>
      </c>
      <c r="J74" s="61">
        <f t="shared" si="8"/>
        <v>0</v>
      </c>
      <c r="K74" s="61">
        <f t="shared" si="8"/>
        <v>0</v>
      </c>
      <c r="L74" s="61">
        <f t="shared" si="8"/>
        <v>0</v>
      </c>
      <c r="M74" s="61">
        <f t="shared" si="8"/>
        <v>0</v>
      </c>
      <c r="N74" s="61">
        <f t="shared" si="8"/>
        <v>0</v>
      </c>
      <c r="O74" s="61">
        <f t="shared" si="8"/>
        <v>0</v>
      </c>
      <c r="P74" s="61">
        <f t="shared" si="8"/>
        <v>0</v>
      </c>
      <c r="Q74" s="61">
        <f t="shared" si="8"/>
        <v>0</v>
      </c>
      <c r="R74" s="61">
        <f t="shared" si="8"/>
        <v>0</v>
      </c>
      <c r="S74" s="61">
        <f t="shared" si="8"/>
        <v>0</v>
      </c>
      <c r="T74" s="61">
        <f t="shared" si="8"/>
        <v>0</v>
      </c>
      <c r="U74" s="61">
        <f t="shared" si="8"/>
        <v>0</v>
      </c>
      <c r="V74" s="61">
        <f t="shared" si="8"/>
        <v>0</v>
      </c>
      <c r="W74" s="61">
        <f t="shared" si="8"/>
        <v>0</v>
      </c>
      <c r="X74" s="61">
        <f t="shared" si="8"/>
        <v>0</v>
      </c>
      <c r="Y74" s="61">
        <f t="shared" si="8"/>
        <v>0</v>
      </c>
      <c r="Z74" s="61">
        <f t="shared" si="8"/>
        <v>0</v>
      </c>
      <c r="AA74" s="61">
        <f t="shared" si="8"/>
        <v>0</v>
      </c>
      <c r="AB74" s="61">
        <f t="shared" si="8"/>
        <v>0</v>
      </c>
      <c r="AC74" s="61">
        <f t="shared" si="8"/>
        <v>0</v>
      </c>
      <c r="AD74" s="61">
        <f t="shared" si="8"/>
        <v>0</v>
      </c>
      <c r="AE74" s="61">
        <f t="shared" si="8"/>
        <v>0</v>
      </c>
      <c r="AF74" s="61">
        <f t="shared" si="8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44" t="s">
        <v>83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/>
      <c r="U75" s="76"/>
      <c r="V75" s="76">
        <v>0</v>
      </c>
      <c r="W75" s="76"/>
      <c r="X75" s="76"/>
      <c r="Y75" s="76"/>
      <c r="Z75" s="76"/>
      <c r="AA75" s="76"/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/>
      <c r="U76" s="77"/>
      <c r="V76" s="77">
        <v>0</v>
      </c>
      <c r="W76" s="77"/>
      <c r="X76" s="77"/>
      <c r="Y76" s="77"/>
      <c r="Z76" s="77"/>
      <c r="AA76" s="77"/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75">
        <v>14.4</v>
      </c>
      <c r="AH76" s="48">
        <f t="shared" ref="AH76:AH109" si="9">MAX(B76:AF76)</f>
        <v>0</v>
      </c>
      <c r="AI76" s="49">
        <f t="shared" ref="AI76:AI109" si="10">MIN(B76:AF76)</f>
        <v>0</v>
      </c>
      <c r="AK76" s="50"/>
    </row>
    <row r="77" spans="1:37" ht="15.75" thickBot="1" x14ac:dyDescent="0.3">
      <c r="A77" s="78" t="s">
        <v>85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>
        <v>0</v>
      </c>
      <c r="S77" s="79">
        <v>0</v>
      </c>
      <c r="T77" s="79"/>
      <c r="U77" s="79"/>
      <c r="V77" s="79">
        <v>0</v>
      </c>
      <c r="W77" s="79"/>
      <c r="X77" s="79"/>
      <c r="Y77" s="79"/>
      <c r="Z77" s="79"/>
      <c r="AA77" s="79"/>
      <c r="AB77" s="79">
        <v>0</v>
      </c>
      <c r="AC77" s="79">
        <v>0</v>
      </c>
      <c r="AD77" s="79">
        <v>0</v>
      </c>
      <c r="AE77" s="79">
        <v>0</v>
      </c>
      <c r="AF77" s="79">
        <v>0</v>
      </c>
      <c r="AG77" s="80">
        <v>2</v>
      </c>
      <c r="AH77" s="48">
        <f t="shared" si="9"/>
        <v>0</v>
      </c>
      <c r="AI77" s="49">
        <f t="shared" si="10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9"/>
        <v>0</v>
      </c>
      <c r="AI78" s="49">
        <f t="shared" si="10"/>
        <v>0</v>
      </c>
    </row>
    <row r="79" spans="1:37" ht="15.75" thickBot="1" x14ac:dyDescent="0.3">
      <c r="A79" s="74" t="s">
        <v>87</v>
      </c>
      <c r="B79" s="83">
        <f t="shared" ref="B79:AG79" si="11">B40+B44+B62+B58+B74+B78</f>
        <v>1019.14</v>
      </c>
      <c r="C79" s="83">
        <f t="shared" si="11"/>
        <v>993.43999999999994</v>
      </c>
      <c r="D79" s="83">
        <f t="shared" si="11"/>
        <v>993.43999999999994</v>
      </c>
      <c r="E79" s="83">
        <f t="shared" si="11"/>
        <v>968.04</v>
      </c>
      <c r="F79" s="83">
        <f t="shared" si="11"/>
        <v>971.33999999999992</v>
      </c>
      <c r="G79" s="83">
        <f t="shared" si="11"/>
        <v>972.24</v>
      </c>
      <c r="H79" s="83">
        <f t="shared" si="11"/>
        <v>983.43999999999994</v>
      </c>
      <c r="I79" s="83">
        <f t="shared" si="11"/>
        <v>1016.54</v>
      </c>
      <c r="J79" s="83">
        <f t="shared" si="11"/>
        <v>1027.74</v>
      </c>
      <c r="K79" s="83">
        <f t="shared" si="11"/>
        <v>1066.74</v>
      </c>
      <c r="L79" s="83">
        <f t="shared" si="11"/>
        <v>1118.44</v>
      </c>
      <c r="M79" s="83">
        <f t="shared" si="11"/>
        <v>1139.94</v>
      </c>
      <c r="N79" s="83">
        <f t="shared" si="11"/>
        <v>1132.24</v>
      </c>
      <c r="O79" s="83">
        <f t="shared" si="11"/>
        <v>1089.1399999999999</v>
      </c>
      <c r="P79" s="83">
        <f t="shared" si="11"/>
        <v>1048.94</v>
      </c>
      <c r="Q79" s="83">
        <f t="shared" si="11"/>
        <v>1021.1399999999999</v>
      </c>
      <c r="R79" s="83">
        <f t="shared" si="11"/>
        <v>1056.6399999999999</v>
      </c>
      <c r="S79" s="83">
        <f t="shared" si="11"/>
        <v>1033.04</v>
      </c>
      <c r="T79" s="83">
        <f t="shared" si="11"/>
        <v>1045.1399999999999</v>
      </c>
      <c r="U79" s="83">
        <f t="shared" si="11"/>
        <v>1076.83</v>
      </c>
      <c r="V79" s="83">
        <f t="shared" si="11"/>
        <v>1106.1400000000001</v>
      </c>
      <c r="W79" s="83">
        <f t="shared" si="11"/>
        <v>1202.24</v>
      </c>
      <c r="X79" s="83">
        <f t="shared" si="11"/>
        <v>1326.6399999999999</v>
      </c>
      <c r="Y79" s="83">
        <f t="shared" si="11"/>
        <v>1321.1399999999999</v>
      </c>
      <c r="Z79" s="83">
        <f t="shared" si="11"/>
        <v>1260.3399999999999</v>
      </c>
      <c r="AA79" s="83">
        <f t="shared" si="11"/>
        <v>1255.3399999999999</v>
      </c>
      <c r="AB79" s="83">
        <f t="shared" si="11"/>
        <v>1234.3399999999999</v>
      </c>
      <c r="AC79" s="83">
        <f t="shared" si="11"/>
        <v>1224.6399999999999</v>
      </c>
      <c r="AD79" s="83">
        <f t="shared" si="11"/>
        <v>1137.3400000000001</v>
      </c>
      <c r="AE79" s="83">
        <f t="shared" si="11"/>
        <v>1086.3400000000001</v>
      </c>
      <c r="AF79" s="83">
        <f t="shared" si="11"/>
        <v>1029.04</v>
      </c>
      <c r="AG79" s="62">
        <f t="shared" si="11"/>
        <v>1897.1900000000003</v>
      </c>
      <c r="AH79" s="48">
        <f t="shared" si="9"/>
        <v>1326.6399999999999</v>
      </c>
      <c r="AI79" s="49">
        <f t="shared" si="10"/>
        <v>968.04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9"/>
        <v>0</v>
      </c>
      <c r="AI80" s="49">
        <f t="shared" si="10"/>
        <v>0</v>
      </c>
    </row>
    <row r="81" spans="1:37" ht="15.75" thickBot="1" x14ac:dyDescent="0.3">
      <c r="A81" s="74" t="s">
        <v>89</v>
      </c>
      <c r="B81" s="83">
        <f t="shared" ref="B81:AF81" si="12">B79+B80</f>
        <v>1019.14</v>
      </c>
      <c r="C81" s="83">
        <f t="shared" si="12"/>
        <v>993.43999999999994</v>
      </c>
      <c r="D81" s="83">
        <f t="shared" si="12"/>
        <v>993.43999999999994</v>
      </c>
      <c r="E81" s="83">
        <f t="shared" si="12"/>
        <v>968.04</v>
      </c>
      <c r="F81" s="83">
        <f t="shared" si="12"/>
        <v>971.33999999999992</v>
      </c>
      <c r="G81" s="83">
        <f t="shared" si="12"/>
        <v>972.24</v>
      </c>
      <c r="H81" s="83">
        <f t="shared" si="12"/>
        <v>983.43999999999994</v>
      </c>
      <c r="I81" s="83">
        <f t="shared" si="12"/>
        <v>1016.54</v>
      </c>
      <c r="J81" s="83">
        <f t="shared" si="12"/>
        <v>1027.74</v>
      </c>
      <c r="K81" s="83">
        <f t="shared" si="12"/>
        <v>1066.74</v>
      </c>
      <c r="L81" s="83">
        <f t="shared" si="12"/>
        <v>1118.44</v>
      </c>
      <c r="M81" s="83">
        <f t="shared" si="12"/>
        <v>1139.94</v>
      </c>
      <c r="N81" s="83">
        <f t="shared" si="12"/>
        <v>1132.24</v>
      </c>
      <c r="O81" s="83">
        <f t="shared" si="12"/>
        <v>1089.1399999999999</v>
      </c>
      <c r="P81" s="83">
        <f t="shared" si="12"/>
        <v>1048.94</v>
      </c>
      <c r="Q81" s="83">
        <f t="shared" si="12"/>
        <v>1021.1399999999999</v>
      </c>
      <c r="R81" s="83">
        <f t="shared" si="12"/>
        <v>1056.6399999999999</v>
      </c>
      <c r="S81" s="83">
        <f t="shared" si="12"/>
        <v>1033.04</v>
      </c>
      <c r="T81" s="83">
        <f t="shared" si="12"/>
        <v>1045.1399999999999</v>
      </c>
      <c r="U81" s="83">
        <f t="shared" si="12"/>
        <v>1076.83</v>
      </c>
      <c r="V81" s="83">
        <f t="shared" si="12"/>
        <v>1106.1400000000001</v>
      </c>
      <c r="W81" s="83">
        <f t="shared" si="12"/>
        <v>1202.24</v>
      </c>
      <c r="X81" s="83">
        <f t="shared" si="12"/>
        <v>1326.6399999999999</v>
      </c>
      <c r="Y81" s="83">
        <f t="shared" si="12"/>
        <v>1321.1399999999999</v>
      </c>
      <c r="Z81" s="83">
        <f t="shared" si="12"/>
        <v>1260.3399999999999</v>
      </c>
      <c r="AA81" s="83">
        <f t="shared" si="12"/>
        <v>1255.3399999999999</v>
      </c>
      <c r="AB81" s="83">
        <f t="shared" si="12"/>
        <v>1234.3399999999999</v>
      </c>
      <c r="AC81" s="83">
        <f t="shared" si="12"/>
        <v>1224.6399999999999</v>
      </c>
      <c r="AD81" s="83">
        <f t="shared" si="12"/>
        <v>1137.3400000000001</v>
      </c>
      <c r="AE81" s="83">
        <f t="shared" si="12"/>
        <v>1086.3400000000001</v>
      </c>
      <c r="AF81" s="83">
        <f t="shared" si="12"/>
        <v>1029.04</v>
      </c>
      <c r="AG81" s="81">
        <f>AG78+AG74+AG62+AG58+AG40+AG80</f>
        <v>1359.0900000000001</v>
      </c>
      <c r="AH81" s="48">
        <f t="shared" si="9"/>
        <v>1326.6399999999999</v>
      </c>
      <c r="AI81" s="49">
        <f t="shared" si="10"/>
        <v>968.04</v>
      </c>
    </row>
    <row r="82" spans="1:37" ht="15.75" thickBot="1" x14ac:dyDescent="0.3">
      <c r="A82" s="74" t="s">
        <v>90</v>
      </c>
      <c r="B82" s="83">
        <f t="shared" ref="B82:AF82" si="13">B81-B89</f>
        <v>781.14</v>
      </c>
      <c r="C82" s="83">
        <f t="shared" si="13"/>
        <v>759.43999999999994</v>
      </c>
      <c r="D82" s="83">
        <f t="shared" si="13"/>
        <v>743.43999999999994</v>
      </c>
      <c r="E82" s="83">
        <f t="shared" si="13"/>
        <v>713.04</v>
      </c>
      <c r="F82" s="83">
        <f t="shared" si="13"/>
        <v>709.33999999999992</v>
      </c>
      <c r="G82" s="83">
        <f t="shared" si="13"/>
        <v>714.24</v>
      </c>
      <c r="H82" s="83">
        <f t="shared" si="13"/>
        <v>723.43999999999994</v>
      </c>
      <c r="I82" s="83">
        <f t="shared" si="13"/>
        <v>744.54</v>
      </c>
      <c r="J82" s="83">
        <f t="shared" si="13"/>
        <v>741.74</v>
      </c>
      <c r="K82" s="83">
        <f t="shared" si="13"/>
        <v>788.74</v>
      </c>
      <c r="L82" s="83">
        <f t="shared" si="13"/>
        <v>842.44</v>
      </c>
      <c r="M82" s="83">
        <f t="shared" si="13"/>
        <v>883.1400000000001</v>
      </c>
      <c r="N82" s="83">
        <f t="shared" si="13"/>
        <v>867.54</v>
      </c>
      <c r="O82" s="83">
        <f t="shared" si="13"/>
        <v>821.43999999999983</v>
      </c>
      <c r="P82" s="83">
        <f t="shared" si="13"/>
        <v>786.94</v>
      </c>
      <c r="Q82" s="83">
        <f t="shared" si="13"/>
        <v>748.13999999999987</v>
      </c>
      <c r="R82" s="83">
        <f t="shared" si="13"/>
        <v>789.63999999999987</v>
      </c>
      <c r="S82" s="83">
        <f t="shared" si="13"/>
        <v>752.04</v>
      </c>
      <c r="T82" s="83">
        <f t="shared" si="13"/>
        <v>775.13999999999987</v>
      </c>
      <c r="U82" s="83">
        <f t="shared" si="13"/>
        <v>816.82999999999993</v>
      </c>
      <c r="V82" s="83">
        <f t="shared" si="13"/>
        <v>856.1400000000001</v>
      </c>
      <c r="W82" s="83">
        <f t="shared" si="13"/>
        <v>1027.24</v>
      </c>
      <c r="X82" s="83">
        <f t="shared" si="13"/>
        <v>1216.6399999999999</v>
      </c>
      <c r="Y82" s="83">
        <f t="shared" si="13"/>
        <v>1198.1399999999999</v>
      </c>
      <c r="Z82" s="83">
        <f t="shared" si="13"/>
        <v>1133.3399999999999</v>
      </c>
      <c r="AA82" s="83">
        <f t="shared" si="13"/>
        <v>1128.3399999999999</v>
      </c>
      <c r="AB82" s="83">
        <f t="shared" si="13"/>
        <v>1074.9399999999998</v>
      </c>
      <c r="AC82" s="83">
        <f t="shared" si="13"/>
        <v>1036.7399999999998</v>
      </c>
      <c r="AD82" s="83">
        <f t="shared" si="13"/>
        <v>944.6400000000001</v>
      </c>
      <c r="AE82" s="83">
        <f t="shared" si="13"/>
        <v>858.84000000000015</v>
      </c>
      <c r="AF82" s="83">
        <f t="shared" si="13"/>
        <v>793.83999999999992</v>
      </c>
      <c r="AG82" s="81"/>
      <c r="AH82" s="48">
        <f t="shared" si="9"/>
        <v>1216.6399999999999</v>
      </c>
      <c r="AI82" s="49">
        <f t="shared" si="10"/>
        <v>709.33999999999992</v>
      </c>
    </row>
    <row r="83" spans="1:37" x14ac:dyDescent="0.25">
      <c r="A83" s="44" t="s">
        <v>74</v>
      </c>
      <c r="B83" s="76">
        <f t="shared" ref="B83:AF83" si="14">IF(B66&lt;0,B66*-1,0)</f>
        <v>0</v>
      </c>
      <c r="C83" s="76">
        <f t="shared" si="14"/>
        <v>0</v>
      </c>
      <c r="D83" s="76">
        <f t="shared" si="14"/>
        <v>0</v>
      </c>
      <c r="E83" s="76">
        <f t="shared" si="14"/>
        <v>0</v>
      </c>
      <c r="F83" s="76">
        <f t="shared" si="14"/>
        <v>0</v>
      </c>
      <c r="G83" s="76">
        <f t="shared" si="14"/>
        <v>0</v>
      </c>
      <c r="H83" s="76">
        <f t="shared" si="14"/>
        <v>0</v>
      </c>
      <c r="I83" s="76">
        <f t="shared" si="14"/>
        <v>0</v>
      </c>
      <c r="J83" s="76">
        <f t="shared" si="14"/>
        <v>0</v>
      </c>
      <c r="K83" s="76">
        <f t="shared" si="14"/>
        <v>0</v>
      </c>
      <c r="L83" s="76">
        <f t="shared" si="14"/>
        <v>0</v>
      </c>
      <c r="M83" s="76">
        <f t="shared" si="14"/>
        <v>0</v>
      </c>
      <c r="N83" s="76">
        <f t="shared" si="14"/>
        <v>0</v>
      </c>
      <c r="O83" s="76">
        <f t="shared" si="14"/>
        <v>0</v>
      </c>
      <c r="P83" s="76">
        <f t="shared" si="14"/>
        <v>0</v>
      </c>
      <c r="Q83" s="76">
        <f t="shared" si="14"/>
        <v>0</v>
      </c>
      <c r="R83" s="76">
        <f t="shared" si="14"/>
        <v>0</v>
      </c>
      <c r="S83" s="76">
        <f t="shared" si="14"/>
        <v>0</v>
      </c>
      <c r="T83" s="76">
        <f t="shared" si="14"/>
        <v>0</v>
      </c>
      <c r="U83" s="76">
        <f t="shared" si="14"/>
        <v>0</v>
      </c>
      <c r="V83" s="76">
        <f t="shared" si="14"/>
        <v>0</v>
      </c>
      <c r="W83" s="76">
        <f t="shared" si="14"/>
        <v>0</v>
      </c>
      <c r="X83" s="76">
        <f t="shared" si="14"/>
        <v>0</v>
      </c>
      <c r="Y83" s="76">
        <f t="shared" si="14"/>
        <v>0</v>
      </c>
      <c r="Z83" s="76">
        <f t="shared" si="14"/>
        <v>0</v>
      </c>
      <c r="AA83" s="76">
        <f t="shared" si="14"/>
        <v>0</v>
      </c>
      <c r="AB83" s="76">
        <f t="shared" si="14"/>
        <v>0</v>
      </c>
      <c r="AC83" s="76">
        <f t="shared" si="14"/>
        <v>0</v>
      </c>
      <c r="AD83" s="76">
        <f t="shared" si="14"/>
        <v>0</v>
      </c>
      <c r="AE83" s="76">
        <f t="shared" si="14"/>
        <v>0</v>
      </c>
      <c r="AF83" s="76">
        <f t="shared" si="14"/>
        <v>0</v>
      </c>
      <c r="AG83" s="52"/>
      <c r="AH83" s="48">
        <f t="shared" si="9"/>
        <v>0</v>
      </c>
      <c r="AI83" s="49">
        <f t="shared" si="10"/>
        <v>0</v>
      </c>
    </row>
    <row r="84" spans="1:37" x14ac:dyDescent="0.25">
      <c r="A84" s="54" t="s">
        <v>72</v>
      </c>
      <c r="B84" s="76">
        <f t="shared" ref="B84:AF84" si="15">IF(B64&lt;0,B64*-1,0)</f>
        <v>0</v>
      </c>
      <c r="C84" s="76">
        <f t="shared" si="15"/>
        <v>0</v>
      </c>
      <c r="D84" s="76">
        <f t="shared" si="15"/>
        <v>0</v>
      </c>
      <c r="E84" s="76">
        <f t="shared" si="15"/>
        <v>0</v>
      </c>
      <c r="F84" s="76">
        <f t="shared" si="15"/>
        <v>0</v>
      </c>
      <c r="G84" s="76">
        <f t="shared" si="15"/>
        <v>0</v>
      </c>
      <c r="H84" s="76">
        <f t="shared" si="15"/>
        <v>0</v>
      </c>
      <c r="I84" s="76">
        <f t="shared" si="15"/>
        <v>0</v>
      </c>
      <c r="J84" s="76">
        <f t="shared" si="15"/>
        <v>0</v>
      </c>
      <c r="K84" s="76">
        <f t="shared" si="15"/>
        <v>0</v>
      </c>
      <c r="L84" s="76">
        <f t="shared" si="15"/>
        <v>0</v>
      </c>
      <c r="M84" s="76">
        <f t="shared" si="15"/>
        <v>0</v>
      </c>
      <c r="N84" s="76">
        <f t="shared" si="15"/>
        <v>0</v>
      </c>
      <c r="O84" s="76">
        <f t="shared" si="15"/>
        <v>0</v>
      </c>
      <c r="P84" s="76">
        <f t="shared" si="15"/>
        <v>0</v>
      </c>
      <c r="Q84" s="76">
        <f t="shared" si="15"/>
        <v>0</v>
      </c>
      <c r="R84" s="76">
        <f t="shared" si="15"/>
        <v>0</v>
      </c>
      <c r="S84" s="76">
        <f t="shared" si="15"/>
        <v>0</v>
      </c>
      <c r="T84" s="76">
        <f t="shared" si="15"/>
        <v>0</v>
      </c>
      <c r="U84" s="76">
        <f t="shared" si="15"/>
        <v>0</v>
      </c>
      <c r="V84" s="76">
        <f t="shared" si="15"/>
        <v>0</v>
      </c>
      <c r="W84" s="76">
        <f t="shared" si="15"/>
        <v>0</v>
      </c>
      <c r="X84" s="76">
        <f t="shared" si="15"/>
        <v>0</v>
      </c>
      <c r="Y84" s="76">
        <f t="shared" si="15"/>
        <v>0</v>
      </c>
      <c r="Z84" s="76">
        <f t="shared" si="15"/>
        <v>0</v>
      </c>
      <c r="AA84" s="76">
        <f t="shared" si="15"/>
        <v>0</v>
      </c>
      <c r="AB84" s="76">
        <f t="shared" si="15"/>
        <v>0</v>
      </c>
      <c r="AC84" s="76">
        <f t="shared" si="15"/>
        <v>0</v>
      </c>
      <c r="AD84" s="76">
        <f t="shared" si="15"/>
        <v>0</v>
      </c>
      <c r="AE84" s="76">
        <f t="shared" si="15"/>
        <v>0</v>
      </c>
      <c r="AF84" s="76">
        <f t="shared" si="15"/>
        <v>0</v>
      </c>
      <c r="AG84" s="55"/>
      <c r="AH84" s="48">
        <f t="shared" si="9"/>
        <v>0</v>
      </c>
      <c r="AI84" s="49">
        <f t="shared" si="10"/>
        <v>0</v>
      </c>
    </row>
    <row r="85" spans="1:37" x14ac:dyDescent="0.25">
      <c r="A85" s="78" t="s">
        <v>91</v>
      </c>
      <c r="B85" s="76">
        <f t="shared" ref="B85:AF85" si="16">IF(B67&lt;0,B67*-1,0)</f>
        <v>0</v>
      </c>
      <c r="C85" s="76">
        <f t="shared" si="16"/>
        <v>0</v>
      </c>
      <c r="D85" s="76">
        <f t="shared" si="16"/>
        <v>0</v>
      </c>
      <c r="E85" s="76">
        <f t="shared" si="16"/>
        <v>0</v>
      </c>
      <c r="F85" s="76">
        <f t="shared" si="16"/>
        <v>0</v>
      </c>
      <c r="G85" s="76">
        <f t="shared" si="16"/>
        <v>0</v>
      </c>
      <c r="H85" s="76">
        <f t="shared" si="16"/>
        <v>0</v>
      </c>
      <c r="I85" s="76">
        <f t="shared" si="16"/>
        <v>0</v>
      </c>
      <c r="J85" s="76">
        <f t="shared" si="16"/>
        <v>0</v>
      </c>
      <c r="K85" s="76">
        <f t="shared" si="16"/>
        <v>0</v>
      </c>
      <c r="L85" s="76">
        <f t="shared" si="16"/>
        <v>0</v>
      </c>
      <c r="M85" s="76">
        <f t="shared" si="16"/>
        <v>0</v>
      </c>
      <c r="N85" s="76">
        <f t="shared" si="16"/>
        <v>0</v>
      </c>
      <c r="O85" s="76">
        <f t="shared" si="16"/>
        <v>0</v>
      </c>
      <c r="P85" s="76">
        <f t="shared" si="16"/>
        <v>0</v>
      </c>
      <c r="Q85" s="76">
        <f t="shared" si="16"/>
        <v>0</v>
      </c>
      <c r="R85" s="76">
        <f t="shared" si="16"/>
        <v>0</v>
      </c>
      <c r="S85" s="76">
        <f t="shared" si="16"/>
        <v>0</v>
      </c>
      <c r="T85" s="76">
        <f t="shared" si="16"/>
        <v>0</v>
      </c>
      <c r="U85" s="76">
        <f t="shared" si="16"/>
        <v>0</v>
      </c>
      <c r="V85" s="76">
        <f t="shared" si="16"/>
        <v>0</v>
      </c>
      <c r="W85" s="76">
        <f t="shared" si="16"/>
        <v>0</v>
      </c>
      <c r="X85" s="76">
        <f t="shared" si="16"/>
        <v>0</v>
      </c>
      <c r="Y85" s="76">
        <f t="shared" si="16"/>
        <v>0</v>
      </c>
      <c r="Z85" s="76">
        <f t="shared" si="16"/>
        <v>0</v>
      </c>
      <c r="AA85" s="76">
        <f t="shared" si="16"/>
        <v>0</v>
      </c>
      <c r="AB85" s="76">
        <f t="shared" si="16"/>
        <v>0</v>
      </c>
      <c r="AC85" s="76">
        <f t="shared" si="16"/>
        <v>0</v>
      </c>
      <c r="AD85" s="76">
        <f t="shared" si="16"/>
        <v>0</v>
      </c>
      <c r="AE85" s="76">
        <f t="shared" si="16"/>
        <v>0</v>
      </c>
      <c r="AF85" s="76">
        <f t="shared" si="16"/>
        <v>0</v>
      </c>
      <c r="AG85" s="86"/>
      <c r="AH85" s="48">
        <f t="shared" si="9"/>
        <v>0</v>
      </c>
      <c r="AI85" s="49">
        <f t="shared" si="10"/>
        <v>0</v>
      </c>
    </row>
    <row r="86" spans="1:37" x14ac:dyDescent="0.25">
      <c r="A86" s="78" t="s">
        <v>92</v>
      </c>
      <c r="B86" s="76">
        <f t="shared" ref="B86:AF86" si="17">IF(B65&lt;0,B65*-1,0)</f>
        <v>238</v>
      </c>
      <c r="C86" s="76">
        <f t="shared" si="17"/>
        <v>234</v>
      </c>
      <c r="D86" s="76">
        <f t="shared" si="17"/>
        <v>250</v>
      </c>
      <c r="E86" s="76">
        <f t="shared" si="17"/>
        <v>255</v>
      </c>
      <c r="F86" s="76">
        <f t="shared" si="17"/>
        <v>262</v>
      </c>
      <c r="G86" s="76">
        <f t="shared" si="17"/>
        <v>258</v>
      </c>
      <c r="H86" s="76">
        <f t="shared" si="17"/>
        <v>260</v>
      </c>
      <c r="I86" s="76">
        <f t="shared" si="17"/>
        <v>272</v>
      </c>
      <c r="J86" s="76">
        <f t="shared" si="17"/>
        <v>286</v>
      </c>
      <c r="K86" s="76">
        <f t="shared" si="17"/>
        <v>278</v>
      </c>
      <c r="L86" s="76">
        <f t="shared" si="17"/>
        <v>276</v>
      </c>
      <c r="M86" s="76">
        <f t="shared" si="17"/>
        <v>256.8</v>
      </c>
      <c r="N86" s="76">
        <f t="shared" si="17"/>
        <v>264.7</v>
      </c>
      <c r="O86" s="76">
        <f t="shared" si="17"/>
        <v>267.7</v>
      </c>
      <c r="P86" s="76">
        <f t="shared" si="17"/>
        <v>262</v>
      </c>
      <c r="Q86" s="76">
        <f t="shared" si="17"/>
        <v>273</v>
      </c>
      <c r="R86" s="76">
        <f t="shared" si="17"/>
        <v>267</v>
      </c>
      <c r="S86" s="76">
        <f t="shared" si="17"/>
        <v>281</v>
      </c>
      <c r="T86" s="76">
        <f t="shared" si="17"/>
        <v>270</v>
      </c>
      <c r="U86" s="76">
        <f t="shared" si="17"/>
        <v>260</v>
      </c>
      <c r="V86" s="76">
        <f t="shared" si="17"/>
        <v>250</v>
      </c>
      <c r="W86" s="76">
        <f t="shared" si="17"/>
        <v>175</v>
      </c>
      <c r="X86" s="76">
        <f t="shared" si="17"/>
        <v>110</v>
      </c>
      <c r="Y86" s="76">
        <f t="shared" si="17"/>
        <v>123</v>
      </c>
      <c r="Z86" s="76">
        <f t="shared" si="17"/>
        <v>127</v>
      </c>
      <c r="AA86" s="76">
        <f t="shared" si="17"/>
        <v>127</v>
      </c>
      <c r="AB86" s="76">
        <f t="shared" si="17"/>
        <v>159.4</v>
      </c>
      <c r="AC86" s="76">
        <f t="shared" si="17"/>
        <v>187.9</v>
      </c>
      <c r="AD86" s="76">
        <f t="shared" si="17"/>
        <v>192.7</v>
      </c>
      <c r="AE86" s="76">
        <f t="shared" si="17"/>
        <v>227.5</v>
      </c>
      <c r="AF86" s="76">
        <f t="shared" si="17"/>
        <v>235.2</v>
      </c>
      <c r="AG86" s="86"/>
      <c r="AH86" s="48">
        <f t="shared" si="9"/>
        <v>286</v>
      </c>
      <c r="AI86" s="49">
        <f t="shared" si="10"/>
        <v>110</v>
      </c>
    </row>
    <row r="87" spans="1:37" x14ac:dyDescent="0.25">
      <c r="A87" s="78" t="s">
        <v>71</v>
      </c>
      <c r="B87" s="76">
        <f t="shared" ref="B87:AF87" si="18">IF(B63&lt;0,B63*-1,0)</f>
        <v>0</v>
      </c>
      <c r="C87" s="76">
        <f t="shared" si="18"/>
        <v>0</v>
      </c>
      <c r="D87" s="76">
        <f t="shared" si="18"/>
        <v>0</v>
      </c>
      <c r="E87" s="76">
        <f t="shared" si="18"/>
        <v>0</v>
      </c>
      <c r="F87" s="76">
        <f t="shared" si="18"/>
        <v>0</v>
      </c>
      <c r="G87" s="76">
        <f t="shared" si="18"/>
        <v>0</v>
      </c>
      <c r="H87" s="76">
        <f t="shared" si="18"/>
        <v>0</v>
      </c>
      <c r="I87" s="76">
        <f t="shared" si="18"/>
        <v>0</v>
      </c>
      <c r="J87" s="76">
        <f t="shared" si="18"/>
        <v>0</v>
      </c>
      <c r="K87" s="76">
        <f t="shared" si="18"/>
        <v>0</v>
      </c>
      <c r="L87" s="76">
        <f t="shared" si="18"/>
        <v>0</v>
      </c>
      <c r="M87" s="76">
        <f t="shared" si="18"/>
        <v>0</v>
      </c>
      <c r="N87" s="76">
        <f t="shared" si="18"/>
        <v>0</v>
      </c>
      <c r="O87" s="76">
        <f t="shared" si="18"/>
        <v>0</v>
      </c>
      <c r="P87" s="76">
        <f t="shared" si="18"/>
        <v>0</v>
      </c>
      <c r="Q87" s="76">
        <f t="shared" si="18"/>
        <v>0</v>
      </c>
      <c r="R87" s="76">
        <f t="shared" si="18"/>
        <v>0</v>
      </c>
      <c r="S87" s="76">
        <f t="shared" si="18"/>
        <v>0</v>
      </c>
      <c r="T87" s="76">
        <f t="shared" si="18"/>
        <v>0</v>
      </c>
      <c r="U87" s="76">
        <f t="shared" si="18"/>
        <v>0</v>
      </c>
      <c r="V87" s="76">
        <f t="shared" si="18"/>
        <v>0</v>
      </c>
      <c r="W87" s="76">
        <f t="shared" si="18"/>
        <v>0</v>
      </c>
      <c r="X87" s="76">
        <f t="shared" si="18"/>
        <v>0</v>
      </c>
      <c r="Y87" s="76">
        <f t="shared" si="18"/>
        <v>0</v>
      </c>
      <c r="Z87" s="76">
        <f t="shared" si="18"/>
        <v>0</v>
      </c>
      <c r="AA87" s="76">
        <f t="shared" si="18"/>
        <v>0</v>
      </c>
      <c r="AB87" s="76">
        <f t="shared" si="18"/>
        <v>0</v>
      </c>
      <c r="AC87" s="76">
        <f t="shared" si="18"/>
        <v>0</v>
      </c>
      <c r="AD87" s="76">
        <f t="shared" si="18"/>
        <v>0</v>
      </c>
      <c r="AE87" s="76">
        <f t="shared" si="18"/>
        <v>0</v>
      </c>
      <c r="AF87" s="76">
        <f t="shared" si="18"/>
        <v>0</v>
      </c>
      <c r="AG87" s="86"/>
      <c r="AH87" s="48">
        <f t="shared" si="9"/>
        <v>0</v>
      </c>
      <c r="AI87" s="49">
        <f t="shared" si="10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9"/>
        <v>0</v>
      </c>
      <c r="AI88" s="49">
        <f t="shared" si="10"/>
        <v>0</v>
      </c>
    </row>
    <row r="89" spans="1:37" ht="15.75" thickBot="1" x14ac:dyDescent="0.3">
      <c r="A89" s="87" t="s">
        <v>94</v>
      </c>
      <c r="B89" s="61">
        <f t="shared" ref="B89:AF89" si="19">SUM(B83:B88)</f>
        <v>238</v>
      </c>
      <c r="C89" s="61">
        <f t="shared" si="19"/>
        <v>234</v>
      </c>
      <c r="D89" s="61">
        <f t="shared" si="19"/>
        <v>250</v>
      </c>
      <c r="E89" s="61">
        <f t="shared" si="19"/>
        <v>255</v>
      </c>
      <c r="F89" s="61">
        <f t="shared" si="19"/>
        <v>262</v>
      </c>
      <c r="G89" s="61">
        <f t="shared" si="19"/>
        <v>258</v>
      </c>
      <c r="H89" s="61">
        <f t="shared" si="19"/>
        <v>260</v>
      </c>
      <c r="I89" s="61">
        <f t="shared" si="19"/>
        <v>272</v>
      </c>
      <c r="J89" s="61">
        <f t="shared" si="19"/>
        <v>286</v>
      </c>
      <c r="K89" s="61">
        <f t="shared" si="19"/>
        <v>278</v>
      </c>
      <c r="L89" s="61">
        <f t="shared" si="19"/>
        <v>276</v>
      </c>
      <c r="M89" s="61">
        <f t="shared" si="19"/>
        <v>256.8</v>
      </c>
      <c r="N89" s="61">
        <f t="shared" si="19"/>
        <v>264.7</v>
      </c>
      <c r="O89" s="61">
        <f t="shared" si="19"/>
        <v>267.7</v>
      </c>
      <c r="P89" s="61">
        <f t="shared" si="19"/>
        <v>262</v>
      </c>
      <c r="Q89" s="61">
        <f t="shared" si="19"/>
        <v>273</v>
      </c>
      <c r="R89" s="61">
        <f t="shared" si="19"/>
        <v>267</v>
      </c>
      <c r="S89" s="61">
        <f t="shared" si="19"/>
        <v>281</v>
      </c>
      <c r="T89" s="61">
        <f t="shared" si="19"/>
        <v>270</v>
      </c>
      <c r="U89" s="61">
        <f t="shared" si="19"/>
        <v>260</v>
      </c>
      <c r="V89" s="61">
        <f t="shared" si="19"/>
        <v>250</v>
      </c>
      <c r="W89" s="61">
        <f t="shared" si="19"/>
        <v>175</v>
      </c>
      <c r="X89" s="61">
        <f t="shared" si="19"/>
        <v>110</v>
      </c>
      <c r="Y89" s="61">
        <f t="shared" si="19"/>
        <v>123</v>
      </c>
      <c r="Z89" s="61">
        <f t="shared" si="19"/>
        <v>127</v>
      </c>
      <c r="AA89" s="61">
        <f t="shared" si="19"/>
        <v>127</v>
      </c>
      <c r="AB89" s="61">
        <f t="shared" si="19"/>
        <v>159.4</v>
      </c>
      <c r="AC89" s="61">
        <f t="shared" si="19"/>
        <v>187.9</v>
      </c>
      <c r="AD89" s="61">
        <f t="shared" si="19"/>
        <v>192.7</v>
      </c>
      <c r="AE89" s="61">
        <f t="shared" si="19"/>
        <v>227.5</v>
      </c>
      <c r="AF89" s="61">
        <f t="shared" si="19"/>
        <v>235.2</v>
      </c>
      <c r="AG89" s="81"/>
      <c r="AH89" s="48">
        <f t="shared" si="9"/>
        <v>286</v>
      </c>
      <c r="AI89" s="49">
        <f t="shared" si="10"/>
        <v>110</v>
      </c>
      <c r="AK89" s="50"/>
    </row>
    <row r="90" spans="1:37" ht="15.75" thickBot="1" x14ac:dyDescent="0.3">
      <c r="A90" s="74" t="s">
        <v>95</v>
      </c>
      <c r="B90" s="61">
        <f t="shared" ref="B90:AF90" si="20">B74-B89</f>
        <v>-238</v>
      </c>
      <c r="C90" s="61">
        <f t="shared" si="20"/>
        <v>-234</v>
      </c>
      <c r="D90" s="61">
        <f t="shared" si="20"/>
        <v>-250</v>
      </c>
      <c r="E90" s="61">
        <f t="shared" si="20"/>
        <v>-255</v>
      </c>
      <c r="F90" s="61">
        <f t="shared" si="20"/>
        <v>-262</v>
      </c>
      <c r="G90" s="61">
        <f t="shared" si="20"/>
        <v>-258</v>
      </c>
      <c r="H90" s="61">
        <f t="shared" si="20"/>
        <v>-260</v>
      </c>
      <c r="I90" s="61">
        <f t="shared" si="20"/>
        <v>-272</v>
      </c>
      <c r="J90" s="61">
        <f t="shared" si="20"/>
        <v>-286</v>
      </c>
      <c r="K90" s="61">
        <f t="shared" si="20"/>
        <v>-278</v>
      </c>
      <c r="L90" s="61">
        <f t="shared" si="20"/>
        <v>-276</v>
      </c>
      <c r="M90" s="61">
        <f t="shared" si="20"/>
        <v>-256.8</v>
      </c>
      <c r="N90" s="61">
        <f t="shared" si="20"/>
        <v>-264.7</v>
      </c>
      <c r="O90" s="61">
        <f t="shared" si="20"/>
        <v>-267.7</v>
      </c>
      <c r="P90" s="61">
        <f t="shared" si="20"/>
        <v>-262</v>
      </c>
      <c r="Q90" s="61">
        <f t="shared" si="20"/>
        <v>-273</v>
      </c>
      <c r="R90" s="61">
        <f t="shared" si="20"/>
        <v>-267</v>
      </c>
      <c r="S90" s="61">
        <f t="shared" si="20"/>
        <v>-281</v>
      </c>
      <c r="T90" s="61">
        <f t="shared" si="20"/>
        <v>-270</v>
      </c>
      <c r="U90" s="61">
        <f t="shared" si="20"/>
        <v>-260</v>
      </c>
      <c r="V90" s="61">
        <f t="shared" si="20"/>
        <v>-250</v>
      </c>
      <c r="W90" s="61">
        <f t="shared" si="20"/>
        <v>-175</v>
      </c>
      <c r="X90" s="61">
        <f t="shared" si="20"/>
        <v>-110</v>
      </c>
      <c r="Y90" s="61">
        <f t="shared" si="20"/>
        <v>-123</v>
      </c>
      <c r="Z90" s="61">
        <f t="shared" si="20"/>
        <v>-127</v>
      </c>
      <c r="AA90" s="61">
        <f t="shared" si="20"/>
        <v>-127</v>
      </c>
      <c r="AB90" s="61">
        <f t="shared" si="20"/>
        <v>-159.4</v>
      </c>
      <c r="AC90" s="61">
        <f t="shared" si="20"/>
        <v>-187.9</v>
      </c>
      <c r="AD90" s="61">
        <f t="shared" si="20"/>
        <v>-192.7</v>
      </c>
      <c r="AE90" s="61">
        <f t="shared" si="20"/>
        <v>-227.5</v>
      </c>
      <c r="AF90" s="61">
        <f t="shared" si="20"/>
        <v>-235.2</v>
      </c>
      <c r="AG90" s="81"/>
      <c r="AH90" s="48">
        <f t="shared" si="9"/>
        <v>-110</v>
      </c>
      <c r="AI90" s="49">
        <f t="shared" si="10"/>
        <v>-286</v>
      </c>
    </row>
    <row r="91" spans="1:37" x14ac:dyDescent="0.25">
      <c r="A91" s="88" t="s">
        <v>96</v>
      </c>
      <c r="B91" s="89">
        <v>50.031999999999996</v>
      </c>
      <c r="C91" s="89">
        <v>49.945999999999998</v>
      </c>
      <c r="D91" s="89">
        <v>50.026000000000003</v>
      </c>
      <c r="E91" s="89">
        <v>50.026000000000003</v>
      </c>
      <c r="F91" s="89">
        <v>50.027999999999999</v>
      </c>
      <c r="G91" s="89">
        <v>49.953000000000003</v>
      </c>
      <c r="H91" s="89">
        <v>49.993000000000002</v>
      </c>
      <c r="I91" s="89">
        <v>49.973999999999997</v>
      </c>
      <c r="J91" s="89">
        <v>49.72</v>
      </c>
      <c r="K91" s="89">
        <v>49.88</v>
      </c>
      <c r="L91" s="89">
        <v>49.984000000000002</v>
      </c>
      <c r="M91" s="89">
        <v>50.021999999999998</v>
      </c>
      <c r="N91" s="89">
        <v>49.972999999999999</v>
      </c>
      <c r="O91" s="89">
        <v>49.969000000000001</v>
      </c>
      <c r="P91" s="89">
        <v>49.901000000000003</v>
      </c>
      <c r="Q91" s="89">
        <v>49.776000000000003</v>
      </c>
      <c r="R91" s="89">
        <v>49.896999999999998</v>
      </c>
      <c r="S91" s="89">
        <v>49.963000000000001</v>
      </c>
      <c r="T91" s="89">
        <v>50.000999999999998</v>
      </c>
      <c r="U91" s="89">
        <v>49.802</v>
      </c>
      <c r="V91" s="89">
        <v>49.844999999999999</v>
      </c>
      <c r="W91" s="89">
        <v>49.911999999999999</v>
      </c>
      <c r="X91" s="89">
        <v>49.787999999999997</v>
      </c>
      <c r="Y91" s="89">
        <v>49.954000000000001</v>
      </c>
      <c r="Z91" s="89">
        <v>50.003999999999998</v>
      </c>
      <c r="AA91" s="89">
        <v>50.021000000000001</v>
      </c>
      <c r="AB91" s="89">
        <v>50.042000000000002</v>
      </c>
      <c r="AC91" s="89">
        <v>50.030999999999999</v>
      </c>
      <c r="AD91" s="89">
        <v>49.972999999999999</v>
      </c>
      <c r="AE91" s="89">
        <v>50.01</v>
      </c>
      <c r="AF91" s="89">
        <v>49.93</v>
      </c>
      <c r="AG91" s="90"/>
      <c r="AH91" s="48">
        <f t="shared" si="9"/>
        <v>50.042000000000002</v>
      </c>
      <c r="AI91" s="49">
        <f t="shared" si="10"/>
        <v>49.72</v>
      </c>
    </row>
    <row r="92" spans="1:37" x14ac:dyDescent="0.25">
      <c r="A92" s="91" t="s">
        <v>97</v>
      </c>
      <c r="B92" s="65">
        <v>128.69999999999999</v>
      </c>
      <c r="C92" s="65">
        <v>129.4</v>
      </c>
      <c r="D92" s="65">
        <v>128.5</v>
      </c>
      <c r="E92" s="65">
        <v>128.5</v>
      </c>
      <c r="F92" s="65">
        <v>128.19999999999999</v>
      </c>
      <c r="G92" s="65">
        <v>127.6</v>
      </c>
      <c r="H92" s="65">
        <v>127.7</v>
      </c>
      <c r="I92" s="65">
        <v>127.3</v>
      </c>
      <c r="J92" s="65">
        <v>127.4</v>
      </c>
      <c r="K92" s="65">
        <v>126.3</v>
      </c>
      <c r="L92" s="65">
        <v>125.8</v>
      </c>
      <c r="M92" s="65">
        <v>126.1</v>
      </c>
      <c r="N92" s="65">
        <v>126</v>
      </c>
      <c r="O92" s="65">
        <v>125.4</v>
      </c>
      <c r="P92" s="65">
        <v>126.6</v>
      </c>
      <c r="Q92" s="65">
        <v>126.9</v>
      </c>
      <c r="R92" s="65">
        <v>127.2</v>
      </c>
      <c r="S92" s="65">
        <v>126.5</v>
      </c>
      <c r="T92" s="65">
        <v>126.6</v>
      </c>
      <c r="U92" s="65">
        <v>126.7</v>
      </c>
      <c r="V92" s="65">
        <v>127.1</v>
      </c>
      <c r="W92" s="65">
        <v>125.6</v>
      </c>
      <c r="X92" s="65">
        <v>124.7</v>
      </c>
      <c r="Y92" s="65">
        <v>125.3</v>
      </c>
      <c r="Z92" s="65">
        <v>126.4</v>
      </c>
      <c r="AA92" s="65">
        <v>127.3</v>
      </c>
      <c r="AB92" s="65">
        <v>128</v>
      </c>
      <c r="AC92" s="65">
        <v>127.8</v>
      </c>
      <c r="AD92" s="65">
        <v>127.6</v>
      </c>
      <c r="AE92" s="65">
        <v>128.5</v>
      </c>
      <c r="AF92" s="65">
        <v>128.30000000000001</v>
      </c>
      <c r="AG92" s="92"/>
      <c r="AH92" s="48">
        <f t="shared" si="9"/>
        <v>129.4</v>
      </c>
      <c r="AI92" s="49">
        <f t="shared" si="10"/>
        <v>124.7</v>
      </c>
    </row>
    <row r="93" spans="1:37" x14ac:dyDescent="0.25">
      <c r="A93" s="91" t="s">
        <v>98</v>
      </c>
      <c r="B93" s="65">
        <v>132.69999999999999</v>
      </c>
      <c r="C93" s="65">
        <v>133.30000000000001</v>
      </c>
      <c r="D93" s="65">
        <v>132.4</v>
      </c>
      <c r="E93" s="65">
        <v>132.4</v>
      </c>
      <c r="F93" s="65">
        <v>132.19999999999999</v>
      </c>
      <c r="G93" s="65">
        <v>131.5</v>
      </c>
      <c r="H93" s="65">
        <v>131.80000000000001</v>
      </c>
      <c r="I93" s="65">
        <v>131.30000000000001</v>
      </c>
      <c r="J93" s="65">
        <v>131.1</v>
      </c>
      <c r="K93" s="65">
        <v>130</v>
      </c>
      <c r="L93" s="65">
        <v>129.30000000000001</v>
      </c>
      <c r="M93" s="65">
        <v>129.69999999999999</v>
      </c>
      <c r="N93" s="65">
        <v>129.4</v>
      </c>
      <c r="O93" s="65">
        <v>128.9</v>
      </c>
      <c r="P93" s="65">
        <v>130</v>
      </c>
      <c r="Q93" s="65">
        <v>130.19999999999999</v>
      </c>
      <c r="R93" s="65">
        <v>130.6</v>
      </c>
      <c r="S93" s="65">
        <v>130.19999999999999</v>
      </c>
      <c r="T93" s="65">
        <v>129.9</v>
      </c>
      <c r="U93" s="65">
        <v>129.9</v>
      </c>
      <c r="V93" s="65">
        <v>130.19999999999999</v>
      </c>
      <c r="W93" s="65">
        <v>129</v>
      </c>
      <c r="X93" s="65">
        <v>127.8</v>
      </c>
      <c r="Y93" s="65">
        <v>128.4</v>
      </c>
      <c r="Z93" s="65">
        <v>129.69999999999999</v>
      </c>
      <c r="AA93" s="65">
        <v>130.6</v>
      </c>
      <c r="AB93" s="65">
        <v>131.4</v>
      </c>
      <c r="AC93" s="65">
        <v>131.4</v>
      </c>
      <c r="AD93" s="65">
        <v>131.4</v>
      </c>
      <c r="AE93" s="65">
        <v>132.1</v>
      </c>
      <c r="AF93" s="65">
        <v>132</v>
      </c>
      <c r="AG93" s="92"/>
      <c r="AH93" s="48">
        <f t="shared" si="9"/>
        <v>133.30000000000001</v>
      </c>
      <c r="AI93" s="49">
        <f t="shared" si="10"/>
        <v>127.8</v>
      </c>
    </row>
    <row r="94" spans="1:37" x14ac:dyDescent="0.25">
      <c r="A94" s="91" t="s">
        <v>99</v>
      </c>
      <c r="B94" s="65">
        <v>131.69999999999999</v>
      </c>
      <c r="C94" s="65">
        <v>132</v>
      </c>
      <c r="D94" s="65">
        <v>132.6</v>
      </c>
      <c r="E94" s="65">
        <v>132.6</v>
      </c>
      <c r="F94" s="65">
        <v>132.4</v>
      </c>
      <c r="G94" s="65">
        <v>132.69999999999999</v>
      </c>
      <c r="H94" s="65">
        <v>131.69999999999999</v>
      </c>
      <c r="I94" s="65">
        <v>131.30000000000001</v>
      </c>
      <c r="J94" s="65">
        <v>129.69999999999999</v>
      </c>
      <c r="K94" s="65">
        <v>129</v>
      </c>
      <c r="L94" s="65">
        <v>128.30000000000001</v>
      </c>
      <c r="M94" s="65">
        <v>129.1</v>
      </c>
      <c r="N94" s="65">
        <v>130.5</v>
      </c>
      <c r="O94" s="65">
        <v>131.19999999999999</v>
      </c>
      <c r="P94" s="65">
        <v>129.30000000000001</v>
      </c>
      <c r="Q94" s="65">
        <v>130.80000000000001</v>
      </c>
      <c r="R94" s="65">
        <v>128.5</v>
      </c>
      <c r="S94" s="65">
        <v>128</v>
      </c>
      <c r="T94" s="65">
        <v>130.4</v>
      </c>
      <c r="U94" s="65">
        <v>130</v>
      </c>
      <c r="V94" s="65">
        <v>129.4</v>
      </c>
      <c r="W94" s="65">
        <v>127.8</v>
      </c>
      <c r="X94" s="65">
        <v>128.19999999999999</v>
      </c>
      <c r="Y94" s="65">
        <v>128.9</v>
      </c>
      <c r="Z94" s="65">
        <v>130</v>
      </c>
      <c r="AA94" s="65">
        <v>131</v>
      </c>
      <c r="AB94" s="65">
        <v>132.30000000000001</v>
      </c>
      <c r="AC94" s="65">
        <v>132.30000000000001</v>
      </c>
      <c r="AD94" s="65">
        <v>132.5</v>
      </c>
      <c r="AE94" s="65">
        <v>134.1</v>
      </c>
      <c r="AF94" s="65">
        <v>134.4</v>
      </c>
      <c r="AG94" s="92"/>
      <c r="AH94" s="48">
        <f t="shared" si="9"/>
        <v>134.4</v>
      </c>
      <c r="AI94" s="49">
        <f t="shared" si="10"/>
        <v>127.8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9"/>
        <v>0</v>
      </c>
      <c r="AI95" s="49">
        <f t="shared" si="10"/>
        <v>0</v>
      </c>
    </row>
    <row r="96" spans="1:37" x14ac:dyDescent="0.25">
      <c r="A96" s="93" t="s">
        <v>101</v>
      </c>
      <c r="B96" s="94">
        <v>133.19999999999999</v>
      </c>
      <c r="C96" s="94">
        <v>134.19999999999999</v>
      </c>
      <c r="D96" s="94">
        <v>134</v>
      </c>
      <c r="E96" s="94">
        <v>134</v>
      </c>
      <c r="F96" s="94">
        <v>133.9</v>
      </c>
      <c r="G96" s="94">
        <v>133.1</v>
      </c>
      <c r="H96" s="94">
        <v>133.4</v>
      </c>
      <c r="I96" s="94">
        <v>133.80000000000001</v>
      </c>
      <c r="J96" s="94">
        <v>133.69999999999999</v>
      </c>
      <c r="K96" s="94">
        <v>132</v>
      </c>
      <c r="L96" s="94">
        <v>132.5</v>
      </c>
      <c r="M96" s="94">
        <v>131.69999999999999</v>
      </c>
      <c r="N96" s="94">
        <v>132.5</v>
      </c>
      <c r="O96" s="94">
        <v>131.4</v>
      </c>
      <c r="P96" s="94">
        <v>132.9</v>
      </c>
      <c r="Q96" s="94">
        <v>134.6</v>
      </c>
      <c r="R96" s="94">
        <v>132.6</v>
      </c>
      <c r="S96" s="94">
        <v>131.69999999999999</v>
      </c>
      <c r="T96" s="94">
        <v>133.1</v>
      </c>
      <c r="U96" s="94">
        <v>133.30000000000001</v>
      </c>
      <c r="V96" s="94">
        <v>134.5</v>
      </c>
      <c r="W96" s="94">
        <v>132.80000000000001</v>
      </c>
      <c r="X96" s="94">
        <v>130.69999999999999</v>
      </c>
      <c r="Y96" s="94">
        <v>131.19999999999999</v>
      </c>
      <c r="Z96" s="94">
        <v>135.4</v>
      </c>
      <c r="AA96" s="94">
        <v>135.30000000000001</v>
      </c>
      <c r="AB96" s="94">
        <v>135.69999999999999</v>
      </c>
      <c r="AC96" s="94">
        <v>135.9</v>
      </c>
      <c r="AD96" s="94">
        <v>133.19999999999999</v>
      </c>
      <c r="AE96" s="94">
        <v>134</v>
      </c>
      <c r="AF96" s="94">
        <v>133.19999999999999</v>
      </c>
      <c r="AG96" s="95"/>
      <c r="AH96" s="48">
        <f t="shared" si="9"/>
        <v>135.9</v>
      </c>
      <c r="AI96" s="49">
        <f t="shared" si="10"/>
        <v>130.69999999999999</v>
      </c>
    </row>
    <row r="97" spans="1:37" x14ac:dyDescent="0.25">
      <c r="A97" s="91" t="s">
        <v>102</v>
      </c>
      <c r="B97" s="65">
        <v>132.69999999999999</v>
      </c>
      <c r="C97" s="65">
        <v>133.6</v>
      </c>
      <c r="D97" s="65">
        <v>133.80000000000001</v>
      </c>
      <c r="E97" s="65">
        <v>133.80000000000001</v>
      </c>
      <c r="F97" s="65">
        <v>133.69999999999999</v>
      </c>
      <c r="G97" s="65">
        <v>132.69999999999999</v>
      </c>
      <c r="H97" s="65">
        <v>133.4</v>
      </c>
      <c r="I97" s="65">
        <v>132.6</v>
      </c>
      <c r="J97" s="65">
        <v>131.9</v>
      </c>
      <c r="K97" s="65">
        <v>130</v>
      </c>
      <c r="L97" s="65">
        <v>130.19999999999999</v>
      </c>
      <c r="M97" s="65">
        <v>128.80000000000001</v>
      </c>
      <c r="N97" s="65">
        <v>130.4</v>
      </c>
      <c r="O97" s="65">
        <v>130.9</v>
      </c>
      <c r="P97" s="65">
        <v>132.5</v>
      </c>
      <c r="Q97" s="65">
        <v>133</v>
      </c>
      <c r="R97" s="65">
        <v>131.9</v>
      </c>
      <c r="S97" s="65">
        <v>131.5</v>
      </c>
      <c r="T97" s="65">
        <v>132.19999999999999</v>
      </c>
      <c r="U97" s="65">
        <v>132</v>
      </c>
      <c r="V97" s="65">
        <v>130.80000000000001</v>
      </c>
      <c r="W97" s="65">
        <v>129.1</v>
      </c>
      <c r="X97" s="65">
        <v>127.4</v>
      </c>
      <c r="Y97" s="65">
        <v>131.80000000000001</v>
      </c>
      <c r="Z97" s="65">
        <v>133.19999999999999</v>
      </c>
      <c r="AA97" s="65">
        <v>133.80000000000001</v>
      </c>
      <c r="AB97" s="65">
        <v>133.1</v>
      </c>
      <c r="AC97" s="65">
        <v>133.9</v>
      </c>
      <c r="AD97" s="65">
        <v>132.9</v>
      </c>
      <c r="AE97" s="65">
        <v>134.6</v>
      </c>
      <c r="AF97" s="65">
        <v>133</v>
      </c>
      <c r="AG97" s="92"/>
      <c r="AH97" s="48">
        <f t="shared" si="9"/>
        <v>134.6</v>
      </c>
      <c r="AI97" s="49">
        <f t="shared" si="10"/>
        <v>127.4</v>
      </c>
    </row>
    <row r="98" spans="1:37" ht="15.75" thickBot="1" x14ac:dyDescent="0.3">
      <c r="A98" s="91" t="s">
        <v>103</v>
      </c>
      <c r="B98" s="96">
        <v>67.2</v>
      </c>
      <c r="C98" s="96">
        <v>67.5</v>
      </c>
      <c r="D98" s="96">
        <v>66.7</v>
      </c>
      <c r="E98" s="96">
        <v>66.7</v>
      </c>
      <c r="F98" s="96">
        <v>66.599999999999994</v>
      </c>
      <c r="G98" s="96">
        <v>66.2</v>
      </c>
      <c r="H98" s="96">
        <v>66.3</v>
      </c>
      <c r="I98" s="96">
        <v>66.3</v>
      </c>
      <c r="J98" s="96">
        <v>66.099999999999994</v>
      </c>
      <c r="K98" s="96">
        <v>65.599999999999994</v>
      </c>
      <c r="L98" s="96">
        <v>65.400000000000006</v>
      </c>
      <c r="M98" s="96">
        <v>65.400000000000006</v>
      </c>
      <c r="N98" s="96">
        <v>65.2</v>
      </c>
      <c r="O98" s="96">
        <v>64.900000000000006</v>
      </c>
      <c r="P98" s="96">
        <v>65.400000000000006</v>
      </c>
      <c r="Q98" s="96">
        <v>65.599999999999994</v>
      </c>
      <c r="R98" s="96">
        <v>65.8</v>
      </c>
      <c r="S98" s="96">
        <v>65.5</v>
      </c>
      <c r="T98" s="96">
        <v>65.400000000000006</v>
      </c>
      <c r="U98" s="96">
        <v>65.400000000000006</v>
      </c>
      <c r="V98" s="96">
        <v>65.8</v>
      </c>
      <c r="W98" s="96">
        <v>65.099999999999994</v>
      </c>
      <c r="X98" s="96">
        <v>64.8</v>
      </c>
      <c r="Y98" s="96">
        <v>65.2</v>
      </c>
      <c r="Z98" s="96">
        <v>65.599999999999994</v>
      </c>
      <c r="AA98" s="96">
        <v>66.2</v>
      </c>
      <c r="AB98" s="96">
        <v>66.7</v>
      </c>
      <c r="AC98" s="96">
        <v>66.7</v>
      </c>
      <c r="AD98" s="96">
        <v>66.599999999999994</v>
      </c>
      <c r="AE98" s="96">
        <v>66.7</v>
      </c>
      <c r="AF98" s="96">
        <v>66.5</v>
      </c>
      <c r="AG98" s="97"/>
      <c r="AH98" s="48">
        <f t="shared" si="9"/>
        <v>67.5</v>
      </c>
      <c r="AI98" s="49">
        <f t="shared" si="10"/>
        <v>64.8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9"/>
        <v>0</v>
      </c>
      <c r="AI99" s="49">
        <f t="shared" si="10"/>
        <v>0</v>
      </c>
    </row>
    <row r="100" spans="1:37" ht="15.75" thickBot="1" x14ac:dyDescent="0.3">
      <c r="A100" s="99" t="s">
        <v>104</v>
      </c>
      <c r="B100" s="100">
        <f t="shared" ref="B100:AF100" si="21">SUM(B15,B20,B22:B23,B48,B50:B51,B53,B55,B101:B105,B127,B133,B139,B148,B150,B162,B169,B172:B173,B180,B182,B184,B188:B190,B192:B194,B199,B205:B206,B208:B210,B218,B223)</f>
        <v>77.800000000000011</v>
      </c>
      <c r="C100" s="100">
        <f t="shared" si="21"/>
        <v>68.240000000000009</v>
      </c>
      <c r="D100" s="100">
        <f t="shared" si="21"/>
        <v>66.04000000000002</v>
      </c>
      <c r="E100" s="100">
        <f t="shared" si="21"/>
        <v>66.04000000000002</v>
      </c>
      <c r="F100" s="100">
        <f t="shared" si="21"/>
        <v>72.34</v>
      </c>
      <c r="G100" s="100">
        <f t="shared" si="21"/>
        <v>68.04000000000002</v>
      </c>
      <c r="H100" s="100">
        <f t="shared" si="21"/>
        <v>76.34</v>
      </c>
      <c r="I100" s="100">
        <f t="shared" si="21"/>
        <v>92.44</v>
      </c>
      <c r="J100" s="100">
        <f t="shared" si="21"/>
        <v>101.53999999999999</v>
      </c>
      <c r="K100" s="100">
        <f t="shared" si="21"/>
        <v>132.04000000000002</v>
      </c>
      <c r="L100" s="100">
        <f t="shared" si="21"/>
        <v>136.63999999999999</v>
      </c>
      <c r="M100" s="100">
        <f t="shared" si="21"/>
        <v>136.54000000000002</v>
      </c>
      <c r="N100" s="100">
        <f t="shared" si="21"/>
        <v>140.23999999999995</v>
      </c>
      <c r="O100" s="100">
        <f t="shared" si="21"/>
        <v>127.93999999999998</v>
      </c>
      <c r="P100" s="100">
        <f t="shared" si="21"/>
        <v>114.74000000000002</v>
      </c>
      <c r="Q100" s="100">
        <f t="shared" si="21"/>
        <v>115.2</v>
      </c>
      <c r="R100" s="100">
        <f t="shared" si="21"/>
        <v>145.20000000000002</v>
      </c>
      <c r="S100" s="100">
        <f t="shared" si="21"/>
        <v>112.09999999999997</v>
      </c>
      <c r="T100" s="100">
        <f t="shared" si="21"/>
        <v>112.49999999999999</v>
      </c>
      <c r="U100" s="100">
        <f t="shared" si="21"/>
        <v>127.00000000000003</v>
      </c>
      <c r="V100" s="100">
        <f t="shared" si="21"/>
        <v>140.6</v>
      </c>
      <c r="W100" s="100">
        <f t="shared" si="21"/>
        <v>165.8</v>
      </c>
      <c r="X100" s="100">
        <f t="shared" si="21"/>
        <v>235.10000000000005</v>
      </c>
      <c r="Y100" s="100">
        <f t="shared" si="21"/>
        <v>227.6</v>
      </c>
      <c r="Z100" s="100">
        <f t="shared" si="21"/>
        <v>202.80000000000004</v>
      </c>
      <c r="AA100" s="100">
        <f t="shared" si="21"/>
        <v>186.70000000000002</v>
      </c>
      <c r="AB100" s="100">
        <f t="shared" si="21"/>
        <v>149.9</v>
      </c>
      <c r="AC100" s="100">
        <f t="shared" si="21"/>
        <v>136.79999999999998</v>
      </c>
      <c r="AD100" s="100">
        <f t="shared" si="21"/>
        <v>134</v>
      </c>
      <c r="AE100" s="100">
        <f t="shared" si="21"/>
        <v>94.899999999999977</v>
      </c>
      <c r="AF100" s="100">
        <f t="shared" si="21"/>
        <v>64.5</v>
      </c>
      <c r="AG100" s="101"/>
      <c r="AH100" s="48">
        <f t="shared" si="9"/>
        <v>235.10000000000005</v>
      </c>
      <c r="AI100" s="49">
        <f t="shared" si="10"/>
        <v>64.5</v>
      </c>
    </row>
    <row r="101" spans="1:37" x14ac:dyDescent="0.25">
      <c r="A101" s="88" t="s">
        <v>105</v>
      </c>
      <c r="B101" s="102">
        <v>41.3</v>
      </c>
      <c r="C101" s="102">
        <v>37.200000000000003</v>
      </c>
      <c r="D101" s="102">
        <v>35</v>
      </c>
      <c r="E101" s="102">
        <v>35</v>
      </c>
      <c r="F101" s="102">
        <v>37.299999999999997</v>
      </c>
      <c r="G101" s="102">
        <v>37</v>
      </c>
      <c r="H101" s="102">
        <v>38</v>
      </c>
      <c r="I101" s="102">
        <v>39</v>
      </c>
      <c r="J101" s="102">
        <v>41</v>
      </c>
      <c r="K101" s="102">
        <v>49</v>
      </c>
      <c r="L101" s="102">
        <v>51.2</v>
      </c>
      <c r="M101" s="102">
        <v>43.7</v>
      </c>
      <c r="N101" s="102">
        <v>47.8</v>
      </c>
      <c r="O101" s="102">
        <v>47.4</v>
      </c>
      <c r="P101" s="102">
        <v>43.1</v>
      </c>
      <c r="Q101" s="102">
        <v>43.8</v>
      </c>
      <c r="R101" s="102">
        <v>38.4</v>
      </c>
      <c r="S101" s="102">
        <v>40.6</v>
      </c>
      <c r="T101" s="102">
        <v>44</v>
      </c>
      <c r="U101" s="102">
        <v>42.5</v>
      </c>
      <c r="V101" s="102">
        <v>47.2</v>
      </c>
      <c r="W101" s="102">
        <v>52.3</v>
      </c>
      <c r="X101" s="102">
        <v>61.3</v>
      </c>
      <c r="Y101" s="102">
        <v>60.7</v>
      </c>
      <c r="Z101" s="102">
        <v>56.3</v>
      </c>
      <c r="AA101" s="102">
        <v>52.4</v>
      </c>
      <c r="AB101" s="102">
        <v>47.4</v>
      </c>
      <c r="AC101" s="102">
        <v>45.7</v>
      </c>
      <c r="AD101" s="102">
        <v>47.9</v>
      </c>
      <c r="AE101" s="102">
        <v>41.6</v>
      </c>
      <c r="AF101" s="102">
        <v>39.6</v>
      </c>
      <c r="AG101" s="103">
        <v>75</v>
      </c>
      <c r="AH101" s="48">
        <f t="shared" si="9"/>
        <v>61.3</v>
      </c>
      <c r="AI101" s="49">
        <f t="shared" si="10"/>
        <v>35</v>
      </c>
    </row>
    <row r="102" spans="1:37" x14ac:dyDescent="0.25">
      <c r="A102" s="91" t="s">
        <v>106</v>
      </c>
      <c r="B102" s="104">
        <v>60</v>
      </c>
      <c r="C102" s="104">
        <v>53</v>
      </c>
      <c r="D102" s="104">
        <v>52</v>
      </c>
      <c r="E102" s="104">
        <v>52</v>
      </c>
      <c r="F102" s="104">
        <v>56</v>
      </c>
      <c r="G102" s="104">
        <v>56</v>
      </c>
      <c r="H102" s="104">
        <v>55</v>
      </c>
      <c r="I102" s="104">
        <v>57</v>
      </c>
      <c r="J102" s="104">
        <v>60</v>
      </c>
      <c r="K102" s="104">
        <v>70</v>
      </c>
      <c r="L102" s="104">
        <v>73</v>
      </c>
      <c r="M102" s="104">
        <v>61.8</v>
      </c>
      <c r="N102" s="104">
        <v>67.599999999999994</v>
      </c>
      <c r="O102" s="104">
        <v>67.7</v>
      </c>
      <c r="P102" s="104">
        <v>62.2</v>
      </c>
      <c r="Q102" s="104">
        <v>63.1</v>
      </c>
      <c r="R102" s="104">
        <v>56.5</v>
      </c>
      <c r="S102" s="104">
        <v>58.3</v>
      </c>
      <c r="T102" s="104">
        <v>64.900000000000006</v>
      </c>
      <c r="U102" s="104">
        <v>61.2</v>
      </c>
      <c r="V102" s="104">
        <v>67.400000000000006</v>
      </c>
      <c r="W102" s="104">
        <v>74.099999999999994</v>
      </c>
      <c r="X102" s="104">
        <v>91</v>
      </c>
      <c r="Y102" s="104">
        <v>89.5</v>
      </c>
      <c r="Z102" s="104">
        <v>82</v>
      </c>
      <c r="AA102" s="104">
        <v>76.099999999999994</v>
      </c>
      <c r="AB102" s="104">
        <v>68</v>
      </c>
      <c r="AC102" s="104">
        <v>65.400000000000006</v>
      </c>
      <c r="AD102" s="104">
        <v>68.5</v>
      </c>
      <c r="AE102" s="104">
        <v>61.9</v>
      </c>
      <c r="AF102" s="104">
        <v>57.7</v>
      </c>
      <c r="AG102" s="103">
        <v>240</v>
      </c>
      <c r="AH102" s="48">
        <f t="shared" si="9"/>
        <v>91</v>
      </c>
      <c r="AI102" s="49">
        <f t="shared" si="10"/>
        <v>52</v>
      </c>
    </row>
    <row r="103" spans="1:37" x14ac:dyDescent="0.25">
      <c r="A103" s="91" t="s">
        <v>107</v>
      </c>
      <c r="B103" s="104">
        <f>-62.1-66</f>
        <v>-128.1</v>
      </c>
      <c r="C103" s="104">
        <f>-62-65</f>
        <v>-127</v>
      </c>
      <c r="D103" s="104">
        <v>-126</v>
      </c>
      <c r="E103" s="104">
        <v>-126</v>
      </c>
      <c r="F103" s="104">
        <v>-126</v>
      </c>
      <c r="G103" s="104">
        <v>-130</v>
      </c>
      <c r="H103" s="104">
        <v>-134</v>
      </c>
      <c r="I103" s="104">
        <v>-130</v>
      </c>
      <c r="J103" s="104">
        <v>-127</v>
      </c>
      <c r="K103" s="104">
        <v>-125</v>
      </c>
      <c r="L103" s="104">
        <v>-134</v>
      </c>
      <c r="M103" s="104">
        <v>-126</v>
      </c>
      <c r="N103" s="104">
        <v>-131</v>
      </c>
      <c r="O103" s="104">
        <v>-135</v>
      </c>
      <c r="P103" s="104">
        <v>-130</v>
      </c>
      <c r="Q103" s="104">
        <f>-62.1-67.2</f>
        <v>-129.30000000000001</v>
      </c>
      <c r="R103" s="104">
        <f>-52.6-56.2</f>
        <v>-108.80000000000001</v>
      </c>
      <c r="S103" s="104">
        <v>-121.3</v>
      </c>
      <c r="T103" s="104">
        <v>-129.30000000000001</v>
      </c>
      <c r="U103" s="104">
        <v>-127</v>
      </c>
      <c r="V103" s="104">
        <v>-117</v>
      </c>
      <c r="W103" s="104">
        <f>-62-67</f>
        <v>-129</v>
      </c>
      <c r="X103" s="104">
        <f>-57-60.2</f>
        <v>-117.2</v>
      </c>
      <c r="Y103" s="104">
        <f>-56.4-61.5</f>
        <v>-117.9</v>
      </c>
      <c r="Z103" s="104">
        <f>-58-62.1</f>
        <v>-120.1</v>
      </c>
      <c r="AA103" s="104">
        <f>-58.3-62.2</f>
        <v>-120.5</v>
      </c>
      <c r="AB103" s="104">
        <v>-131</v>
      </c>
      <c r="AC103" s="104">
        <v>-139</v>
      </c>
      <c r="AD103" s="104">
        <v>-131</v>
      </c>
      <c r="AE103" s="104">
        <f>-68.1-71.7</f>
        <v>-139.80000000000001</v>
      </c>
      <c r="AF103" s="104">
        <f>-66.2-70.4</f>
        <v>-136.60000000000002</v>
      </c>
      <c r="AG103" s="103">
        <v>240</v>
      </c>
      <c r="AH103" s="48">
        <f t="shared" si="9"/>
        <v>-108.80000000000001</v>
      </c>
      <c r="AI103" s="49">
        <f t="shared" si="10"/>
        <v>-139.80000000000001</v>
      </c>
    </row>
    <row r="104" spans="1:37" x14ac:dyDescent="0.25">
      <c r="A104" s="91" t="s">
        <v>108</v>
      </c>
      <c r="B104" s="104">
        <v>0.5</v>
      </c>
      <c r="C104" s="104">
        <v>0</v>
      </c>
      <c r="D104" s="104">
        <v>0</v>
      </c>
      <c r="E104" s="104">
        <v>0</v>
      </c>
      <c r="F104" s="104">
        <v>0</v>
      </c>
      <c r="G104" s="104">
        <v>0</v>
      </c>
      <c r="H104" s="104">
        <v>0</v>
      </c>
      <c r="I104" s="104">
        <v>0</v>
      </c>
      <c r="J104" s="104">
        <v>1.1000000000000001</v>
      </c>
      <c r="K104" s="104">
        <v>2.2999999999999998</v>
      </c>
      <c r="L104" s="104">
        <v>3</v>
      </c>
      <c r="M104" s="104">
        <v>5.2</v>
      </c>
      <c r="N104" s="104">
        <v>4</v>
      </c>
      <c r="O104" s="104">
        <v>2.8</v>
      </c>
      <c r="P104" s="104">
        <v>4.2</v>
      </c>
      <c r="Q104" s="104">
        <v>3.3</v>
      </c>
      <c r="R104" s="104">
        <v>4.9000000000000004</v>
      </c>
      <c r="S104" s="104">
        <v>1.8</v>
      </c>
      <c r="T104" s="104">
        <v>0.2</v>
      </c>
      <c r="U104" s="104">
        <v>-1.9</v>
      </c>
      <c r="V104" s="104">
        <v>1.7</v>
      </c>
      <c r="W104" s="104">
        <v>8.3000000000000007</v>
      </c>
      <c r="X104" s="104">
        <v>9.9</v>
      </c>
      <c r="Y104" s="104">
        <v>9.6999999999999993</v>
      </c>
      <c r="Z104" s="104">
        <v>9.5</v>
      </c>
      <c r="AA104" s="104">
        <v>8.6</v>
      </c>
      <c r="AB104" s="104">
        <v>6.4</v>
      </c>
      <c r="AC104" s="104">
        <v>5.4</v>
      </c>
      <c r="AD104" s="104">
        <v>-1.3</v>
      </c>
      <c r="AE104" s="104">
        <v>-2.9</v>
      </c>
      <c r="AF104" s="104">
        <v>-6</v>
      </c>
      <c r="AG104" s="103">
        <v>60</v>
      </c>
      <c r="AH104" s="48">
        <f t="shared" si="9"/>
        <v>9.9</v>
      </c>
      <c r="AI104" s="49">
        <f t="shared" si="10"/>
        <v>-6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0</v>
      </c>
      <c r="Y105" s="106">
        <v>0</v>
      </c>
      <c r="Z105" s="106">
        <v>0</v>
      </c>
      <c r="AA105" s="106">
        <v>0</v>
      </c>
      <c r="AB105" s="106">
        <v>0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9"/>
        <v>0</v>
      </c>
      <c r="AI105" s="49">
        <f t="shared" si="10"/>
        <v>0</v>
      </c>
    </row>
    <row r="106" spans="1:37" x14ac:dyDescent="0.25">
      <c r="A106" s="105" t="s">
        <v>110</v>
      </c>
      <c r="B106" s="106">
        <v>-43.7</v>
      </c>
      <c r="C106" s="106">
        <v>-42.3</v>
      </c>
      <c r="D106" s="106">
        <v>-44</v>
      </c>
      <c r="E106" s="106">
        <v>-44</v>
      </c>
      <c r="F106" s="106">
        <v>-46</v>
      </c>
      <c r="G106" s="106">
        <v>-44</v>
      </c>
      <c r="H106" s="106">
        <v>-46.3</v>
      </c>
      <c r="I106" s="106">
        <v>-46</v>
      </c>
      <c r="J106" s="106">
        <v>-47</v>
      </c>
      <c r="K106" s="106">
        <v>-46</v>
      </c>
      <c r="L106" s="106">
        <v>-50</v>
      </c>
      <c r="M106" s="106">
        <v>-43.9</v>
      </c>
      <c r="N106" s="106">
        <v>-47</v>
      </c>
      <c r="O106" s="106">
        <v>-54.5</v>
      </c>
      <c r="P106" s="106">
        <v>-50</v>
      </c>
      <c r="Q106" s="106">
        <v>-50.3</v>
      </c>
      <c r="R106" s="106">
        <v>-32.6</v>
      </c>
      <c r="S106" s="106">
        <v>-43</v>
      </c>
      <c r="T106" s="106">
        <v>-46</v>
      </c>
      <c r="U106" s="106">
        <v>-43.3</v>
      </c>
      <c r="V106" s="106">
        <v>-36.200000000000003</v>
      </c>
      <c r="W106" s="106">
        <v>-41.1</v>
      </c>
      <c r="X106" s="106">
        <v>-28</v>
      </c>
      <c r="Y106" s="106">
        <v>-33</v>
      </c>
      <c r="Z106" s="106">
        <v>-33.5</v>
      </c>
      <c r="AA106" s="106">
        <v>-36.1</v>
      </c>
      <c r="AB106" s="106">
        <v>-37.799999999999997</v>
      </c>
      <c r="AC106" s="106">
        <v>-42.2</v>
      </c>
      <c r="AD106" s="106">
        <v>-40.700000000000003</v>
      </c>
      <c r="AE106" s="106">
        <v>-48</v>
      </c>
      <c r="AF106" s="106">
        <v>-43.6</v>
      </c>
      <c r="AG106" s="107"/>
      <c r="AH106" s="48">
        <f t="shared" si="9"/>
        <v>-28</v>
      </c>
      <c r="AI106" s="49">
        <f t="shared" si="10"/>
        <v>-54.5</v>
      </c>
    </row>
    <row r="107" spans="1:37" x14ac:dyDescent="0.25">
      <c r="A107" s="105" t="s">
        <v>111</v>
      </c>
      <c r="B107" s="106">
        <v>-43.6</v>
      </c>
      <c r="C107" s="106">
        <v>-39.1</v>
      </c>
      <c r="D107" s="106">
        <v>-36</v>
      </c>
      <c r="E107" s="106">
        <v>-36</v>
      </c>
      <c r="F107" s="106">
        <v>-32</v>
      </c>
      <c r="G107" s="106">
        <v>-33</v>
      </c>
      <c r="H107" s="106">
        <v>-37</v>
      </c>
      <c r="I107" s="106">
        <v>-43</v>
      </c>
      <c r="J107" s="106">
        <v>-50</v>
      </c>
      <c r="K107" s="106">
        <v>-62</v>
      </c>
      <c r="L107" s="106">
        <v>-59</v>
      </c>
      <c r="M107" s="106">
        <v>50.9</v>
      </c>
      <c r="N107" s="106">
        <v>-46.1</v>
      </c>
      <c r="O107" s="106">
        <v>-55.1</v>
      </c>
      <c r="P107" s="106">
        <v>-51.4</v>
      </c>
      <c r="Q107" s="106">
        <v>-53.2</v>
      </c>
      <c r="R107" s="106">
        <v>-13.5</v>
      </c>
      <c r="S107" s="106">
        <v>-36.5</v>
      </c>
      <c r="T107" s="106">
        <v>-38.9</v>
      </c>
      <c r="U107" s="106">
        <v>-24.2</v>
      </c>
      <c r="V107" s="106">
        <v>-46.2</v>
      </c>
      <c r="W107" s="106">
        <v>-62.4</v>
      </c>
      <c r="X107" s="106">
        <v>-47.2</v>
      </c>
      <c r="Y107" s="106">
        <v>-56.3</v>
      </c>
      <c r="Z107" s="106">
        <v>-64</v>
      </c>
      <c r="AA107" s="106">
        <v>-66.3</v>
      </c>
      <c r="AB107" s="106">
        <v>-60.3</v>
      </c>
      <c r="AC107" s="106">
        <v>-50.1</v>
      </c>
      <c r="AD107" s="106">
        <v>-53.7</v>
      </c>
      <c r="AE107" s="106">
        <v>-50.2</v>
      </c>
      <c r="AF107" s="106">
        <v>51.9</v>
      </c>
      <c r="AG107" s="108"/>
      <c r="AH107" s="48">
        <f t="shared" si="9"/>
        <v>51.9</v>
      </c>
      <c r="AI107" s="49">
        <f t="shared" si="10"/>
        <v>-66.3</v>
      </c>
    </row>
    <row r="108" spans="1:37" x14ac:dyDescent="0.25">
      <c r="A108" s="109" t="s">
        <v>112</v>
      </c>
      <c r="B108" s="94">
        <v>112.5</v>
      </c>
      <c r="C108" s="94">
        <v>114.1</v>
      </c>
      <c r="D108" s="94">
        <v>116</v>
      </c>
      <c r="E108" s="94">
        <v>116</v>
      </c>
      <c r="F108" s="94">
        <v>116</v>
      </c>
      <c r="G108" s="94">
        <v>116</v>
      </c>
      <c r="H108" s="94">
        <v>116</v>
      </c>
      <c r="I108" s="94">
        <v>118</v>
      </c>
      <c r="J108" s="94">
        <v>122</v>
      </c>
      <c r="K108" s="94">
        <v>121</v>
      </c>
      <c r="L108" s="94">
        <v>118</v>
      </c>
      <c r="M108" s="94">
        <v>116.1</v>
      </c>
      <c r="N108" s="94">
        <v>117</v>
      </c>
      <c r="O108" s="94">
        <v>88.5</v>
      </c>
      <c r="P108" s="94">
        <v>90.8</v>
      </c>
      <c r="Q108" s="94">
        <v>102.3</v>
      </c>
      <c r="R108" s="94">
        <v>115.8</v>
      </c>
      <c r="S108" s="94">
        <v>115.3</v>
      </c>
      <c r="T108" s="94">
        <v>113.4</v>
      </c>
      <c r="U108" s="94">
        <v>112.3</v>
      </c>
      <c r="V108" s="94">
        <v>108.8</v>
      </c>
      <c r="W108" s="94">
        <v>77.3</v>
      </c>
      <c r="X108" s="94">
        <v>81.400000000000006</v>
      </c>
      <c r="Y108" s="94">
        <v>84.2</v>
      </c>
      <c r="Z108" s="94">
        <v>87.7</v>
      </c>
      <c r="AA108" s="94">
        <v>89.3</v>
      </c>
      <c r="AB108" s="94">
        <v>95.7</v>
      </c>
      <c r="AC108" s="94">
        <v>100.5</v>
      </c>
      <c r="AD108" s="94">
        <v>103.6</v>
      </c>
      <c r="AE108" s="94">
        <v>111.7</v>
      </c>
      <c r="AF108" s="94">
        <v>114.5</v>
      </c>
      <c r="AG108" s="108"/>
      <c r="AH108" s="48">
        <f t="shared" si="9"/>
        <v>122</v>
      </c>
      <c r="AI108" s="49">
        <f t="shared" si="10"/>
        <v>77.3</v>
      </c>
    </row>
    <row r="109" spans="1:37" ht="15.75" thickBot="1" x14ac:dyDescent="0.3">
      <c r="A109" s="109" t="s">
        <v>113</v>
      </c>
      <c r="B109" s="94">
        <v>98.2</v>
      </c>
      <c r="C109" s="94">
        <v>96</v>
      </c>
      <c r="D109" s="94">
        <v>95</v>
      </c>
      <c r="E109" s="94">
        <v>95</v>
      </c>
      <c r="F109" s="94">
        <v>95</v>
      </c>
      <c r="G109" s="94">
        <v>96</v>
      </c>
      <c r="H109" s="94">
        <v>98</v>
      </c>
      <c r="I109" s="94">
        <v>97</v>
      </c>
      <c r="J109" s="94">
        <v>96</v>
      </c>
      <c r="K109" s="94">
        <v>98.5</v>
      </c>
      <c r="L109" s="94">
        <v>103</v>
      </c>
      <c r="M109" s="94">
        <v>102</v>
      </c>
      <c r="N109" s="94">
        <v>98.9</v>
      </c>
      <c r="O109" s="94">
        <v>102.8</v>
      </c>
      <c r="P109" s="94">
        <v>98.8</v>
      </c>
      <c r="Q109" s="94">
        <v>101.4</v>
      </c>
      <c r="R109" s="94">
        <v>85</v>
      </c>
      <c r="S109" s="94">
        <v>96</v>
      </c>
      <c r="T109" s="94">
        <v>99</v>
      </c>
      <c r="U109" s="94">
        <v>98</v>
      </c>
      <c r="V109" s="94">
        <v>93</v>
      </c>
      <c r="W109" s="94">
        <v>98.2</v>
      </c>
      <c r="X109" s="94">
        <v>92.2</v>
      </c>
      <c r="Y109" s="94">
        <v>99.8</v>
      </c>
      <c r="Z109" s="94">
        <v>98.2</v>
      </c>
      <c r="AA109" s="94">
        <v>98.7</v>
      </c>
      <c r="AB109" s="94">
        <v>102.4</v>
      </c>
      <c r="AC109" s="94">
        <v>104.6</v>
      </c>
      <c r="AD109" s="94">
        <v>105</v>
      </c>
      <c r="AE109" s="94">
        <v>108.2</v>
      </c>
      <c r="AF109" s="94">
        <v>103.5</v>
      </c>
      <c r="AG109" s="108"/>
      <c r="AH109" s="48">
        <f t="shared" si="9"/>
        <v>108.2</v>
      </c>
      <c r="AI109" s="49">
        <f t="shared" si="10"/>
        <v>85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22">SUM(B111:B215)</f>
        <v>0</v>
      </c>
      <c r="C216" s="125">
        <f t="shared" si="22"/>
        <v>0</v>
      </c>
      <c r="D216" s="125">
        <f t="shared" si="22"/>
        <v>0</v>
      </c>
      <c r="E216" s="125">
        <f t="shared" si="22"/>
        <v>0</v>
      </c>
      <c r="F216" s="125">
        <f t="shared" si="22"/>
        <v>0</v>
      </c>
      <c r="G216" s="125">
        <f t="shared" si="22"/>
        <v>0</v>
      </c>
      <c r="H216" s="125">
        <f t="shared" si="22"/>
        <v>0</v>
      </c>
      <c r="I216" s="125">
        <f t="shared" si="22"/>
        <v>0</v>
      </c>
      <c r="J216" s="125">
        <f t="shared" si="22"/>
        <v>0</v>
      </c>
      <c r="K216" s="125">
        <f t="shared" si="22"/>
        <v>0</v>
      </c>
      <c r="L216" s="125">
        <f t="shared" si="22"/>
        <v>0</v>
      </c>
      <c r="M216" s="125">
        <f t="shared" si="22"/>
        <v>0</v>
      </c>
      <c r="N216" s="125">
        <f t="shared" si="22"/>
        <v>0</v>
      </c>
      <c r="O216" s="125">
        <f t="shared" si="22"/>
        <v>0</v>
      </c>
      <c r="P216" s="125">
        <f t="shared" si="22"/>
        <v>0</v>
      </c>
      <c r="Q216" s="125">
        <f t="shared" si="22"/>
        <v>0</v>
      </c>
      <c r="R216" s="125">
        <f t="shared" si="22"/>
        <v>0</v>
      </c>
      <c r="S216" s="125">
        <f t="shared" si="22"/>
        <v>0</v>
      </c>
      <c r="T216" s="125">
        <f t="shared" si="22"/>
        <v>0</v>
      </c>
      <c r="U216" s="125">
        <f t="shared" si="22"/>
        <v>0</v>
      </c>
      <c r="V216" s="125">
        <f t="shared" si="22"/>
        <v>0</v>
      </c>
      <c r="W216" s="125">
        <f t="shared" si="22"/>
        <v>0</v>
      </c>
      <c r="X216" s="125">
        <f t="shared" si="22"/>
        <v>0</v>
      </c>
      <c r="Y216" s="125">
        <f t="shared" si="22"/>
        <v>0</v>
      </c>
      <c r="Z216" s="125">
        <f t="shared" si="22"/>
        <v>0</v>
      </c>
      <c r="AA216" s="125">
        <f t="shared" si="22"/>
        <v>0</v>
      </c>
      <c r="AB216" s="125">
        <f t="shared" si="22"/>
        <v>0</v>
      </c>
      <c r="AC216" s="125">
        <f t="shared" si="22"/>
        <v>0</v>
      </c>
      <c r="AD216" s="125">
        <f t="shared" si="22"/>
        <v>0</v>
      </c>
      <c r="AE216" s="125">
        <f t="shared" si="22"/>
        <v>0</v>
      </c>
      <c r="AF216" s="126">
        <f t="shared" si="22"/>
        <v>0</v>
      </c>
      <c r="AG216" s="127">
        <f t="shared" si="22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23">AF218</f>
        <v>0</v>
      </c>
      <c r="C218" s="129">
        <v>0.3</v>
      </c>
      <c r="D218" s="129">
        <f t="shared" ref="D218:P223" si="24">C218</f>
        <v>0.3</v>
      </c>
      <c r="E218" s="129">
        <f t="shared" si="24"/>
        <v>0.3</v>
      </c>
      <c r="F218" s="129">
        <f t="shared" si="24"/>
        <v>0.3</v>
      </c>
      <c r="G218" s="129">
        <f t="shared" si="24"/>
        <v>0.3</v>
      </c>
      <c r="H218" s="129">
        <f t="shared" si="24"/>
        <v>0.3</v>
      </c>
      <c r="I218" s="129">
        <f t="shared" si="24"/>
        <v>0.3</v>
      </c>
      <c r="J218" s="129">
        <f t="shared" si="24"/>
        <v>0.3</v>
      </c>
      <c r="K218" s="129">
        <f t="shared" si="24"/>
        <v>0.3</v>
      </c>
      <c r="L218" s="129">
        <f t="shared" si="24"/>
        <v>0.3</v>
      </c>
      <c r="M218" s="129">
        <f t="shared" si="24"/>
        <v>0.3</v>
      </c>
      <c r="N218" s="129">
        <f t="shared" si="24"/>
        <v>0.3</v>
      </c>
      <c r="O218" s="129">
        <f t="shared" si="24"/>
        <v>0.3</v>
      </c>
      <c r="P218" s="129">
        <f t="shared" si="24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23"/>
        <v>0</v>
      </c>
      <c r="C219" s="117">
        <v>0.4</v>
      </c>
      <c r="D219" s="117">
        <f t="shared" si="24"/>
        <v>0.4</v>
      </c>
      <c r="E219" s="117">
        <f t="shared" si="24"/>
        <v>0.4</v>
      </c>
      <c r="F219" s="117">
        <f t="shared" si="24"/>
        <v>0.4</v>
      </c>
      <c r="G219" s="117">
        <f t="shared" si="24"/>
        <v>0.4</v>
      </c>
      <c r="H219" s="117">
        <f t="shared" si="24"/>
        <v>0.4</v>
      </c>
      <c r="I219" s="117">
        <f t="shared" si="24"/>
        <v>0.4</v>
      </c>
      <c r="J219" s="117">
        <f t="shared" si="24"/>
        <v>0.4</v>
      </c>
      <c r="K219" s="117">
        <f t="shared" si="24"/>
        <v>0.4</v>
      </c>
      <c r="L219" s="117">
        <f t="shared" si="24"/>
        <v>0.4</v>
      </c>
      <c r="M219" s="117">
        <f t="shared" si="24"/>
        <v>0.4</v>
      </c>
      <c r="N219" s="117">
        <f t="shared" si="24"/>
        <v>0.4</v>
      </c>
      <c r="O219" s="117">
        <f t="shared" si="24"/>
        <v>0.4</v>
      </c>
      <c r="P219" s="117">
        <f t="shared" si="24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23"/>
        <v>0</v>
      </c>
      <c r="C220" s="117">
        <v>1.5</v>
      </c>
      <c r="D220" s="117">
        <f t="shared" si="24"/>
        <v>1.5</v>
      </c>
      <c r="E220" s="117">
        <f t="shared" si="24"/>
        <v>1.5</v>
      </c>
      <c r="F220" s="117">
        <f t="shared" si="24"/>
        <v>1.5</v>
      </c>
      <c r="G220" s="117">
        <f t="shared" si="24"/>
        <v>1.5</v>
      </c>
      <c r="H220" s="117">
        <f t="shared" si="24"/>
        <v>1.5</v>
      </c>
      <c r="I220" s="117">
        <f t="shared" si="24"/>
        <v>1.5</v>
      </c>
      <c r="J220" s="117">
        <f t="shared" si="24"/>
        <v>1.5</v>
      </c>
      <c r="K220" s="117">
        <f t="shared" si="24"/>
        <v>1.5</v>
      </c>
      <c r="L220" s="117">
        <f t="shared" si="24"/>
        <v>1.5</v>
      </c>
      <c r="M220" s="117">
        <f t="shared" si="24"/>
        <v>1.5</v>
      </c>
      <c r="N220" s="117">
        <f t="shared" si="24"/>
        <v>1.5</v>
      </c>
      <c r="O220" s="117">
        <f t="shared" si="24"/>
        <v>1.5</v>
      </c>
      <c r="P220" s="117">
        <f t="shared" si="24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23"/>
        <v>0</v>
      </c>
      <c r="C221" s="117">
        <v>0.3</v>
      </c>
      <c r="D221" s="117">
        <f t="shared" si="24"/>
        <v>0.3</v>
      </c>
      <c r="E221" s="117">
        <f t="shared" si="24"/>
        <v>0.3</v>
      </c>
      <c r="F221" s="117">
        <f t="shared" si="24"/>
        <v>0.3</v>
      </c>
      <c r="G221" s="117">
        <f t="shared" si="24"/>
        <v>0.3</v>
      </c>
      <c r="H221" s="117">
        <f t="shared" si="24"/>
        <v>0.3</v>
      </c>
      <c r="I221" s="117">
        <f t="shared" si="24"/>
        <v>0.3</v>
      </c>
      <c r="J221" s="117">
        <f t="shared" si="24"/>
        <v>0.3</v>
      </c>
      <c r="K221" s="117">
        <f t="shared" si="24"/>
        <v>0.3</v>
      </c>
      <c r="L221" s="117">
        <f t="shared" si="24"/>
        <v>0.3</v>
      </c>
      <c r="M221" s="117">
        <f t="shared" si="24"/>
        <v>0.3</v>
      </c>
      <c r="N221" s="117">
        <f t="shared" si="24"/>
        <v>0.3</v>
      </c>
      <c r="O221" s="117">
        <f t="shared" si="24"/>
        <v>0.3</v>
      </c>
      <c r="P221" s="117">
        <f t="shared" si="24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23"/>
        <v>0</v>
      </c>
      <c r="C222" s="117">
        <v>0.4</v>
      </c>
      <c r="D222" s="117">
        <f t="shared" si="24"/>
        <v>0.4</v>
      </c>
      <c r="E222" s="117">
        <f t="shared" si="24"/>
        <v>0.4</v>
      </c>
      <c r="F222" s="117">
        <f t="shared" si="24"/>
        <v>0.4</v>
      </c>
      <c r="G222" s="117">
        <f t="shared" si="24"/>
        <v>0.4</v>
      </c>
      <c r="H222" s="117">
        <f t="shared" si="24"/>
        <v>0.4</v>
      </c>
      <c r="I222" s="117">
        <f t="shared" si="24"/>
        <v>0.4</v>
      </c>
      <c r="J222" s="117">
        <f t="shared" si="24"/>
        <v>0.4</v>
      </c>
      <c r="K222" s="117">
        <f t="shared" si="24"/>
        <v>0.4</v>
      </c>
      <c r="L222" s="117">
        <f t="shared" si="24"/>
        <v>0.4</v>
      </c>
      <c r="M222" s="117">
        <f t="shared" si="24"/>
        <v>0.4</v>
      </c>
      <c r="N222" s="117">
        <f t="shared" si="24"/>
        <v>0.4</v>
      </c>
      <c r="O222" s="117">
        <f t="shared" si="24"/>
        <v>0.4</v>
      </c>
      <c r="P222" s="117">
        <f t="shared" si="24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23"/>
        <v>0</v>
      </c>
      <c r="C223" s="121">
        <v>0.64</v>
      </c>
      <c r="D223" s="121">
        <f t="shared" si="24"/>
        <v>0.64</v>
      </c>
      <c r="E223" s="121">
        <f t="shared" si="24"/>
        <v>0.64</v>
      </c>
      <c r="F223" s="121">
        <f t="shared" si="24"/>
        <v>0.64</v>
      </c>
      <c r="G223" s="121">
        <f t="shared" si="24"/>
        <v>0.64</v>
      </c>
      <c r="H223" s="121">
        <f t="shared" si="24"/>
        <v>0.64</v>
      </c>
      <c r="I223" s="121">
        <f t="shared" si="24"/>
        <v>0.64</v>
      </c>
      <c r="J223" s="121">
        <f t="shared" si="24"/>
        <v>0.64</v>
      </c>
      <c r="K223" s="121">
        <f t="shared" si="24"/>
        <v>0.64</v>
      </c>
      <c r="L223" s="121">
        <f t="shared" si="24"/>
        <v>0.64</v>
      </c>
      <c r="M223" s="121">
        <f t="shared" si="24"/>
        <v>0.64</v>
      </c>
      <c r="N223" s="121">
        <f t="shared" si="24"/>
        <v>0.64</v>
      </c>
      <c r="O223" s="121">
        <f t="shared" si="24"/>
        <v>0.64</v>
      </c>
      <c r="P223" s="121">
        <f t="shared" si="24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5">SUM(B218:B223)</f>
        <v>0</v>
      </c>
      <c r="C224" s="125">
        <f t="shared" si="25"/>
        <v>3.54</v>
      </c>
      <c r="D224" s="125">
        <f t="shared" si="25"/>
        <v>3.54</v>
      </c>
      <c r="E224" s="125">
        <f t="shared" si="25"/>
        <v>3.54</v>
      </c>
      <c r="F224" s="125">
        <f t="shared" si="25"/>
        <v>3.54</v>
      </c>
      <c r="G224" s="125">
        <f t="shared" si="25"/>
        <v>3.54</v>
      </c>
      <c r="H224" s="125">
        <f t="shared" si="25"/>
        <v>3.54</v>
      </c>
      <c r="I224" s="125">
        <f t="shared" si="25"/>
        <v>3.54</v>
      </c>
      <c r="J224" s="125">
        <f t="shared" si="25"/>
        <v>3.54</v>
      </c>
      <c r="K224" s="125">
        <f t="shared" si="25"/>
        <v>3.54</v>
      </c>
      <c r="L224" s="125">
        <f t="shared" si="25"/>
        <v>3.54</v>
      </c>
      <c r="M224" s="125">
        <f t="shared" si="25"/>
        <v>3.54</v>
      </c>
      <c r="N224" s="125">
        <f t="shared" si="25"/>
        <v>3.54</v>
      </c>
      <c r="O224" s="125">
        <f t="shared" si="25"/>
        <v>3.54</v>
      </c>
      <c r="P224" s="125">
        <f t="shared" si="25"/>
        <v>3.54</v>
      </c>
      <c r="Q224" s="125">
        <f t="shared" si="25"/>
        <v>0</v>
      </c>
      <c r="R224" s="125">
        <f t="shared" si="25"/>
        <v>0</v>
      </c>
      <c r="S224" s="125">
        <f t="shared" si="25"/>
        <v>0</v>
      </c>
      <c r="T224" s="125">
        <f t="shared" si="25"/>
        <v>0</v>
      </c>
      <c r="U224" s="125">
        <f t="shared" si="25"/>
        <v>0</v>
      </c>
      <c r="V224" s="125">
        <f t="shared" si="25"/>
        <v>0</v>
      </c>
      <c r="W224" s="125">
        <f t="shared" si="25"/>
        <v>0</v>
      </c>
      <c r="X224" s="125">
        <f t="shared" si="25"/>
        <v>0</v>
      </c>
      <c r="Y224" s="125">
        <f t="shared" si="25"/>
        <v>0</v>
      </c>
      <c r="Z224" s="125">
        <f t="shared" si="25"/>
        <v>0</v>
      </c>
      <c r="AA224" s="125">
        <f t="shared" si="25"/>
        <v>0</v>
      </c>
      <c r="AB224" s="125">
        <f t="shared" si="25"/>
        <v>0</v>
      </c>
      <c r="AC224" s="125">
        <f t="shared" si="25"/>
        <v>0</v>
      </c>
      <c r="AD224" s="125">
        <f t="shared" si="25"/>
        <v>0</v>
      </c>
      <c r="AE224" s="125">
        <f t="shared" si="25"/>
        <v>0</v>
      </c>
      <c r="AF224" s="125">
        <f t="shared" si="25"/>
        <v>0</v>
      </c>
      <c r="AG224" s="134">
        <f t="shared" si="25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1139.94</v>
      </c>
      <c r="C233" s="150">
        <f>INDEX(G9:N9,1,MATCH(MAX(G81:N81),G81:N81,0))</f>
        <v>0.33333333333333331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11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2079/06/11)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2079/06/11)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26">B81</f>
        <v>1019.14</v>
      </c>
      <c r="U238" s="159">
        <f t="shared" si="26"/>
        <v>993.43999999999994</v>
      </c>
      <c r="V238" s="159">
        <f t="shared" si="26"/>
        <v>993.43999999999994</v>
      </c>
      <c r="W238" s="159">
        <f t="shared" si="26"/>
        <v>968.04</v>
      </c>
      <c r="X238" s="159">
        <f t="shared" si="26"/>
        <v>971.33999999999992</v>
      </c>
      <c r="Y238" s="159">
        <f t="shared" si="26"/>
        <v>972.24</v>
      </c>
      <c r="Z238" s="159">
        <f t="shared" si="26"/>
        <v>983.43999999999994</v>
      </c>
      <c r="AA238" s="159">
        <f t="shared" si="26"/>
        <v>1016.54</v>
      </c>
      <c r="AB238" s="159">
        <f t="shared" si="26"/>
        <v>1027.74</v>
      </c>
      <c r="AC238" s="159">
        <f t="shared" si="26"/>
        <v>1066.74</v>
      </c>
      <c r="AD238" s="159">
        <f t="shared" si="26"/>
        <v>1118.44</v>
      </c>
      <c r="AE238" s="159">
        <f t="shared" si="26"/>
        <v>1139.94</v>
      </c>
      <c r="AF238" s="159">
        <f t="shared" si="26"/>
        <v>1132.24</v>
      </c>
      <c r="AG238" s="159">
        <f t="shared" si="26"/>
        <v>1089.1399999999999</v>
      </c>
      <c r="AH238" s="159">
        <f t="shared" si="26"/>
        <v>1048.94</v>
      </c>
      <c r="AI238" s="159">
        <f t="shared" si="26"/>
        <v>1021.1399999999999</v>
      </c>
      <c r="AJ238" s="159">
        <f t="shared" si="26"/>
        <v>1056.6399999999999</v>
      </c>
      <c r="AK238" s="159">
        <f t="shared" si="26"/>
        <v>1033.04</v>
      </c>
      <c r="AL238" s="159">
        <f t="shared" si="26"/>
        <v>1045.1399999999999</v>
      </c>
      <c r="AM238" s="159">
        <f t="shared" si="26"/>
        <v>1076.83</v>
      </c>
      <c r="AN238" s="159">
        <f t="shared" si="26"/>
        <v>1106.1400000000001</v>
      </c>
      <c r="AO238" s="159">
        <f t="shared" si="26"/>
        <v>1202.24</v>
      </c>
      <c r="AP238" s="159">
        <f t="shared" si="26"/>
        <v>1326.6399999999999</v>
      </c>
      <c r="AQ238" s="159">
        <f t="shared" si="26"/>
        <v>1321.1399999999999</v>
      </c>
      <c r="AR238" s="159">
        <f t="shared" si="26"/>
        <v>1260.3399999999999</v>
      </c>
      <c r="AS238" s="159">
        <f t="shared" si="26"/>
        <v>1255.3399999999999</v>
      </c>
      <c r="AT238" s="159">
        <f t="shared" si="26"/>
        <v>1234.3399999999999</v>
      </c>
      <c r="AU238" s="159">
        <f t="shared" si="26"/>
        <v>1224.6399999999999</v>
      </c>
      <c r="AV238" s="159">
        <f t="shared" si="26"/>
        <v>1137.3400000000001</v>
      </c>
      <c r="AW238" s="159">
        <f t="shared" si="26"/>
        <v>1086.3400000000001</v>
      </c>
      <c r="AX238" s="159">
        <f t="shared" si="26"/>
        <v>1029.04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27">C223</f>
        <v>0.64</v>
      </c>
      <c r="C259" s="162">
        <f t="shared" si="27"/>
        <v>0.64</v>
      </c>
      <c r="D259" s="162">
        <f t="shared" si="27"/>
        <v>0.64</v>
      </c>
      <c r="E259" s="162">
        <f t="shared" si="27"/>
        <v>0.64</v>
      </c>
      <c r="F259" s="162">
        <f t="shared" si="27"/>
        <v>0.64</v>
      </c>
      <c r="G259" s="162">
        <f t="shared" si="27"/>
        <v>0.64</v>
      </c>
      <c r="H259" s="162">
        <f t="shared" si="27"/>
        <v>0.64</v>
      </c>
      <c r="I259" s="162">
        <f t="shared" si="27"/>
        <v>0.64</v>
      </c>
      <c r="J259" s="162">
        <f t="shared" si="27"/>
        <v>0.64</v>
      </c>
      <c r="K259" s="162">
        <f t="shared" si="27"/>
        <v>0.64</v>
      </c>
      <c r="L259" s="162">
        <f t="shared" si="27"/>
        <v>0.64</v>
      </c>
      <c r="M259" s="162">
        <f t="shared" si="27"/>
        <v>0.64</v>
      </c>
      <c r="N259" s="162">
        <f t="shared" si="27"/>
        <v>0.64</v>
      </c>
      <c r="O259" s="162">
        <f t="shared" si="27"/>
        <v>0.64</v>
      </c>
      <c r="P259" s="162">
        <f t="shared" si="27"/>
        <v>0</v>
      </c>
      <c r="Q259" s="162">
        <f t="shared" si="27"/>
        <v>0</v>
      </c>
      <c r="R259" s="162">
        <f t="shared" si="27"/>
        <v>0</v>
      </c>
      <c r="S259" s="162">
        <f t="shared" si="27"/>
        <v>0</v>
      </c>
      <c r="T259" s="162">
        <f t="shared" si="27"/>
        <v>0</v>
      </c>
      <c r="U259" s="162">
        <f t="shared" si="27"/>
        <v>0</v>
      </c>
      <c r="V259" s="162">
        <f t="shared" si="27"/>
        <v>0</v>
      </c>
      <c r="W259" s="162">
        <f t="shared" si="27"/>
        <v>0</v>
      </c>
      <c r="X259" s="162">
        <f t="shared" si="27"/>
        <v>0</v>
      </c>
      <c r="Y259" s="162">
        <f t="shared" si="27"/>
        <v>0</v>
      </c>
      <c r="Z259" s="162">
        <f t="shared" si="27"/>
        <v>0</v>
      </c>
      <c r="AA259" s="162">
        <f t="shared" si="27"/>
        <v>0</v>
      </c>
      <c r="AB259" s="162">
        <f t="shared" si="27"/>
        <v>0</v>
      </c>
      <c r="AC259" s="162">
        <f t="shared" si="27"/>
        <v>0</v>
      </c>
      <c r="AD259" s="162">
        <f t="shared" si="27"/>
        <v>0</v>
      </c>
      <c r="AE259" s="162">
        <f t="shared" si="27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28">IF(B227&lt;100,"",B227-520)</f>
        <v/>
      </c>
      <c r="C260" s="163" t="str">
        <f t="shared" si="28"/>
        <v/>
      </c>
      <c r="D260" s="163" t="str">
        <f t="shared" si="28"/>
        <v/>
      </c>
      <c r="E260" s="163" t="str">
        <f t="shared" si="28"/>
        <v/>
      </c>
      <c r="F260" s="163" t="str">
        <f t="shared" si="28"/>
        <v/>
      </c>
      <c r="G260" s="163" t="str">
        <f t="shared" si="28"/>
        <v/>
      </c>
      <c r="H260" s="163" t="str">
        <f t="shared" si="28"/>
        <v/>
      </c>
      <c r="I260" s="163" t="str">
        <f t="shared" si="28"/>
        <v/>
      </c>
      <c r="J260" s="163" t="str">
        <f t="shared" si="28"/>
        <v/>
      </c>
      <c r="K260" s="163" t="str">
        <f t="shared" si="28"/>
        <v/>
      </c>
      <c r="L260" s="163" t="str">
        <f t="shared" si="28"/>
        <v/>
      </c>
      <c r="M260" s="163" t="str">
        <f t="shared" si="28"/>
        <v/>
      </c>
      <c r="N260" s="163" t="str">
        <f t="shared" si="28"/>
        <v/>
      </c>
      <c r="O260" s="163" t="str">
        <f t="shared" si="28"/>
        <v/>
      </c>
      <c r="P260" s="163" t="str">
        <f t="shared" si="28"/>
        <v/>
      </c>
      <c r="Q260" s="163" t="str">
        <f t="shared" si="28"/>
        <v/>
      </c>
      <c r="R260" s="163" t="str">
        <f t="shared" si="28"/>
        <v/>
      </c>
      <c r="S260" s="163" t="str">
        <f t="shared" si="28"/>
        <v/>
      </c>
      <c r="T260" s="163" t="str">
        <f t="shared" si="28"/>
        <v/>
      </c>
      <c r="U260" s="163" t="str">
        <f t="shared" si="28"/>
        <v/>
      </c>
      <c r="V260" s="163" t="str">
        <f t="shared" si="28"/>
        <v/>
      </c>
      <c r="W260" s="163" t="str">
        <f t="shared" si="28"/>
        <v/>
      </c>
      <c r="X260" s="163" t="str">
        <f t="shared" si="28"/>
        <v/>
      </c>
      <c r="Y260" s="163" t="str">
        <f t="shared" si="28"/>
        <v/>
      </c>
      <c r="Z260" s="163" t="str">
        <f t="shared" si="28"/>
        <v/>
      </c>
      <c r="AA260" s="163" t="str">
        <f t="shared" si="28"/>
        <v/>
      </c>
      <c r="AB260" s="163" t="str">
        <f t="shared" si="28"/>
        <v/>
      </c>
      <c r="AC260" s="163" t="str">
        <f t="shared" si="28"/>
        <v/>
      </c>
      <c r="AD260" s="163" t="str">
        <f t="shared" si="28"/>
        <v/>
      </c>
      <c r="AE260" s="163" t="str">
        <f t="shared" si="28"/>
        <v/>
      </c>
      <c r="AF260" s="163" t="str">
        <f t="shared" si="28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29">IF(B228&lt;100,"",B228-620)</f>
        <v/>
      </c>
      <c r="C261" s="163" t="str">
        <f t="shared" si="29"/>
        <v/>
      </c>
      <c r="D261" s="163" t="str">
        <f t="shared" si="29"/>
        <v/>
      </c>
      <c r="E261" s="163" t="str">
        <f t="shared" si="29"/>
        <v/>
      </c>
      <c r="F261" s="163" t="str">
        <f t="shared" si="29"/>
        <v/>
      </c>
      <c r="G261" s="163" t="str">
        <f t="shared" si="29"/>
        <v/>
      </c>
      <c r="H261" s="163" t="str">
        <f t="shared" si="29"/>
        <v/>
      </c>
      <c r="I261" s="163" t="str">
        <f t="shared" si="29"/>
        <v/>
      </c>
      <c r="J261" s="163" t="str">
        <f t="shared" si="29"/>
        <v/>
      </c>
      <c r="K261" s="163" t="str">
        <f t="shared" si="29"/>
        <v/>
      </c>
      <c r="L261" s="163" t="str">
        <f t="shared" si="29"/>
        <v/>
      </c>
      <c r="M261" s="163" t="str">
        <f t="shared" si="29"/>
        <v/>
      </c>
      <c r="N261" s="163" t="str">
        <f t="shared" si="29"/>
        <v/>
      </c>
      <c r="O261" s="163" t="str">
        <f t="shared" si="29"/>
        <v/>
      </c>
      <c r="P261" s="163" t="str">
        <f t="shared" si="29"/>
        <v/>
      </c>
      <c r="Q261" s="163" t="str">
        <f t="shared" si="29"/>
        <v/>
      </c>
      <c r="R261" s="163" t="str">
        <f t="shared" si="29"/>
        <v/>
      </c>
      <c r="S261" s="163" t="str">
        <f t="shared" si="29"/>
        <v/>
      </c>
      <c r="T261" s="163" t="str">
        <f t="shared" si="29"/>
        <v/>
      </c>
      <c r="U261" s="163" t="str">
        <f t="shared" si="29"/>
        <v/>
      </c>
      <c r="V261" s="163" t="str">
        <f t="shared" si="29"/>
        <v/>
      </c>
      <c r="W261" s="163" t="str">
        <f t="shared" si="29"/>
        <v/>
      </c>
      <c r="X261" s="163" t="str">
        <f t="shared" si="29"/>
        <v/>
      </c>
      <c r="Y261" s="163" t="str">
        <f t="shared" si="29"/>
        <v/>
      </c>
      <c r="Z261" s="163" t="str">
        <f t="shared" si="29"/>
        <v/>
      </c>
      <c r="AA261" s="163" t="str">
        <f t="shared" si="29"/>
        <v/>
      </c>
      <c r="AB261" s="163" t="str">
        <f t="shared" si="29"/>
        <v/>
      </c>
      <c r="AC261" s="163" t="str">
        <f t="shared" si="29"/>
        <v/>
      </c>
      <c r="AD261" s="163" t="str">
        <f t="shared" si="29"/>
        <v/>
      </c>
      <c r="AE261" s="163" t="str">
        <f t="shared" si="29"/>
        <v/>
      </c>
      <c r="AF261" s="163" t="str">
        <f t="shared" si="29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0">IF(B229&lt;100,"",B229-330)</f>
        <v/>
      </c>
      <c r="C262" s="163" t="str">
        <f t="shared" si="30"/>
        <v/>
      </c>
      <c r="D262" s="163" t="str">
        <f t="shared" si="30"/>
        <v/>
      </c>
      <c r="E262" s="163" t="str">
        <f t="shared" si="30"/>
        <v/>
      </c>
      <c r="F262" s="163" t="str">
        <f t="shared" si="30"/>
        <v/>
      </c>
      <c r="G262" s="163" t="str">
        <f t="shared" si="30"/>
        <v/>
      </c>
      <c r="H262" s="163" t="str">
        <f t="shared" si="30"/>
        <v/>
      </c>
      <c r="I262" s="163" t="str">
        <f t="shared" si="30"/>
        <v/>
      </c>
      <c r="J262" s="163" t="str">
        <f t="shared" si="30"/>
        <v/>
      </c>
      <c r="K262" s="163" t="str">
        <f t="shared" si="30"/>
        <v/>
      </c>
      <c r="L262" s="163" t="str">
        <f t="shared" si="30"/>
        <v/>
      </c>
      <c r="M262" s="163" t="str">
        <f t="shared" si="30"/>
        <v/>
      </c>
      <c r="N262" s="163" t="str">
        <f t="shared" si="30"/>
        <v/>
      </c>
      <c r="O262" s="163" t="str">
        <f t="shared" si="30"/>
        <v/>
      </c>
      <c r="P262" s="163" t="str">
        <f t="shared" si="30"/>
        <v/>
      </c>
      <c r="Q262" s="163" t="str">
        <f t="shared" si="30"/>
        <v/>
      </c>
      <c r="R262" s="163" t="str">
        <f t="shared" si="30"/>
        <v/>
      </c>
      <c r="S262" s="163" t="str">
        <f t="shared" si="30"/>
        <v/>
      </c>
      <c r="T262" s="163" t="str">
        <f t="shared" si="30"/>
        <v/>
      </c>
      <c r="U262" s="163" t="str">
        <f t="shared" si="30"/>
        <v/>
      </c>
      <c r="V262" s="163" t="str">
        <f t="shared" si="30"/>
        <v/>
      </c>
      <c r="W262" s="163" t="str">
        <f t="shared" si="30"/>
        <v/>
      </c>
      <c r="X262" s="163" t="str">
        <f t="shared" si="30"/>
        <v/>
      </c>
      <c r="Y262" s="163" t="str">
        <f t="shared" si="30"/>
        <v/>
      </c>
      <c r="Z262" s="163" t="str">
        <f t="shared" si="30"/>
        <v/>
      </c>
      <c r="AA262" s="163" t="str">
        <f t="shared" si="30"/>
        <v/>
      </c>
      <c r="AB262" s="163" t="str">
        <f t="shared" si="30"/>
        <v/>
      </c>
      <c r="AC262" s="163" t="str">
        <f t="shared" si="30"/>
        <v/>
      </c>
      <c r="AD262" s="163" t="str">
        <f t="shared" si="30"/>
        <v/>
      </c>
      <c r="AE262" s="163" t="str">
        <f t="shared" si="30"/>
        <v/>
      </c>
      <c r="AF262" s="163" t="str">
        <f t="shared" si="30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1">IF(B230&lt;100,"",B230-1500)</f>
        <v/>
      </c>
      <c r="C263" s="163" t="str">
        <f t="shared" si="31"/>
        <v/>
      </c>
      <c r="D263" s="163" t="str">
        <f t="shared" si="31"/>
        <v/>
      </c>
      <c r="E263" s="163" t="str">
        <f t="shared" si="31"/>
        <v/>
      </c>
      <c r="F263" s="163" t="str">
        <f t="shared" si="31"/>
        <v/>
      </c>
      <c r="G263" s="163" t="str">
        <f t="shared" si="31"/>
        <v/>
      </c>
      <c r="H263" s="163" t="str">
        <f t="shared" si="31"/>
        <v/>
      </c>
      <c r="I263" s="163" t="str">
        <f t="shared" si="31"/>
        <v/>
      </c>
      <c r="J263" s="163" t="str">
        <f t="shared" si="31"/>
        <v/>
      </c>
      <c r="K263" s="163" t="str">
        <f t="shared" si="31"/>
        <v/>
      </c>
      <c r="L263" s="163" t="str">
        <f t="shared" si="31"/>
        <v/>
      </c>
      <c r="M263" s="163" t="str">
        <f t="shared" si="31"/>
        <v/>
      </c>
      <c r="N263" s="163" t="str">
        <f t="shared" si="31"/>
        <v/>
      </c>
      <c r="O263" s="163" t="str">
        <f t="shared" si="31"/>
        <v/>
      </c>
      <c r="P263" s="163" t="str">
        <f t="shared" si="31"/>
        <v/>
      </c>
      <c r="Q263" s="163" t="str">
        <f t="shared" si="31"/>
        <v/>
      </c>
      <c r="R263" s="163" t="str">
        <f t="shared" si="31"/>
        <v/>
      </c>
      <c r="S263" s="163" t="str">
        <f t="shared" si="31"/>
        <v/>
      </c>
      <c r="T263" s="163" t="str">
        <f t="shared" si="31"/>
        <v/>
      </c>
      <c r="U263" s="163" t="str">
        <f t="shared" si="31"/>
        <v/>
      </c>
      <c r="V263" s="163" t="str">
        <f t="shared" si="31"/>
        <v/>
      </c>
      <c r="W263" s="163" t="str">
        <f t="shared" si="31"/>
        <v/>
      </c>
      <c r="X263" s="163" t="str">
        <f t="shared" si="31"/>
        <v/>
      </c>
      <c r="Y263" s="163" t="str">
        <f t="shared" si="31"/>
        <v/>
      </c>
      <c r="Z263" s="163" t="str">
        <f t="shared" si="31"/>
        <v/>
      </c>
      <c r="AA263" s="163" t="str">
        <f t="shared" si="31"/>
        <v/>
      </c>
      <c r="AB263" s="163" t="str">
        <f t="shared" si="31"/>
        <v/>
      </c>
      <c r="AC263" s="163" t="str">
        <f t="shared" si="31"/>
        <v/>
      </c>
      <c r="AD263" s="163" t="str">
        <f t="shared" si="31"/>
        <v/>
      </c>
      <c r="AE263" s="163" t="str">
        <f t="shared" si="31"/>
        <v/>
      </c>
      <c r="AF263" s="163" t="str">
        <f t="shared" si="31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A11:A225">
    <cfRule type="expression" dxfId="783" priority="106">
      <formula>$AH11=0</formula>
    </cfRule>
  </conditionalFormatting>
  <conditionalFormatting sqref="B8 M8 S8 AB8">
    <cfRule type="expression" dxfId="782" priority="336">
      <formula>AND(C$9&gt;=14/24,C$9&lt;20/24)</formula>
    </cfRule>
    <cfRule type="expression" dxfId="781" priority="337">
      <formula>AND(C$9&gt;=8/24,C$9&lt;14/24)</formula>
    </cfRule>
    <cfRule type="expression" dxfId="780" priority="338">
      <formula>C$9&lt;8/24</formula>
    </cfRule>
  </conditionalFormatting>
  <conditionalFormatting sqref="B57:B62">
    <cfRule type="expression" dxfId="779" priority="21">
      <formula>B57&gt;$AG57</formula>
    </cfRule>
  </conditionalFormatting>
  <conditionalFormatting sqref="B48:D51 E50:S51">
    <cfRule type="expression" dxfId="778" priority="13">
      <formula>AND(B$9&gt;=14/24,B$9&lt;20/24)</formula>
    </cfRule>
    <cfRule type="expression" dxfId="777" priority="12">
      <formula>B$9&gt;=20/24</formula>
    </cfRule>
    <cfRule type="expression" dxfId="776" priority="14">
      <formula>AND(B$9&gt;=8/24,B$9&lt;14/24)</formula>
    </cfRule>
    <cfRule type="expression" dxfId="775" priority="15">
      <formula>B$9&lt;8/24</formula>
    </cfRule>
  </conditionalFormatting>
  <conditionalFormatting sqref="B11:R11 B16:AF16">
    <cfRule type="expression" dxfId="774" priority="87">
      <formula>B$9&gt;=20/24</formula>
    </cfRule>
    <cfRule type="expression" dxfId="773" priority="88">
      <formula>AND(B$9&gt;=14/24,B$9&lt;20/24)</formula>
    </cfRule>
    <cfRule type="expression" dxfId="772" priority="89">
      <formula>AND(B$9&gt;=8/24,B$9&lt;14/24)</formula>
    </cfRule>
    <cfRule type="expression" dxfId="771" priority="90">
      <formula>B$9&lt;8/24</formula>
    </cfRule>
  </conditionalFormatting>
  <conditionalFormatting sqref="B52:AC56">
    <cfRule type="expression" dxfId="770" priority="2">
      <formula>B$9&gt;=20/24</formula>
    </cfRule>
    <cfRule type="expression" dxfId="769" priority="3">
      <formula>AND(B$9&gt;=14/24,B$9&lt;20/24)</formula>
    </cfRule>
    <cfRule type="expression" dxfId="768" priority="4">
      <formula>AND(B$9&gt;=8/24,B$9&lt;14/24)</formula>
    </cfRule>
    <cfRule type="expression" dxfId="767" priority="5">
      <formula>B$9&lt;8/24</formula>
    </cfRule>
  </conditionalFormatting>
  <conditionalFormatting sqref="B9:AF14">
    <cfRule type="expression" dxfId="766" priority="81">
      <formula>B$9&lt;8/24</formula>
    </cfRule>
    <cfRule type="expression" dxfId="765" priority="80">
      <formula>AND(B$9&gt;=8/24,B$9&lt;14/24)</formula>
    </cfRule>
    <cfRule type="expression" dxfId="764" priority="79">
      <formula>AND(B$9&gt;=14/24,B$9&lt;20/24)</formula>
    </cfRule>
    <cfRule type="expression" dxfId="763" priority="78">
      <formula>B$9&gt;=20/24</formula>
    </cfRule>
  </conditionalFormatting>
  <conditionalFormatting sqref="B11:AF11">
    <cfRule type="expression" dxfId="762" priority="77">
      <formula>B11&gt;$AG11</formula>
    </cfRule>
  </conditionalFormatting>
  <conditionalFormatting sqref="B11:AF16">
    <cfRule type="expression" dxfId="761" priority="82">
      <formula>B11&gt;$AG11</formula>
    </cfRule>
  </conditionalFormatting>
  <conditionalFormatting sqref="B15:AF15">
    <cfRule type="expression" dxfId="760" priority="75">
      <formula>AND(B$9&gt;=8/24,B$9&lt;14/24)</formula>
    </cfRule>
    <cfRule type="expression" dxfId="759" priority="74">
      <formula>AND(B$9&gt;=14/24,B$9&lt;20/24)</formula>
    </cfRule>
    <cfRule type="expression" dxfId="758" priority="73">
      <formula>B$9&gt;=20/24</formula>
    </cfRule>
    <cfRule type="expression" dxfId="757" priority="76">
      <formula>B$9&lt;8/24</formula>
    </cfRule>
  </conditionalFormatting>
  <conditionalFormatting sqref="B17:AF18">
    <cfRule type="expression" dxfId="756" priority="37">
      <formula>AND(B$9&gt;=14/24,B$9&lt;20/24)</formula>
    </cfRule>
    <cfRule type="expression" dxfId="755" priority="38">
      <formula>AND(B$9&gt;=8/24,B$9&lt;14/24)</formula>
    </cfRule>
    <cfRule type="expression" dxfId="754" priority="39">
      <formula>B$9&lt;8/24</formula>
    </cfRule>
    <cfRule type="expression" dxfId="753" priority="36">
      <formula>B$9&gt;=20/24</formula>
    </cfRule>
  </conditionalFormatting>
  <conditionalFormatting sqref="B17:AF24">
    <cfRule type="expression" dxfId="752" priority="40">
      <formula>B17&gt;$AG17</formula>
    </cfRule>
  </conditionalFormatting>
  <conditionalFormatting sqref="B19:AF24">
    <cfRule type="expression" dxfId="751" priority="45">
      <formula>B$9&lt;8/24</formula>
    </cfRule>
    <cfRule type="expression" dxfId="750" priority="44">
      <formula>AND(B$9&gt;=8/24,B$9&lt;14/24)</formula>
    </cfRule>
    <cfRule type="expression" dxfId="749" priority="43">
      <formula>AND(B$9&gt;=14/24,B$9&lt;20/24)</formula>
    </cfRule>
    <cfRule type="expression" dxfId="748" priority="42">
      <formula>B$9&gt;=20/24</formula>
    </cfRule>
  </conditionalFormatting>
  <conditionalFormatting sqref="B25:AF27 B29:AF29">
    <cfRule type="expression" dxfId="747" priority="64">
      <formula>B$9&gt;=20/24</formula>
    </cfRule>
    <cfRule type="expression" dxfId="746" priority="65">
      <formula>AND(B$9&gt;=14/24,B$9&lt;20/24)</formula>
    </cfRule>
    <cfRule type="expression" dxfId="745" priority="66">
      <formula>AND(B$9&gt;=8/24,B$9&lt;14/24)</formula>
    </cfRule>
    <cfRule type="expression" dxfId="744" priority="67">
      <formula>B$9&lt;8/24</formula>
    </cfRule>
  </conditionalFormatting>
  <conditionalFormatting sqref="B25:AF29">
    <cfRule type="expression" dxfId="743" priority="59">
      <formula>B25&gt;$AG25</formula>
    </cfRule>
  </conditionalFormatting>
  <conditionalFormatting sqref="B28:AF28">
    <cfRule type="expression" dxfId="742" priority="47">
      <formula>AND(B$9&gt;=14/24,B$9&lt;20/24)</formula>
    </cfRule>
    <cfRule type="expression" dxfId="741" priority="46">
      <formula>B$9&gt;=20/24</formula>
    </cfRule>
    <cfRule type="expression" dxfId="740" priority="48">
      <formula>AND(B$9&gt;=8/24,B$9&lt;14/24)</formula>
    </cfRule>
    <cfRule type="expression" dxfId="739" priority="49">
      <formula>B$9&lt;8/24</formula>
    </cfRule>
  </conditionalFormatting>
  <conditionalFormatting sqref="B30:AF36">
    <cfRule type="expression" dxfId="738" priority="31">
      <formula>B30&gt;$AG30</formula>
    </cfRule>
  </conditionalFormatting>
  <conditionalFormatting sqref="B30:AF37">
    <cfRule type="expression" dxfId="737" priority="32">
      <formula>B$9&gt;=20/24</formula>
    </cfRule>
    <cfRule type="expression" dxfId="736" priority="33">
      <formula>AND(B$9&gt;=14/24,B$9&lt;20/24)</formula>
    </cfRule>
    <cfRule type="expression" dxfId="735" priority="34">
      <formula>AND(B$9&gt;=8/24,B$9&lt;14/24)</formula>
    </cfRule>
    <cfRule type="expression" dxfId="734" priority="35">
      <formula>B$9&lt;8/24</formula>
    </cfRule>
  </conditionalFormatting>
  <conditionalFormatting sqref="B37:AF39">
    <cfRule type="expression" dxfId="733" priority="68">
      <formula>B37&gt;$AG37</formula>
    </cfRule>
  </conditionalFormatting>
  <conditionalFormatting sqref="B38:AF39">
    <cfRule type="expression" dxfId="732" priority="71">
      <formula>AND(B$9&gt;=8/24,B$9&lt;14/24)</formula>
    </cfRule>
    <cfRule type="expression" dxfId="731" priority="72">
      <formula>B$9&lt;8/24</formula>
    </cfRule>
    <cfRule type="expression" dxfId="730" priority="70">
      <formula>AND(B$9&gt;=14/24,B$9&lt;20/24)</formula>
    </cfRule>
    <cfRule type="expression" dxfId="729" priority="69">
      <formula>B$9&gt;=20/24</formula>
    </cfRule>
  </conditionalFormatting>
  <conditionalFormatting sqref="B45:AF47">
    <cfRule type="expression" dxfId="728" priority="26">
      <formula>B$9&lt;8/24</formula>
    </cfRule>
    <cfRule type="expression" dxfId="727" priority="25">
      <formula>AND(B$9&gt;=8/24,B$9&lt;14/24)</formula>
    </cfRule>
    <cfRule type="expression" dxfId="726" priority="24">
      <formula>AND(B$9&gt;=14/24,B$9&lt;20/24)</formula>
    </cfRule>
    <cfRule type="expression" dxfId="725" priority="23">
      <formula>B$9&gt;=20/24</formula>
    </cfRule>
  </conditionalFormatting>
  <conditionalFormatting sqref="B45:AF56">
    <cfRule type="expression" dxfId="724" priority="1">
      <formula>B45&gt;$AG45</formula>
    </cfRule>
  </conditionalFormatting>
  <conditionalFormatting sqref="B63:AF74">
    <cfRule type="expression" dxfId="723" priority="174">
      <formula>AND(B$9&gt;=8/24,B$9&lt;14/24)</formula>
    </cfRule>
    <cfRule type="expression" dxfId="722" priority="173">
      <formula>AND(B$9&gt;=14/24,B$9&lt;20/24)</formula>
    </cfRule>
    <cfRule type="expression" dxfId="721" priority="172">
      <formula>B$9&gt;=20/24</formula>
    </cfRule>
  </conditionalFormatting>
  <conditionalFormatting sqref="B74:AF74">
    <cfRule type="expression" dxfId="720" priority="175">
      <formula>B$9&lt;8/24</formula>
    </cfRule>
  </conditionalFormatting>
  <conditionalFormatting sqref="B83:AF99">
    <cfRule type="expression" dxfId="715" priority="153">
      <formula>B$9&lt;8/24</formula>
    </cfRule>
    <cfRule type="expression" dxfId="714" priority="150">
      <formula>B$9&gt;=20/24</formula>
    </cfRule>
    <cfRule type="expression" dxfId="713" priority="151">
      <formula>AND(B$9&gt;=14/24,B$9&lt;20/24)</formula>
    </cfRule>
    <cfRule type="expression" dxfId="712" priority="152">
      <formula>AND(B$9&gt;=8/24,B$9&lt;14/24)</formula>
    </cfRule>
  </conditionalFormatting>
  <conditionalFormatting sqref="B101:AF108">
    <cfRule type="expression" dxfId="711" priority="124">
      <formula>B$9&gt;=20/24</formula>
    </cfRule>
    <cfRule type="expression" dxfId="710" priority="127">
      <formula>B$9&lt;8/24</formula>
    </cfRule>
    <cfRule type="expression" dxfId="709" priority="126">
      <formula>AND(B$9&gt;=8/24,B$9&lt;14/24)</formula>
    </cfRule>
    <cfRule type="expression" dxfId="708" priority="125">
      <formula>AND(B$9&gt;=14/24,B$9&lt;20/24)</formula>
    </cfRule>
  </conditionalFormatting>
  <conditionalFormatting sqref="B40:AG40 C57:AG58 C59:AF61 C62:AG62">
    <cfRule type="expression" dxfId="703" priority="204">
      <formula>B40&gt;$AG40</formula>
    </cfRule>
  </conditionalFormatting>
  <conditionalFormatting sqref="C41:AF43 B41:B44 C44:AG44">
    <cfRule type="expression" dxfId="702" priority="159">
      <formula>B$9&gt;=20/24</formula>
    </cfRule>
    <cfRule type="expression" dxfId="701" priority="158">
      <formula>B41&gt;$AG41</formula>
    </cfRule>
    <cfRule type="expression" dxfId="700" priority="162">
      <formula>B$9&lt;8/24</formula>
    </cfRule>
    <cfRule type="expression" dxfId="699" priority="161">
      <formula>AND(B$9&gt;=8/24,B$9&lt;14/24)</formula>
    </cfRule>
    <cfRule type="expression" dxfId="698" priority="160">
      <formula>AND(B$9&gt;=14/24,B$9&lt;20/24)</formula>
    </cfRule>
  </conditionalFormatting>
  <conditionalFormatting sqref="C59:AF61 B59:B62 C62:AG62 B75:B79 C79:AG79 B80:AF81 B63:C64 B65:D65 B66:V73">
    <cfRule type="expression" dxfId="697" priority="212">
      <formula>B$9&lt;8/24</formula>
    </cfRule>
  </conditionalFormatting>
  <conditionalFormatting sqref="C59:AF61 B59:B62 C62:AG62 B75:B79 C79:AG79 B80:AF81">
    <cfRule type="expression" dxfId="696" priority="210">
      <formula>AND(B$9&gt;=14/24,B$9&lt;20/24)</formula>
    </cfRule>
    <cfRule type="expression" dxfId="695" priority="211">
      <formula>AND(B$9&gt;=8/24,B$9&lt;14/24)</formula>
    </cfRule>
  </conditionalFormatting>
  <conditionalFormatting sqref="C59:AF61 C62:AG62 B59:B62 B75:B79 C79:AG79 B80:AF81">
    <cfRule type="expression" dxfId="694" priority="209">
      <formula>B$9&gt;=20/24</formula>
    </cfRule>
  </conditionalFormatting>
  <conditionalFormatting sqref="C75:AF78 D64 E64:V65 W64:AF73">
    <cfRule type="expression" dxfId="693" priority="289">
      <formula>C$9&lt;8/24</formula>
    </cfRule>
  </conditionalFormatting>
  <conditionalFormatting sqref="C75:AF78">
    <cfRule type="expression" dxfId="692" priority="286">
      <formula>C$9&gt;=20/24</formula>
    </cfRule>
    <cfRule type="expression" dxfId="691" priority="287">
      <formula>AND(C$9&gt;=14/24,C$9&lt;20/24)</formula>
    </cfRule>
    <cfRule type="expression" dxfId="690" priority="288">
      <formula>AND(C$9&gt;=8/24,C$9&lt;14/24)</formula>
    </cfRule>
  </conditionalFormatting>
  <conditionalFormatting sqref="D63:AF63">
    <cfRule type="expression" dxfId="689" priority="298">
      <formula>D$9&lt;8/24</formula>
    </cfRule>
  </conditionalFormatting>
  <conditionalFormatting sqref="M48:S49 T48:AC51">
    <cfRule type="expression" dxfId="688" priority="259">
      <formula>M$9&gt;=20/24</formula>
    </cfRule>
    <cfRule type="expression" dxfId="687" priority="260">
      <formula>AND(M$9&gt;=14/24,M$9&lt;20/24)</formula>
    </cfRule>
    <cfRule type="expression" dxfId="686" priority="261">
      <formula>AND(M$9&gt;=8/24,M$9&lt;14/24)</formula>
    </cfRule>
    <cfRule type="expression" dxfId="685" priority="262">
      <formula>M$9&lt;8/24</formula>
    </cfRule>
  </conditionalFormatting>
  <conditionalFormatting sqref="O3:P3">
    <cfRule type="iconSet" priority="333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684" priority="335">
      <formula>C$9&gt;=20/24</formula>
    </cfRule>
  </conditionalFormatting>
  <conditionalFormatting sqref="S8">
    <cfRule type="expression" dxfId="683" priority="305">
      <formula>AND(U$9&gt;=14/24,U$9&lt;20/24)</formula>
    </cfRule>
    <cfRule type="expression" dxfId="682" priority="304">
      <formula>U$9&gt;=20/24</formula>
    </cfRule>
    <cfRule type="expression" dxfId="681" priority="307">
      <formula>U$9&lt;8/24</formula>
    </cfRule>
    <cfRule type="expression" dxfId="680" priority="306">
      <formula>AND(U$9&gt;=8/24,U$9&lt;14/24)</formula>
    </cfRule>
  </conditionalFormatting>
  <conditionalFormatting sqref="T237">
    <cfRule type="expression" dxfId="679" priority="351">
      <formula>AX$9&lt;8/24</formula>
    </cfRule>
    <cfRule type="expression" dxfId="678" priority="348">
      <formula>AX$9&gt;=20/24</formula>
    </cfRule>
    <cfRule type="expression" dxfId="677" priority="349">
      <formula>AND(AX$9&gt;=14/24,AX$9&lt;20/24)</formula>
    </cfRule>
    <cfRule type="expression" dxfId="676" priority="350">
      <formula>AND(AX$9&gt;=8/24,AX$9&lt;14/24)</formula>
    </cfRule>
  </conditionalFormatting>
  <conditionalFormatting sqref="V3 AB3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W11:AF11 B216:AF216 B218:B224 D218:AF224 U237:AF237">
    <cfRule type="expression" dxfId="675" priority="329">
      <formula>B$9&gt;=20/24</formula>
    </cfRule>
    <cfRule type="expression" dxfId="674" priority="330">
      <formula>AND(B$9&gt;=14/24,B$9&lt;20/24)</formula>
    </cfRule>
    <cfRule type="expression" dxfId="673" priority="331">
      <formula>AND(B$9&gt;=8/24,B$9&lt;14/24)</formula>
    </cfRule>
    <cfRule type="expression" dxfId="672" priority="332">
      <formula>B$9&lt;8/24</formula>
    </cfRule>
  </conditionalFormatting>
  <conditionalFormatting sqref="AB8">
    <cfRule type="expression" dxfId="671" priority="302">
      <formula>AND(AD$9&gt;=8/24,AD$9&lt;14/24)</formula>
    </cfRule>
    <cfRule type="expression" dxfId="670" priority="303">
      <formula>AD$9&lt;8/24</formula>
    </cfRule>
    <cfRule type="expression" dxfId="669" priority="301">
      <formula>AND(AD$9&gt;=14/24,AD$9&lt;20/24)</formula>
    </cfRule>
    <cfRule type="expression" dxfId="668" priority="300">
      <formula>AD$9&gt;=20/24</formula>
    </cfRule>
  </conditionalFormatting>
  <conditionalFormatting sqref="AD50:AF56">
    <cfRule type="expression" dxfId="667" priority="267">
      <formula>AD$9&lt;8/24</formula>
    </cfRule>
    <cfRule type="expression" dxfId="666" priority="266">
      <formula>AND(AD$9&gt;=8/24,AD$9&lt;14/24)</formula>
    </cfRule>
    <cfRule type="expression" dxfId="665" priority="265">
      <formula>AND(AD$9&gt;=14/24,AD$9&lt;20/24)</formula>
    </cfRule>
    <cfRule type="expression" dxfId="664" priority="264">
      <formula>AD$9&gt;=20/24</formula>
    </cfRule>
  </conditionalFormatting>
  <conditionalFormatting sqref="AG237">
    <cfRule type="expression" dxfId="663" priority="340">
      <formula>B$9&gt;=20/24</formula>
    </cfRule>
    <cfRule type="expression" dxfId="662" priority="341">
      <formula>AND(B$9&gt;=14/24,B$9&lt;20/24)</formula>
    </cfRule>
    <cfRule type="expression" dxfId="661" priority="342">
      <formula>AND(B$9&gt;=8/24,B$9&lt;14/24)</formula>
    </cfRule>
    <cfRule type="expression" dxfId="660" priority="343">
      <formula>B$9&lt;8/24</formula>
    </cfRule>
  </conditionalFormatting>
  <conditionalFormatting sqref="AH237:AX237">
    <cfRule type="expression" dxfId="659" priority="345">
      <formula>AND(AG$9&gt;=14/24,AG$9&lt;20/24)</formula>
    </cfRule>
    <cfRule type="expression" dxfId="658" priority="346">
      <formula>AND(AG$9&gt;=8/24,AG$9&lt;14/24)</formula>
    </cfRule>
    <cfRule type="expression" dxfId="657" priority="347">
      <formula>AG$9&lt;8/24</formula>
    </cfRule>
    <cfRule type="expression" dxfId="656" priority="344">
      <formula>AG$9&gt;=20/24</formula>
    </cfRule>
  </conditionalFormatting>
  <conditionalFormatting sqref="AL4:AL6">
    <cfRule type="iconSet" priority="328">
      <iconSet iconSet="3TrafficLights2" reverse="1">
        <cfvo type="percent" val="0"/>
        <cfvo type="num" val="1"/>
        <cfvo type="num" val="1"/>
      </iconSet>
    </cfRule>
  </conditionalFormatting>
  <conditionalFormatting sqref="AL17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30">
    <cfRule type="iconSet" priority="107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149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320">
      <iconSet iconSet="3TrafficLights2" reverse="1">
        <cfvo type="percent" val="0"/>
        <cfvo type="num" val="1"/>
        <cfvo type="num" val="1"/>
      </iconSet>
    </cfRule>
  </conditionalFormatting>
  <conditionalFormatting sqref="AL36">
    <cfRule type="iconSet" priority="308">
      <iconSet iconSet="3TrafficLights2" reverse="1">
        <cfvo type="percent" val="0"/>
        <cfvo type="num" val="1"/>
        <cfvo type="num" val="1"/>
      </iconSet>
    </cfRule>
  </conditionalFormatting>
  <conditionalFormatting sqref="AL37 AL34 AL18:AL29 AL7:AL16 AL31:AL32">
    <cfRule type="iconSet" priority="352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6" id="{B26B2F55-C2D2-4083-A8FC-C9AE4AD4A48C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45" id="{B2C5EB72-1B6B-40D3-B955-97D6CA9E14F2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8" id="{0D75D569-303E-4842-89E9-CD3EEC261BD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7" id="{86E42FC1-A353-46FA-BF0D-7A23CDE0346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136" id="{D666774C-65E3-4E6A-B3E5-3AC7FE91B20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18037409-6045-4A82-B113-B3248236B63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4" id="{D06830A5-D16F-416C-8AAE-BDE93CDA635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48A40656-49F5-4406-9B6C-4ED9270C10B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m:sqref>B109:AF109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J270"/>
  <sheetViews>
    <sheetView zoomScale="90" zoomScaleNormal="90" workbookViewId="0">
      <pane xSplit="1" ySplit="10" topLeftCell="B41" activePane="bottomRight" state="frozen"/>
      <selection activeCell="AF88" sqref="AF88"/>
      <selection pane="topRight" activeCell="AF88" sqref="AF88"/>
      <selection pane="bottomLeft" activeCell="AF88" sqref="AF88"/>
      <selection pane="bottomRight" activeCell="N18" sqref="N1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8.28515625" style="1" bestFit="1" customWidth="1"/>
    <col min="12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2079/06/12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1167MW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Load=983</v>
      </c>
      <c r="B7" s="35">
        <f t="shared" ref="B7:AF7" si="1">B81</f>
        <v>1024.44</v>
      </c>
      <c r="C7" s="35">
        <f t="shared" si="1"/>
        <v>1003.14</v>
      </c>
      <c r="D7" s="35">
        <f t="shared" si="1"/>
        <v>1002.54</v>
      </c>
      <c r="E7" s="35">
        <f t="shared" si="1"/>
        <v>982.64</v>
      </c>
      <c r="F7" s="35">
        <f t="shared" si="1"/>
        <v>984.83999999999992</v>
      </c>
      <c r="G7" s="35">
        <f t="shared" si="1"/>
        <v>989.74</v>
      </c>
      <c r="H7" s="35">
        <f t="shared" si="1"/>
        <v>1012.94</v>
      </c>
      <c r="I7" s="35">
        <f t="shared" si="1"/>
        <v>1057.74</v>
      </c>
      <c r="J7" s="35">
        <f t="shared" si="1"/>
        <v>1113.3399999999999</v>
      </c>
      <c r="K7" s="35">
        <f t="shared" si="1"/>
        <v>1139.54</v>
      </c>
      <c r="L7" s="35">
        <f t="shared" si="1"/>
        <v>1166.94</v>
      </c>
      <c r="M7" s="35">
        <f t="shared" si="1"/>
        <v>1157.54</v>
      </c>
      <c r="N7" s="35">
        <f t="shared" si="1"/>
        <v>1145.24</v>
      </c>
      <c r="O7" s="35">
        <f t="shared" si="1"/>
        <v>1124.8399999999999</v>
      </c>
      <c r="P7" s="35">
        <f t="shared" si="1"/>
        <v>1092.8399999999999</v>
      </c>
      <c r="Q7" s="35">
        <f t="shared" si="1"/>
        <v>1084.8400000000001</v>
      </c>
      <c r="R7" s="35">
        <f t="shared" si="1"/>
        <v>1086.44</v>
      </c>
      <c r="S7" s="35">
        <f t="shared" si="1"/>
        <v>1085.44</v>
      </c>
      <c r="T7" s="35">
        <f t="shared" si="1"/>
        <v>987.13999999999987</v>
      </c>
      <c r="U7" s="35">
        <f t="shared" si="1"/>
        <v>1037.04</v>
      </c>
      <c r="V7" s="35">
        <f t="shared" si="1"/>
        <v>1140.74</v>
      </c>
      <c r="W7" s="35">
        <f t="shared" si="1"/>
        <v>1192.7400000000002</v>
      </c>
      <c r="X7" s="35">
        <f t="shared" si="1"/>
        <v>1307.8400000000001</v>
      </c>
      <c r="Y7" s="35">
        <f t="shared" si="1"/>
        <v>1329.6399999999999</v>
      </c>
      <c r="Z7" s="35">
        <f t="shared" si="1"/>
        <v>1285.6399999999999</v>
      </c>
      <c r="AA7" s="35">
        <f t="shared" si="1"/>
        <v>1243.8400000000001</v>
      </c>
      <c r="AB7" s="35">
        <f t="shared" si="1"/>
        <v>1194.74</v>
      </c>
      <c r="AC7" s="35">
        <f t="shared" si="1"/>
        <v>1174.6399999999999</v>
      </c>
      <c r="AD7" s="35">
        <f t="shared" si="1"/>
        <v>1142.8399999999999</v>
      </c>
      <c r="AE7" s="35">
        <f t="shared" si="1"/>
        <v>1081.44</v>
      </c>
      <c r="AF7" s="35">
        <f t="shared" si="1"/>
        <v>1051.44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52.7</v>
      </c>
      <c r="C11" s="45">
        <v>52.7</v>
      </c>
      <c r="D11" s="45">
        <v>52.7</v>
      </c>
      <c r="E11" s="45">
        <v>52.7</v>
      </c>
      <c r="F11" s="45">
        <v>52.7</v>
      </c>
      <c r="G11" s="45">
        <v>52.7</v>
      </c>
      <c r="H11" s="45">
        <v>52.7</v>
      </c>
      <c r="I11" s="45">
        <v>52.7</v>
      </c>
      <c r="J11" s="45">
        <v>52.7</v>
      </c>
      <c r="K11" s="45">
        <v>52.7</v>
      </c>
      <c r="L11" s="45">
        <v>52.7</v>
      </c>
      <c r="M11" s="45">
        <v>52.8</v>
      </c>
      <c r="N11" s="45">
        <v>52.8</v>
      </c>
      <c r="O11" s="45">
        <v>52.8</v>
      </c>
      <c r="P11" s="45">
        <v>52.8</v>
      </c>
      <c r="Q11" s="45">
        <v>52.8</v>
      </c>
      <c r="R11" s="45">
        <v>52.8</v>
      </c>
      <c r="S11" s="45">
        <v>52.6</v>
      </c>
      <c r="T11" s="45">
        <v>52.6</v>
      </c>
      <c r="U11" s="45">
        <v>52.6</v>
      </c>
      <c r="V11" s="45">
        <v>52.6</v>
      </c>
      <c r="W11" s="46">
        <v>52.6</v>
      </c>
      <c r="X11" s="46">
        <v>52.6</v>
      </c>
      <c r="Y11" s="46">
        <v>52.6</v>
      </c>
      <c r="Z11" s="46">
        <v>52.6</v>
      </c>
      <c r="AA11" s="46">
        <v>52.6</v>
      </c>
      <c r="AB11" s="46">
        <v>52.7</v>
      </c>
      <c r="AC11" s="46">
        <v>52.7</v>
      </c>
      <c r="AD11" s="46">
        <v>52.7</v>
      </c>
      <c r="AE11" s="46">
        <v>52.7</v>
      </c>
      <c r="AF11" s="46">
        <v>52.7</v>
      </c>
      <c r="AG11" s="47">
        <v>52.4</v>
      </c>
      <c r="AH11" s="48">
        <f>MAX(B11:AF11)</f>
        <v>52.8</v>
      </c>
      <c r="AI11" s="49">
        <f>MIN(B11:AF11)</f>
        <v>52.6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50.7</v>
      </c>
      <c r="C12" s="45">
        <v>50.5</v>
      </c>
      <c r="D12" s="45">
        <v>50.5</v>
      </c>
      <c r="E12" s="45">
        <v>50.5</v>
      </c>
      <c r="F12" s="45">
        <v>50.5</v>
      </c>
      <c r="G12" s="45">
        <v>50.5</v>
      </c>
      <c r="H12" s="45">
        <v>50.5</v>
      </c>
      <c r="I12" s="45">
        <v>50.5</v>
      </c>
      <c r="J12" s="45">
        <v>50.5</v>
      </c>
      <c r="K12" s="45">
        <v>50.5</v>
      </c>
      <c r="L12" s="45">
        <v>50.5</v>
      </c>
      <c r="M12" s="45">
        <v>50.2</v>
      </c>
      <c r="N12" s="45">
        <v>50.2</v>
      </c>
      <c r="O12" s="45">
        <v>50.2</v>
      </c>
      <c r="P12" s="45">
        <v>50.2</v>
      </c>
      <c r="Q12" s="45">
        <v>50.2</v>
      </c>
      <c r="R12" s="45">
        <v>50.2</v>
      </c>
      <c r="S12" s="45">
        <v>50.5</v>
      </c>
      <c r="T12" s="45">
        <v>0</v>
      </c>
      <c r="U12" s="45">
        <v>0</v>
      </c>
      <c r="V12" s="45">
        <v>50</v>
      </c>
      <c r="W12" s="45">
        <v>50</v>
      </c>
      <c r="X12" s="45">
        <v>50</v>
      </c>
      <c r="Y12" s="45">
        <v>50</v>
      </c>
      <c r="Z12" s="45">
        <v>50</v>
      </c>
      <c r="AA12" s="45">
        <v>50</v>
      </c>
      <c r="AB12" s="45">
        <v>50.9</v>
      </c>
      <c r="AC12" s="45">
        <v>50.9</v>
      </c>
      <c r="AD12" s="45">
        <v>50.9</v>
      </c>
      <c r="AE12" s="45">
        <v>50.9</v>
      </c>
      <c r="AF12" s="45">
        <v>50.9</v>
      </c>
      <c r="AG12" s="51">
        <v>50</v>
      </c>
      <c r="AH12" s="48">
        <f t="shared" ref="AH12:AH75" si="2">MAX(B12:AF12)</f>
        <v>50.9</v>
      </c>
      <c r="AI12" s="49">
        <f t="shared" ref="AI12:AI75" si="3">MIN(B12:AF12)</f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36.700000000000003</v>
      </c>
      <c r="C13" s="45">
        <v>36.799999999999997</v>
      </c>
      <c r="D13" s="45">
        <v>36.799999999999997</v>
      </c>
      <c r="E13" s="45">
        <v>36.799999999999997</v>
      </c>
      <c r="F13" s="45">
        <v>36.799999999999997</v>
      </c>
      <c r="G13" s="45">
        <v>36.799999999999997</v>
      </c>
      <c r="H13" s="45">
        <v>36.799999999999997</v>
      </c>
      <c r="I13" s="45">
        <v>36.799999999999997</v>
      </c>
      <c r="J13" s="45">
        <v>36.799999999999997</v>
      </c>
      <c r="K13" s="45">
        <v>36.799999999999997</v>
      </c>
      <c r="L13" s="45">
        <v>41</v>
      </c>
      <c r="M13" s="45">
        <v>41</v>
      </c>
      <c r="N13" s="45">
        <v>41</v>
      </c>
      <c r="O13" s="45">
        <v>41</v>
      </c>
      <c r="P13" s="45">
        <v>41</v>
      </c>
      <c r="Q13" s="45">
        <v>41</v>
      </c>
      <c r="R13" s="45">
        <v>41</v>
      </c>
      <c r="S13" s="45">
        <v>30.6</v>
      </c>
      <c r="T13" s="45">
        <v>30.6</v>
      </c>
      <c r="U13" s="45">
        <v>30.6</v>
      </c>
      <c r="V13" s="45">
        <v>30.6</v>
      </c>
      <c r="W13" s="45">
        <v>45.5</v>
      </c>
      <c r="X13" s="45">
        <v>45.5</v>
      </c>
      <c r="Y13" s="45">
        <v>45.5</v>
      </c>
      <c r="Z13" s="45">
        <v>45.5</v>
      </c>
      <c r="AA13" s="45">
        <v>45.5</v>
      </c>
      <c r="AB13" s="45">
        <v>25.5</v>
      </c>
      <c r="AC13" s="45">
        <v>25.5</v>
      </c>
      <c r="AD13" s="45">
        <v>36.799999999999997</v>
      </c>
      <c r="AE13" s="45">
        <v>30</v>
      </c>
      <c r="AF13" s="45">
        <v>30</v>
      </c>
      <c r="AG13" s="51">
        <v>45</v>
      </c>
      <c r="AH13" s="48">
        <f t="shared" si="2"/>
        <v>45.5</v>
      </c>
      <c r="AI13" s="49">
        <f t="shared" si="3"/>
        <v>25.5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15.5</v>
      </c>
      <c r="C14" s="45">
        <v>15.5</v>
      </c>
      <c r="D14" s="45">
        <v>15.5</v>
      </c>
      <c r="E14" s="45">
        <v>15.5</v>
      </c>
      <c r="F14" s="45">
        <v>15.5</v>
      </c>
      <c r="G14" s="45">
        <v>15.5</v>
      </c>
      <c r="H14" s="45">
        <v>15.5</v>
      </c>
      <c r="I14" s="45">
        <v>15.5</v>
      </c>
      <c r="J14" s="45">
        <v>15.5</v>
      </c>
      <c r="K14" s="45">
        <v>15.5</v>
      </c>
      <c r="L14" s="45">
        <v>15.5</v>
      </c>
      <c r="M14" s="45">
        <v>15.5</v>
      </c>
      <c r="N14" s="45">
        <v>15.5</v>
      </c>
      <c r="O14" s="45">
        <v>15.5</v>
      </c>
      <c r="P14" s="45">
        <v>20</v>
      </c>
      <c r="Q14" s="45">
        <v>20</v>
      </c>
      <c r="R14" s="45">
        <v>20</v>
      </c>
      <c r="S14" s="45">
        <v>16</v>
      </c>
      <c r="T14" s="45">
        <v>16</v>
      </c>
      <c r="U14" s="45">
        <v>11</v>
      </c>
      <c r="V14" s="45">
        <v>20.5</v>
      </c>
      <c r="W14" s="45">
        <v>20.5</v>
      </c>
      <c r="X14" s="45">
        <v>28</v>
      </c>
      <c r="Y14" s="45">
        <v>40.5</v>
      </c>
      <c r="Z14" s="45">
        <v>30.5</v>
      </c>
      <c r="AA14" s="45">
        <v>25.5</v>
      </c>
      <c r="AB14" s="45">
        <v>25</v>
      </c>
      <c r="AC14" s="45">
        <v>25</v>
      </c>
      <c r="AD14" s="45">
        <v>15.5</v>
      </c>
      <c r="AE14" s="45">
        <v>15.5</v>
      </c>
      <c r="AF14" s="45">
        <v>15.5</v>
      </c>
      <c r="AG14" s="51">
        <v>42</v>
      </c>
      <c r="AH14" s="48">
        <f t="shared" si="2"/>
        <v>40.5</v>
      </c>
      <c r="AI14" s="49">
        <f t="shared" si="3"/>
        <v>11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10.7</v>
      </c>
      <c r="X15" s="45">
        <v>30</v>
      </c>
      <c r="Y15" s="45">
        <v>30</v>
      </c>
      <c r="Z15" s="45">
        <v>10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52">
        <v>30</v>
      </c>
      <c r="AH15" s="48">
        <f t="shared" si="2"/>
        <v>30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15.7</v>
      </c>
      <c r="C16" s="45">
        <v>15.7</v>
      </c>
      <c r="D16" s="45">
        <v>15.7</v>
      </c>
      <c r="E16" s="45">
        <v>15.7</v>
      </c>
      <c r="F16" s="45">
        <v>15.7</v>
      </c>
      <c r="G16" s="45">
        <v>15.7</v>
      </c>
      <c r="H16" s="45">
        <v>15.7</v>
      </c>
      <c r="I16" s="45">
        <v>15.7</v>
      </c>
      <c r="J16" s="45">
        <v>15.7</v>
      </c>
      <c r="K16" s="45">
        <v>15.7</v>
      </c>
      <c r="L16" s="45">
        <v>15.7</v>
      </c>
      <c r="M16" s="45">
        <v>15.7</v>
      </c>
      <c r="N16" s="45">
        <v>15.7</v>
      </c>
      <c r="O16" s="45">
        <v>15.7</v>
      </c>
      <c r="P16" s="45">
        <v>15.7</v>
      </c>
      <c r="Q16" s="45">
        <v>15.7</v>
      </c>
      <c r="R16" s="45">
        <v>15.7</v>
      </c>
      <c r="S16" s="45">
        <v>15.5</v>
      </c>
      <c r="T16" s="45">
        <v>15.5</v>
      </c>
      <c r="U16" s="45">
        <v>15.5</v>
      </c>
      <c r="V16" s="45">
        <v>15.5</v>
      </c>
      <c r="W16" s="45">
        <v>15.6</v>
      </c>
      <c r="X16" s="45">
        <v>15.6</v>
      </c>
      <c r="Y16" s="45">
        <v>15.6</v>
      </c>
      <c r="Z16" s="45">
        <v>15.6</v>
      </c>
      <c r="AA16" s="45">
        <v>15.6</v>
      </c>
      <c r="AB16" s="45">
        <v>15.6</v>
      </c>
      <c r="AC16" s="45">
        <v>15.6</v>
      </c>
      <c r="AD16" s="45">
        <v>15.5</v>
      </c>
      <c r="AE16" s="45">
        <v>15.5</v>
      </c>
      <c r="AF16" s="45">
        <v>15.5</v>
      </c>
      <c r="AG16" s="51">
        <v>24.2</v>
      </c>
      <c r="AH16" s="48">
        <f t="shared" si="2"/>
        <v>15.7</v>
      </c>
      <c r="AI16" s="49">
        <f t="shared" si="3"/>
        <v>15.5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10</v>
      </c>
      <c r="X17" s="45">
        <v>27</v>
      </c>
      <c r="Y17" s="45">
        <v>27</v>
      </c>
      <c r="Z17" s="45">
        <v>10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52">
        <v>30</v>
      </c>
      <c r="AH17" s="48">
        <f t="shared" si="2"/>
        <v>27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13.2</v>
      </c>
      <c r="C18" s="45">
        <v>13.2</v>
      </c>
      <c r="D18" s="45">
        <v>13.2</v>
      </c>
      <c r="E18" s="45">
        <v>13.2</v>
      </c>
      <c r="F18" s="45">
        <v>13.2</v>
      </c>
      <c r="G18" s="45">
        <v>13.2</v>
      </c>
      <c r="H18" s="45">
        <v>13.2</v>
      </c>
      <c r="I18" s="45">
        <v>13.2</v>
      </c>
      <c r="J18" s="45">
        <v>13.2</v>
      </c>
      <c r="K18" s="45">
        <v>13.2</v>
      </c>
      <c r="L18" s="45">
        <v>13.2</v>
      </c>
      <c r="M18" s="45">
        <v>13.2</v>
      </c>
      <c r="N18" s="45">
        <v>13.2</v>
      </c>
      <c r="O18" s="45">
        <v>13.2</v>
      </c>
      <c r="P18" s="45">
        <v>13.2</v>
      </c>
      <c r="Q18" s="45">
        <v>13.2</v>
      </c>
      <c r="R18" s="45">
        <v>13.2</v>
      </c>
      <c r="S18" s="45">
        <v>10.9</v>
      </c>
      <c r="T18" s="45">
        <v>10.9</v>
      </c>
      <c r="U18" s="45">
        <v>10.9</v>
      </c>
      <c r="V18" s="45">
        <v>10.9</v>
      </c>
      <c r="W18" s="45">
        <v>12.6</v>
      </c>
      <c r="X18" s="45">
        <v>25.4</v>
      </c>
      <c r="Y18" s="45">
        <v>25.4</v>
      </c>
      <c r="Z18" s="45">
        <v>25.4</v>
      </c>
      <c r="AA18" s="45">
        <v>20.6</v>
      </c>
      <c r="AB18" s="45">
        <v>20.6</v>
      </c>
      <c r="AC18" s="45">
        <v>20.6</v>
      </c>
      <c r="AD18" s="45">
        <v>17.3</v>
      </c>
      <c r="AE18" s="45">
        <v>17.3</v>
      </c>
      <c r="AF18" s="45">
        <v>17.3</v>
      </c>
      <c r="AG18" s="51">
        <v>25</v>
      </c>
      <c r="AH18" s="48">
        <f t="shared" si="2"/>
        <v>25.4</v>
      </c>
      <c r="AI18" s="49">
        <f t="shared" si="3"/>
        <v>10.9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25</v>
      </c>
      <c r="C19" s="45">
        <v>25</v>
      </c>
      <c r="D19" s="45">
        <v>25</v>
      </c>
      <c r="E19" s="45">
        <v>25</v>
      </c>
      <c r="F19" s="45">
        <v>25</v>
      </c>
      <c r="G19" s="45">
        <v>25</v>
      </c>
      <c r="H19" s="45">
        <v>25</v>
      </c>
      <c r="I19" s="45">
        <v>25</v>
      </c>
      <c r="J19" s="45">
        <v>25</v>
      </c>
      <c r="K19" s="45">
        <v>25</v>
      </c>
      <c r="L19" s="45">
        <v>25</v>
      </c>
      <c r="M19" s="45">
        <v>25</v>
      </c>
      <c r="N19" s="45">
        <v>25</v>
      </c>
      <c r="O19" s="45">
        <v>25</v>
      </c>
      <c r="P19" s="45">
        <v>25</v>
      </c>
      <c r="Q19" s="45">
        <v>25</v>
      </c>
      <c r="R19" s="45">
        <v>25</v>
      </c>
      <c r="S19" s="45">
        <v>25</v>
      </c>
      <c r="T19" s="45">
        <v>25</v>
      </c>
      <c r="U19" s="45">
        <v>25</v>
      </c>
      <c r="V19" s="45">
        <v>25</v>
      </c>
      <c r="W19" s="45">
        <v>25</v>
      </c>
      <c r="X19" s="45">
        <v>25</v>
      </c>
      <c r="Y19" s="45">
        <v>25</v>
      </c>
      <c r="Z19" s="45">
        <v>25</v>
      </c>
      <c r="AA19" s="45">
        <v>25</v>
      </c>
      <c r="AB19" s="45">
        <v>25</v>
      </c>
      <c r="AC19" s="45">
        <v>25</v>
      </c>
      <c r="AD19" s="45">
        <v>25</v>
      </c>
      <c r="AE19" s="45">
        <v>25</v>
      </c>
      <c r="AF19" s="45">
        <v>25</v>
      </c>
      <c r="AG19" s="51">
        <v>25</v>
      </c>
      <c r="AH19" s="48">
        <f t="shared" si="2"/>
        <v>25</v>
      </c>
      <c r="AI19" s="49">
        <f t="shared" si="3"/>
        <v>25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15</v>
      </c>
      <c r="J20" s="45">
        <v>15</v>
      </c>
      <c r="K20" s="45">
        <v>15</v>
      </c>
      <c r="L20" s="45">
        <v>15</v>
      </c>
      <c r="M20" s="45">
        <v>15</v>
      </c>
      <c r="N20" s="45">
        <v>15</v>
      </c>
      <c r="O20" s="45">
        <v>15</v>
      </c>
      <c r="P20" s="45">
        <v>15</v>
      </c>
      <c r="Q20" s="45">
        <v>15</v>
      </c>
      <c r="R20" s="45">
        <v>15</v>
      </c>
      <c r="S20" s="45">
        <v>15</v>
      </c>
      <c r="T20" s="45">
        <v>15</v>
      </c>
      <c r="U20" s="45">
        <v>15</v>
      </c>
      <c r="V20" s="45">
        <v>15</v>
      </c>
      <c r="W20" s="45">
        <v>15</v>
      </c>
      <c r="X20" s="45">
        <v>23</v>
      </c>
      <c r="Y20" s="45">
        <v>23</v>
      </c>
      <c r="Z20" s="45">
        <v>23</v>
      </c>
      <c r="AA20" s="45">
        <v>23</v>
      </c>
      <c r="AB20" s="45">
        <v>23</v>
      </c>
      <c r="AC20" s="45">
        <v>23</v>
      </c>
      <c r="AD20" s="45">
        <v>23</v>
      </c>
      <c r="AE20" s="45">
        <v>17</v>
      </c>
      <c r="AF20" s="45">
        <v>17</v>
      </c>
      <c r="AG20" s="51">
        <v>25</v>
      </c>
      <c r="AH20" s="48">
        <f t="shared" si="2"/>
        <v>23</v>
      </c>
      <c r="AI20" s="49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22.4</v>
      </c>
      <c r="C21" s="45">
        <v>22.4</v>
      </c>
      <c r="D21" s="45">
        <v>22.4</v>
      </c>
      <c r="E21" s="45">
        <v>22.4</v>
      </c>
      <c r="F21" s="45">
        <v>22.4</v>
      </c>
      <c r="G21" s="45">
        <v>22.4</v>
      </c>
      <c r="H21" s="45">
        <v>22.4</v>
      </c>
      <c r="I21" s="45">
        <v>22.4</v>
      </c>
      <c r="J21" s="45">
        <v>22.4</v>
      </c>
      <c r="K21" s="45">
        <v>22.4</v>
      </c>
      <c r="L21" s="45">
        <v>22.4</v>
      </c>
      <c r="M21" s="45">
        <v>22.4</v>
      </c>
      <c r="N21" s="45">
        <v>22.4</v>
      </c>
      <c r="O21" s="45">
        <v>22.4</v>
      </c>
      <c r="P21" s="45">
        <v>22.4</v>
      </c>
      <c r="Q21" s="45">
        <v>22.4</v>
      </c>
      <c r="R21" s="45">
        <v>22.4</v>
      </c>
      <c r="S21" s="45">
        <v>22.2</v>
      </c>
      <c r="T21" s="45">
        <v>22.2</v>
      </c>
      <c r="U21" s="45">
        <v>22.2</v>
      </c>
      <c r="V21" s="45">
        <v>22.2</v>
      </c>
      <c r="W21" s="45">
        <v>22.2</v>
      </c>
      <c r="X21" s="45">
        <v>22.2</v>
      </c>
      <c r="Y21" s="45">
        <v>22.2</v>
      </c>
      <c r="Z21" s="45">
        <v>22.2</v>
      </c>
      <c r="AA21" s="45">
        <v>22.2</v>
      </c>
      <c r="AB21" s="45">
        <v>22.2</v>
      </c>
      <c r="AC21" s="45">
        <v>22.2</v>
      </c>
      <c r="AD21" s="45">
        <v>22.2</v>
      </c>
      <c r="AE21" s="45">
        <v>22.2</v>
      </c>
      <c r="AF21" s="45">
        <v>22.2</v>
      </c>
      <c r="AG21" s="51">
        <v>23.5</v>
      </c>
      <c r="AH21" s="48">
        <f t="shared" si="2"/>
        <v>22.4</v>
      </c>
      <c r="AI21" s="49">
        <f t="shared" si="3"/>
        <v>22.2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14</v>
      </c>
      <c r="C22" s="45">
        <v>14</v>
      </c>
      <c r="D22" s="45">
        <v>14</v>
      </c>
      <c r="E22" s="45">
        <v>14</v>
      </c>
      <c r="F22" s="45">
        <v>14</v>
      </c>
      <c r="G22" s="45">
        <v>14</v>
      </c>
      <c r="H22" s="45">
        <v>14</v>
      </c>
      <c r="I22" s="45">
        <v>14</v>
      </c>
      <c r="J22" s="45">
        <v>14</v>
      </c>
      <c r="K22" s="45">
        <v>14</v>
      </c>
      <c r="L22" s="45">
        <v>14</v>
      </c>
      <c r="M22" s="45">
        <v>14</v>
      </c>
      <c r="N22" s="45">
        <v>14</v>
      </c>
      <c r="O22" s="45">
        <v>14</v>
      </c>
      <c r="P22" s="45">
        <v>14</v>
      </c>
      <c r="Q22" s="45">
        <v>14</v>
      </c>
      <c r="R22" s="45">
        <v>14</v>
      </c>
      <c r="S22" s="45">
        <v>14</v>
      </c>
      <c r="T22" s="45">
        <v>14</v>
      </c>
      <c r="U22" s="45">
        <v>14</v>
      </c>
      <c r="V22" s="45">
        <v>14</v>
      </c>
      <c r="W22" s="45">
        <v>14</v>
      </c>
      <c r="X22" s="45">
        <v>14</v>
      </c>
      <c r="Y22" s="45">
        <v>14</v>
      </c>
      <c r="Z22" s="45">
        <v>14</v>
      </c>
      <c r="AA22" s="45">
        <v>14</v>
      </c>
      <c r="AB22" s="45">
        <v>14</v>
      </c>
      <c r="AC22" s="45">
        <v>14</v>
      </c>
      <c r="AD22" s="45">
        <v>14</v>
      </c>
      <c r="AE22" s="45">
        <v>14</v>
      </c>
      <c r="AF22" s="45">
        <v>14</v>
      </c>
      <c r="AG22" s="51">
        <v>22.2</v>
      </c>
      <c r="AH22" s="48">
        <f t="shared" si="2"/>
        <v>14</v>
      </c>
      <c r="AI22" s="49">
        <f t="shared" si="3"/>
        <v>14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22</v>
      </c>
      <c r="C23" s="45">
        <v>22</v>
      </c>
      <c r="D23" s="45">
        <v>22</v>
      </c>
      <c r="E23" s="45">
        <v>22</v>
      </c>
      <c r="F23" s="45">
        <v>22</v>
      </c>
      <c r="G23" s="45">
        <v>22</v>
      </c>
      <c r="H23" s="45">
        <v>22</v>
      </c>
      <c r="I23" s="45">
        <v>22</v>
      </c>
      <c r="J23" s="45">
        <v>22</v>
      </c>
      <c r="K23" s="45">
        <v>22</v>
      </c>
      <c r="L23" s="45">
        <v>22</v>
      </c>
      <c r="M23" s="45">
        <v>22</v>
      </c>
      <c r="N23" s="45">
        <v>22</v>
      </c>
      <c r="O23" s="45">
        <v>22</v>
      </c>
      <c r="P23" s="45">
        <v>22</v>
      </c>
      <c r="Q23" s="45">
        <v>22</v>
      </c>
      <c r="R23" s="45">
        <v>22</v>
      </c>
      <c r="S23" s="45">
        <v>22</v>
      </c>
      <c r="T23" s="45">
        <v>22</v>
      </c>
      <c r="U23" s="45">
        <v>22</v>
      </c>
      <c r="V23" s="45">
        <v>22</v>
      </c>
      <c r="W23" s="45">
        <v>22</v>
      </c>
      <c r="X23" s="45">
        <v>22</v>
      </c>
      <c r="Y23" s="45">
        <v>22</v>
      </c>
      <c r="Z23" s="45">
        <v>22</v>
      </c>
      <c r="AA23" s="45">
        <v>22</v>
      </c>
      <c r="AB23" s="45">
        <v>22</v>
      </c>
      <c r="AC23" s="45">
        <v>22</v>
      </c>
      <c r="AD23" s="45">
        <v>22</v>
      </c>
      <c r="AE23" s="45">
        <v>22</v>
      </c>
      <c r="AF23" s="45">
        <v>22</v>
      </c>
      <c r="AG23" s="51">
        <v>22.1</v>
      </c>
      <c r="AH23" s="48">
        <f t="shared" si="2"/>
        <v>22</v>
      </c>
      <c r="AI23" s="49">
        <f t="shared" si="3"/>
        <v>22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22</v>
      </c>
      <c r="C24" s="45">
        <v>22</v>
      </c>
      <c r="D24" s="45">
        <v>22</v>
      </c>
      <c r="E24" s="45">
        <v>22</v>
      </c>
      <c r="F24" s="45">
        <v>22</v>
      </c>
      <c r="G24" s="45">
        <v>22</v>
      </c>
      <c r="H24" s="45">
        <v>22</v>
      </c>
      <c r="I24" s="45">
        <v>22</v>
      </c>
      <c r="J24" s="45">
        <v>22</v>
      </c>
      <c r="K24" s="45">
        <v>22</v>
      </c>
      <c r="L24" s="45">
        <v>22</v>
      </c>
      <c r="M24" s="45">
        <v>22</v>
      </c>
      <c r="N24" s="45">
        <v>22</v>
      </c>
      <c r="O24" s="45">
        <v>22</v>
      </c>
      <c r="P24" s="45">
        <v>22</v>
      </c>
      <c r="Q24" s="45">
        <v>22</v>
      </c>
      <c r="R24" s="45">
        <v>22</v>
      </c>
      <c r="S24" s="45">
        <v>22</v>
      </c>
      <c r="T24" s="45">
        <v>22</v>
      </c>
      <c r="U24" s="45">
        <v>22</v>
      </c>
      <c r="V24" s="45">
        <v>22</v>
      </c>
      <c r="W24" s="45">
        <v>22</v>
      </c>
      <c r="X24" s="45">
        <v>22</v>
      </c>
      <c r="Y24" s="45">
        <v>22</v>
      </c>
      <c r="Z24" s="45">
        <v>22</v>
      </c>
      <c r="AA24" s="45">
        <v>22</v>
      </c>
      <c r="AB24" s="45">
        <v>22</v>
      </c>
      <c r="AC24" s="45">
        <v>22</v>
      </c>
      <c r="AD24" s="45">
        <v>22</v>
      </c>
      <c r="AE24" s="45">
        <v>22</v>
      </c>
      <c r="AF24" s="45">
        <v>22</v>
      </c>
      <c r="AG24" s="51">
        <v>22</v>
      </c>
      <c r="AH24" s="48">
        <f t="shared" si="2"/>
        <v>22</v>
      </c>
      <c r="AI24" s="49">
        <f t="shared" si="3"/>
        <v>22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10</v>
      </c>
      <c r="C25" s="45">
        <v>10</v>
      </c>
      <c r="D25" s="45">
        <v>10</v>
      </c>
      <c r="E25" s="45">
        <v>10</v>
      </c>
      <c r="F25" s="45">
        <v>10</v>
      </c>
      <c r="G25" s="45">
        <v>10</v>
      </c>
      <c r="H25" s="45">
        <v>10</v>
      </c>
      <c r="I25" s="45">
        <v>10</v>
      </c>
      <c r="J25" s="45">
        <v>10</v>
      </c>
      <c r="K25" s="45">
        <v>15</v>
      </c>
      <c r="L25" s="45">
        <v>15</v>
      </c>
      <c r="M25" s="45">
        <v>15</v>
      </c>
      <c r="N25" s="45">
        <v>15</v>
      </c>
      <c r="O25" s="45">
        <v>15</v>
      </c>
      <c r="P25" s="45">
        <v>15</v>
      </c>
      <c r="Q25" s="45">
        <v>15</v>
      </c>
      <c r="R25" s="45">
        <v>15</v>
      </c>
      <c r="S25" s="45">
        <v>15</v>
      </c>
      <c r="T25" s="45">
        <v>15</v>
      </c>
      <c r="U25" s="45">
        <v>15</v>
      </c>
      <c r="V25" s="45">
        <v>15</v>
      </c>
      <c r="W25" s="45">
        <v>15</v>
      </c>
      <c r="X25" s="45">
        <v>22</v>
      </c>
      <c r="Y25" s="45">
        <v>22</v>
      </c>
      <c r="Z25" s="45">
        <v>22</v>
      </c>
      <c r="AA25" s="45">
        <v>22</v>
      </c>
      <c r="AB25" s="45">
        <v>22</v>
      </c>
      <c r="AC25" s="45">
        <v>12</v>
      </c>
      <c r="AD25" s="45">
        <v>12</v>
      </c>
      <c r="AE25" s="45">
        <v>12</v>
      </c>
      <c r="AF25" s="45">
        <v>12</v>
      </c>
      <c r="AG25" s="51">
        <v>22</v>
      </c>
      <c r="AH25" s="48">
        <f t="shared" si="2"/>
        <v>22</v>
      </c>
      <c r="AI25" s="49">
        <f t="shared" si="3"/>
        <v>10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3</v>
      </c>
      <c r="AA26" s="45">
        <v>3</v>
      </c>
      <c r="AB26" s="45">
        <v>3</v>
      </c>
      <c r="AC26" s="45">
        <v>0</v>
      </c>
      <c r="AD26" s="45">
        <v>0</v>
      </c>
      <c r="AE26" s="45">
        <v>0</v>
      </c>
      <c r="AF26" s="45">
        <v>0</v>
      </c>
      <c r="AG26" s="51">
        <v>20</v>
      </c>
      <c r="AH26" s="48">
        <f t="shared" si="2"/>
        <v>3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>
        <v>14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14.9</v>
      </c>
      <c r="AH27" s="48">
        <f t="shared" si="2"/>
        <v>14</v>
      </c>
      <c r="AI27" s="49">
        <f t="shared" si="3"/>
        <v>14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51">
        <v>13.6</v>
      </c>
      <c r="AH28" s="48">
        <f t="shared" si="2"/>
        <v>6</v>
      </c>
      <c r="AI28" s="49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6</v>
      </c>
      <c r="C29" s="45">
        <v>6</v>
      </c>
      <c r="D29" s="45">
        <v>6</v>
      </c>
      <c r="E29" s="45">
        <v>6</v>
      </c>
      <c r="F29" s="45">
        <v>6</v>
      </c>
      <c r="G29" s="45">
        <v>6</v>
      </c>
      <c r="H29" s="45">
        <v>6</v>
      </c>
      <c r="I29" s="45">
        <v>6</v>
      </c>
      <c r="J29" s="45">
        <v>6</v>
      </c>
      <c r="K29" s="45">
        <v>6</v>
      </c>
      <c r="L29" s="45">
        <v>6</v>
      </c>
      <c r="M29" s="45">
        <v>6</v>
      </c>
      <c r="N29" s="45">
        <v>6</v>
      </c>
      <c r="O29" s="45">
        <v>6</v>
      </c>
      <c r="P29" s="45">
        <v>6</v>
      </c>
      <c r="Q29" s="45">
        <v>6</v>
      </c>
      <c r="R29" s="45">
        <v>6</v>
      </c>
      <c r="S29" s="45">
        <v>6</v>
      </c>
      <c r="T29" s="45">
        <v>6</v>
      </c>
      <c r="U29" s="45">
        <v>6</v>
      </c>
      <c r="V29" s="45">
        <v>6</v>
      </c>
      <c r="W29" s="45">
        <v>6</v>
      </c>
      <c r="X29" s="45">
        <v>13</v>
      </c>
      <c r="Y29" s="45">
        <v>13</v>
      </c>
      <c r="Z29" s="45">
        <v>13</v>
      </c>
      <c r="AA29" s="45">
        <v>13</v>
      </c>
      <c r="AB29" s="45">
        <v>13</v>
      </c>
      <c r="AC29" s="45">
        <v>6</v>
      </c>
      <c r="AD29" s="45">
        <v>6</v>
      </c>
      <c r="AE29" s="45">
        <v>6</v>
      </c>
      <c r="AF29" s="45">
        <v>6</v>
      </c>
      <c r="AG29" s="51">
        <v>13</v>
      </c>
      <c r="AH29" s="48">
        <f t="shared" si="2"/>
        <v>13</v>
      </c>
      <c r="AI29" s="49">
        <f t="shared" si="3"/>
        <v>6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12</v>
      </c>
      <c r="Y30" s="45">
        <v>12</v>
      </c>
      <c r="Z30" s="45">
        <v>12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51">
        <v>12</v>
      </c>
      <c r="AH30" s="48">
        <f t="shared" si="2"/>
        <v>12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12</v>
      </c>
      <c r="C31" s="45">
        <v>12</v>
      </c>
      <c r="D31" s="45">
        <v>12</v>
      </c>
      <c r="E31" s="45">
        <v>12</v>
      </c>
      <c r="F31" s="45">
        <v>12</v>
      </c>
      <c r="G31" s="45">
        <v>12</v>
      </c>
      <c r="H31" s="45">
        <v>12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8</v>
      </c>
      <c r="P31" s="45">
        <v>8</v>
      </c>
      <c r="Q31" s="45">
        <v>8</v>
      </c>
      <c r="R31" s="45">
        <v>8</v>
      </c>
      <c r="S31" s="45">
        <v>8</v>
      </c>
      <c r="T31" s="45">
        <v>8</v>
      </c>
      <c r="U31" s="45">
        <v>8</v>
      </c>
      <c r="V31" s="45">
        <v>8</v>
      </c>
      <c r="W31" s="45">
        <v>8</v>
      </c>
      <c r="X31" s="45">
        <v>8</v>
      </c>
      <c r="Y31" s="45">
        <v>8</v>
      </c>
      <c r="Z31" s="45">
        <v>8</v>
      </c>
      <c r="AA31" s="45">
        <v>8</v>
      </c>
      <c r="AB31" s="45">
        <v>8</v>
      </c>
      <c r="AC31" s="45">
        <v>8</v>
      </c>
      <c r="AD31" s="45">
        <v>8</v>
      </c>
      <c r="AE31" s="45">
        <v>8</v>
      </c>
      <c r="AF31" s="45">
        <v>8</v>
      </c>
      <c r="AG31" s="51">
        <v>12</v>
      </c>
      <c r="AH31" s="48">
        <f t="shared" si="2"/>
        <v>12</v>
      </c>
      <c r="AI31" s="49">
        <f t="shared" si="3"/>
        <v>8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</v>
      </c>
      <c r="C32" s="45">
        <v>2</v>
      </c>
      <c r="D32" s="45">
        <v>2</v>
      </c>
      <c r="E32" s="45">
        <v>2</v>
      </c>
      <c r="F32" s="45">
        <v>2</v>
      </c>
      <c r="G32" s="45">
        <v>2</v>
      </c>
      <c r="H32" s="45">
        <v>2</v>
      </c>
      <c r="I32" s="45">
        <v>2</v>
      </c>
      <c r="J32" s="45">
        <v>2</v>
      </c>
      <c r="K32" s="45">
        <v>2</v>
      </c>
      <c r="L32" s="45">
        <v>2</v>
      </c>
      <c r="M32" s="45">
        <v>2</v>
      </c>
      <c r="N32" s="45">
        <v>2</v>
      </c>
      <c r="O32" s="45">
        <v>2</v>
      </c>
      <c r="P32" s="45">
        <v>2</v>
      </c>
      <c r="Q32" s="45">
        <v>2</v>
      </c>
      <c r="R32" s="45">
        <v>2</v>
      </c>
      <c r="S32" s="45">
        <v>2</v>
      </c>
      <c r="T32" s="45">
        <v>2</v>
      </c>
      <c r="U32" s="45">
        <v>2</v>
      </c>
      <c r="V32" s="45">
        <v>2</v>
      </c>
      <c r="W32" s="45">
        <v>2</v>
      </c>
      <c r="X32" s="45">
        <v>2</v>
      </c>
      <c r="Y32" s="45">
        <v>2</v>
      </c>
      <c r="Z32" s="45">
        <v>2</v>
      </c>
      <c r="AA32" s="45">
        <v>2</v>
      </c>
      <c r="AB32" s="45">
        <v>2</v>
      </c>
      <c r="AC32" s="45">
        <v>2</v>
      </c>
      <c r="AD32" s="45">
        <v>2</v>
      </c>
      <c r="AE32" s="45">
        <v>2</v>
      </c>
      <c r="AF32" s="45">
        <v>2</v>
      </c>
      <c r="AG32" s="51">
        <v>12</v>
      </c>
      <c r="AH32" s="48">
        <f t="shared" si="2"/>
        <v>2</v>
      </c>
      <c r="AI32" s="49">
        <f t="shared" si="3"/>
        <v>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8</v>
      </c>
      <c r="C33" s="45">
        <v>8</v>
      </c>
      <c r="D33" s="45">
        <v>8</v>
      </c>
      <c r="E33" s="45">
        <v>8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3">
        <v>22</v>
      </c>
      <c r="AH33" s="48">
        <f t="shared" si="2"/>
        <v>8</v>
      </c>
      <c r="AI33" s="49">
        <f t="shared" si="3"/>
        <v>8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6</v>
      </c>
      <c r="C34" s="45">
        <v>6</v>
      </c>
      <c r="D34" s="45">
        <v>6</v>
      </c>
      <c r="E34" s="45">
        <v>6</v>
      </c>
      <c r="F34" s="45">
        <v>6</v>
      </c>
      <c r="G34" s="45">
        <v>6</v>
      </c>
      <c r="H34" s="45">
        <v>6</v>
      </c>
      <c r="I34" s="45">
        <v>6</v>
      </c>
      <c r="J34" s="45">
        <v>6</v>
      </c>
      <c r="K34" s="45">
        <v>6</v>
      </c>
      <c r="L34" s="45">
        <v>6</v>
      </c>
      <c r="M34" s="45">
        <v>6</v>
      </c>
      <c r="N34" s="45">
        <v>6</v>
      </c>
      <c r="O34" s="45">
        <v>6</v>
      </c>
      <c r="P34" s="45">
        <v>6</v>
      </c>
      <c r="Q34" s="45">
        <v>6</v>
      </c>
      <c r="R34" s="45">
        <v>6</v>
      </c>
      <c r="S34" s="45">
        <v>6</v>
      </c>
      <c r="T34" s="45">
        <v>6</v>
      </c>
      <c r="U34" s="45">
        <v>6</v>
      </c>
      <c r="V34" s="45">
        <v>6</v>
      </c>
      <c r="W34" s="45">
        <v>6</v>
      </c>
      <c r="X34" s="45">
        <v>11</v>
      </c>
      <c r="Y34" s="45">
        <v>11</v>
      </c>
      <c r="Z34" s="45">
        <v>11</v>
      </c>
      <c r="AA34" s="45">
        <v>11</v>
      </c>
      <c r="AB34" s="45">
        <v>5</v>
      </c>
      <c r="AC34" s="45">
        <v>5</v>
      </c>
      <c r="AD34" s="45">
        <v>5</v>
      </c>
      <c r="AE34" s="45">
        <v>5</v>
      </c>
      <c r="AF34" s="45">
        <v>5</v>
      </c>
      <c r="AG34" s="52">
        <v>11.88</v>
      </c>
      <c r="AH34" s="48">
        <f t="shared" si="2"/>
        <v>11</v>
      </c>
      <c r="AI34" s="49">
        <f t="shared" si="3"/>
        <v>5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7</v>
      </c>
      <c r="C35" s="45">
        <v>7</v>
      </c>
      <c r="D35" s="45">
        <v>7</v>
      </c>
      <c r="E35" s="45">
        <v>7</v>
      </c>
      <c r="F35" s="45">
        <v>7</v>
      </c>
      <c r="G35" s="45">
        <v>7</v>
      </c>
      <c r="H35" s="45">
        <v>7</v>
      </c>
      <c r="I35" s="45">
        <v>7</v>
      </c>
      <c r="J35" s="45">
        <v>7</v>
      </c>
      <c r="K35" s="45">
        <v>7</v>
      </c>
      <c r="L35" s="45">
        <v>7</v>
      </c>
      <c r="M35" s="45">
        <v>7</v>
      </c>
      <c r="N35" s="45">
        <v>7</v>
      </c>
      <c r="O35" s="45">
        <v>7</v>
      </c>
      <c r="P35" s="45">
        <v>7</v>
      </c>
      <c r="Q35" s="45">
        <v>7</v>
      </c>
      <c r="R35" s="45">
        <v>7</v>
      </c>
      <c r="S35" s="45">
        <v>7</v>
      </c>
      <c r="T35" s="45">
        <v>7</v>
      </c>
      <c r="U35" s="45">
        <v>7</v>
      </c>
      <c r="V35" s="45">
        <v>7</v>
      </c>
      <c r="W35" s="45">
        <v>7</v>
      </c>
      <c r="X35" s="45">
        <v>7</v>
      </c>
      <c r="Y35" s="45">
        <v>7</v>
      </c>
      <c r="Z35" s="45">
        <v>7</v>
      </c>
      <c r="AA35" s="45">
        <v>7</v>
      </c>
      <c r="AB35" s="45">
        <v>7</v>
      </c>
      <c r="AC35" s="45">
        <v>7</v>
      </c>
      <c r="AD35" s="45">
        <v>7</v>
      </c>
      <c r="AE35" s="45">
        <v>7</v>
      </c>
      <c r="AF35" s="45">
        <v>7</v>
      </c>
      <c r="AG35" s="55">
        <v>11</v>
      </c>
      <c r="AH35" s="48">
        <f t="shared" si="2"/>
        <v>7</v>
      </c>
      <c r="AI35" s="49">
        <f t="shared" si="3"/>
        <v>7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5</v>
      </c>
      <c r="C36" s="45">
        <v>5</v>
      </c>
      <c r="D36" s="45">
        <v>5</v>
      </c>
      <c r="E36" s="45">
        <v>5</v>
      </c>
      <c r="F36" s="45">
        <v>5</v>
      </c>
      <c r="G36" s="45">
        <v>5</v>
      </c>
      <c r="H36" s="45">
        <v>5</v>
      </c>
      <c r="I36" s="45">
        <v>5</v>
      </c>
      <c r="J36" s="45">
        <v>5</v>
      </c>
      <c r="K36" s="45">
        <v>5</v>
      </c>
      <c r="L36" s="45">
        <v>5</v>
      </c>
      <c r="M36" s="45">
        <v>5</v>
      </c>
      <c r="N36" s="45">
        <v>5</v>
      </c>
      <c r="O36" s="45">
        <v>5</v>
      </c>
      <c r="P36" s="45">
        <v>5</v>
      </c>
      <c r="Q36" s="45">
        <v>5</v>
      </c>
      <c r="R36" s="45">
        <v>5</v>
      </c>
      <c r="S36" s="45">
        <v>5</v>
      </c>
      <c r="T36" s="45">
        <v>5</v>
      </c>
      <c r="U36" s="45">
        <v>5</v>
      </c>
      <c r="V36" s="45">
        <v>5</v>
      </c>
      <c r="W36" s="45">
        <v>5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5">
        <v>10</v>
      </c>
      <c r="AH36" s="48">
        <f t="shared" si="2"/>
        <v>7</v>
      </c>
      <c r="AI36" s="49">
        <f t="shared" si="3"/>
        <v>5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2</v>
      </c>
      <c r="N37" s="45">
        <v>2</v>
      </c>
      <c r="O37" s="45">
        <v>2</v>
      </c>
      <c r="P37" s="45">
        <v>2</v>
      </c>
      <c r="Q37" s="45">
        <v>2</v>
      </c>
      <c r="R37" s="45">
        <v>2</v>
      </c>
      <c r="S37" s="45">
        <v>2</v>
      </c>
      <c r="T37" s="45">
        <v>2</v>
      </c>
      <c r="U37" s="45">
        <v>2</v>
      </c>
      <c r="V37" s="45">
        <v>2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2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270</v>
      </c>
      <c r="C38" s="57">
        <v>270</v>
      </c>
      <c r="D38" s="57">
        <v>270</v>
      </c>
      <c r="E38" s="57">
        <v>270</v>
      </c>
      <c r="F38" s="57">
        <v>270</v>
      </c>
      <c r="G38" s="57">
        <v>270</v>
      </c>
      <c r="H38" s="57">
        <v>270</v>
      </c>
      <c r="I38" s="57">
        <v>270</v>
      </c>
      <c r="J38" s="57">
        <v>300</v>
      </c>
      <c r="K38" s="57">
        <v>300</v>
      </c>
      <c r="L38" s="57">
        <v>300</v>
      </c>
      <c r="M38" s="57">
        <v>270</v>
      </c>
      <c r="N38" s="57">
        <v>270</v>
      </c>
      <c r="O38" s="57">
        <v>270</v>
      </c>
      <c r="P38" s="57">
        <v>270</v>
      </c>
      <c r="Q38" s="57">
        <v>270</v>
      </c>
      <c r="R38" s="57">
        <v>270</v>
      </c>
      <c r="S38" s="57">
        <v>300</v>
      </c>
      <c r="T38" s="57">
        <v>300</v>
      </c>
      <c r="U38" s="57">
        <v>300</v>
      </c>
      <c r="V38" s="57">
        <v>300</v>
      </c>
      <c r="W38" s="57">
        <v>300</v>
      </c>
      <c r="X38" s="57">
        <v>300</v>
      </c>
      <c r="Y38" s="57">
        <v>300</v>
      </c>
      <c r="Z38" s="57">
        <v>300</v>
      </c>
      <c r="AA38" s="57">
        <v>300</v>
      </c>
      <c r="AB38" s="57">
        <v>300</v>
      </c>
      <c r="AC38" s="57">
        <v>300</v>
      </c>
      <c r="AD38" s="57">
        <v>300</v>
      </c>
      <c r="AE38" s="57">
        <v>300</v>
      </c>
      <c r="AF38" s="57">
        <v>300</v>
      </c>
      <c r="AG38" s="55">
        <v>85</v>
      </c>
      <c r="AH38" s="48">
        <f t="shared" si="2"/>
        <v>300</v>
      </c>
      <c r="AI38" s="49">
        <f t="shared" si="3"/>
        <v>270</v>
      </c>
      <c r="AK38" s="50"/>
    </row>
    <row r="39" spans="1:88" ht="15.75" thickBot="1" x14ac:dyDescent="0.3">
      <c r="A39" s="58" t="s">
        <v>47</v>
      </c>
      <c r="B39" s="59">
        <f>70.4+86</f>
        <v>156.4</v>
      </c>
      <c r="C39" s="59">
        <f>70.2+88.3</f>
        <v>158.5</v>
      </c>
      <c r="D39" s="59">
        <f>65.9+88.2</f>
        <v>154.10000000000002</v>
      </c>
      <c r="E39" s="59">
        <f>67.9+88.5</f>
        <v>156.4</v>
      </c>
      <c r="F39" s="59">
        <f>71.8+89.5</f>
        <v>161.30000000000001</v>
      </c>
      <c r="G39" s="59">
        <f>74.9+88.2</f>
        <v>163.10000000000002</v>
      </c>
      <c r="H39" s="59">
        <v>160</v>
      </c>
      <c r="I39" s="59">
        <f>67.2+88.4</f>
        <v>155.60000000000002</v>
      </c>
      <c r="J39" s="59">
        <f>69.1+97.9</f>
        <v>167</v>
      </c>
      <c r="K39" s="59">
        <f>69.3+87.9</f>
        <v>157.19999999999999</v>
      </c>
      <c r="L39" s="57">
        <f>69.3+89</f>
        <v>158.30000000000001</v>
      </c>
      <c r="M39" s="57">
        <f>90.1+69.3</f>
        <v>159.39999999999998</v>
      </c>
      <c r="N39" s="57">
        <f>86.4+69.1</f>
        <v>155.5</v>
      </c>
      <c r="O39" s="57">
        <f>86.9+68.1</f>
        <v>155</v>
      </c>
      <c r="P39" s="57">
        <f>84.3+69.2</f>
        <v>153.5</v>
      </c>
      <c r="Q39" s="57">
        <f>78.7+69.6</f>
        <v>148.30000000000001</v>
      </c>
      <c r="R39" s="57">
        <f>80+68</f>
        <v>148</v>
      </c>
      <c r="S39" s="59">
        <f>85+68</f>
        <v>153</v>
      </c>
      <c r="T39" s="59">
        <f>85.1+68</f>
        <v>153.1</v>
      </c>
      <c r="U39" s="59">
        <f>68.5+87.2</f>
        <v>155.69999999999999</v>
      </c>
      <c r="V39" s="59">
        <f>68.3+83.7</f>
        <v>152</v>
      </c>
      <c r="W39" s="59">
        <f>67.3+81.2</f>
        <v>148.5</v>
      </c>
      <c r="X39" s="59">
        <v>148.5</v>
      </c>
      <c r="Y39" s="59">
        <v>147.6</v>
      </c>
      <c r="Z39" s="59">
        <f>81.9+66.8</f>
        <v>148.69999999999999</v>
      </c>
      <c r="AA39" s="59">
        <f>81.2+67.4</f>
        <v>148.60000000000002</v>
      </c>
      <c r="AB39" s="59">
        <f>67.3+84.7</f>
        <v>152</v>
      </c>
      <c r="AC39" s="59">
        <f>67.4+84.7</f>
        <v>152.10000000000002</v>
      </c>
      <c r="AD39" s="59">
        <f>67+84.7</f>
        <v>151.69999999999999</v>
      </c>
      <c r="AE39" s="59">
        <f>66.5+84</f>
        <v>150.5</v>
      </c>
      <c r="AF39" s="59">
        <f>68+85.5</f>
        <v>153.5</v>
      </c>
      <c r="AG39" s="55">
        <v>240</v>
      </c>
      <c r="AH39" s="48">
        <f t="shared" si="2"/>
        <v>167</v>
      </c>
      <c r="AI39" s="49">
        <f t="shared" si="3"/>
        <v>147.6</v>
      </c>
      <c r="AK39" s="50"/>
    </row>
    <row r="40" spans="1:88" ht="15.75" thickBot="1" x14ac:dyDescent="0.3">
      <c r="A40" s="60" t="s">
        <v>48</v>
      </c>
      <c r="B40" s="61">
        <f t="shared" ref="B40" si="4">SUM(B11:B38)</f>
        <v>645.9</v>
      </c>
      <c r="C40" s="61">
        <f t="shared" ref="C40:AG40" si="5">SUM(C11:C38)</f>
        <v>645.79999999999995</v>
      </c>
      <c r="D40" s="61">
        <f t="shared" si="5"/>
        <v>645.79999999999995</v>
      </c>
      <c r="E40" s="61">
        <f t="shared" si="5"/>
        <v>645.79999999999995</v>
      </c>
      <c r="F40" s="61">
        <f t="shared" si="5"/>
        <v>645.79999999999995</v>
      </c>
      <c r="G40" s="61">
        <f t="shared" si="5"/>
        <v>645.79999999999995</v>
      </c>
      <c r="H40" s="61">
        <f t="shared" si="5"/>
        <v>645.79999999999995</v>
      </c>
      <c r="I40" s="61">
        <f t="shared" si="5"/>
        <v>650.79999999999995</v>
      </c>
      <c r="J40" s="61">
        <f t="shared" si="5"/>
        <v>680.8</v>
      </c>
      <c r="K40" s="61">
        <f t="shared" si="5"/>
        <v>685.8</v>
      </c>
      <c r="L40" s="61">
        <f t="shared" si="5"/>
        <v>690</v>
      </c>
      <c r="M40" s="61">
        <f t="shared" si="5"/>
        <v>661.8</v>
      </c>
      <c r="N40" s="61">
        <f t="shared" si="5"/>
        <v>661.8</v>
      </c>
      <c r="O40" s="61">
        <f t="shared" si="5"/>
        <v>657.8</v>
      </c>
      <c r="P40" s="61">
        <f t="shared" si="5"/>
        <v>662.3</v>
      </c>
      <c r="Q40" s="61">
        <f t="shared" si="5"/>
        <v>662.3</v>
      </c>
      <c r="R40" s="61">
        <f t="shared" si="5"/>
        <v>662.3</v>
      </c>
      <c r="S40" s="61">
        <f t="shared" si="5"/>
        <v>675.3</v>
      </c>
      <c r="T40" s="61">
        <f t="shared" si="5"/>
        <v>624.79999999999995</v>
      </c>
      <c r="U40" s="61">
        <f t="shared" si="5"/>
        <v>619.79999999999995</v>
      </c>
      <c r="V40" s="61">
        <f t="shared" si="5"/>
        <v>679.3</v>
      </c>
      <c r="W40" s="61">
        <f t="shared" si="5"/>
        <v>714.7</v>
      </c>
      <c r="X40" s="61">
        <f t="shared" si="5"/>
        <v>812.3</v>
      </c>
      <c r="Y40" s="61">
        <f t="shared" si="5"/>
        <v>824.8</v>
      </c>
      <c r="Z40" s="61">
        <f t="shared" si="5"/>
        <v>780.8</v>
      </c>
      <c r="AA40" s="61">
        <f t="shared" si="5"/>
        <v>739</v>
      </c>
      <c r="AB40" s="61">
        <f t="shared" si="5"/>
        <v>713.5</v>
      </c>
      <c r="AC40" s="61">
        <f t="shared" si="5"/>
        <v>693.5</v>
      </c>
      <c r="AD40" s="61">
        <f t="shared" si="5"/>
        <v>691.9</v>
      </c>
      <c r="AE40" s="61">
        <f t="shared" si="5"/>
        <v>679.1</v>
      </c>
      <c r="AF40" s="61">
        <f t="shared" si="5"/>
        <v>679.1</v>
      </c>
      <c r="AG40" s="62">
        <f t="shared" si="5"/>
        <v>707.78000000000009</v>
      </c>
      <c r="AH40" s="48">
        <f t="shared" si="2"/>
        <v>824.8</v>
      </c>
      <c r="AI40" s="49">
        <f t="shared" si="3"/>
        <v>619.79999999999995</v>
      </c>
      <c r="AK40" s="50"/>
    </row>
    <row r="41" spans="1:88" x14ac:dyDescent="0.25">
      <c r="A41" s="6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2">
        <v>456</v>
      </c>
      <c r="AH41" s="48">
        <f t="shared" si="2"/>
        <v>0</v>
      </c>
      <c r="AI41" s="49">
        <f t="shared" si="3"/>
        <v>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11</v>
      </c>
      <c r="C43" s="67">
        <v>11</v>
      </c>
      <c r="D43" s="67">
        <v>11</v>
      </c>
      <c r="E43" s="67">
        <v>11.6</v>
      </c>
      <c r="F43" s="67">
        <v>11.6</v>
      </c>
      <c r="G43" s="67">
        <v>11.6</v>
      </c>
      <c r="H43" s="67">
        <v>11.6</v>
      </c>
      <c r="I43" s="67">
        <v>20.399999999999999</v>
      </c>
      <c r="J43" s="67">
        <v>22.4</v>
      </c>
      <c r="K43" s="67">
        <v>22.4</v>
      </c>
      <c r="L43" s="67">
        <v>22.4</v>
      </c>
      <c r="M43" s="67">
        <v>22.4</v>
      </c>
      <c r="N43" s="67">
        <v>22.4</v>
      </c>
      <c r="O43" s="67">
        <v>22.4</v>
      </c>
      <c r="P43" s="67">
        <v>22.4</v>
      </c>
      <c r="Q43" s="67">
        <v>12.7</v>
      </c>
      <c r="R43" s="67">
        <v>12.7</v>
      </c>
      <c r="S43" s="67">
        <v>12.7</v>
      </c>
      <c r="T43" s="67">
        <v>12.7</v>
      </c>
      <c r="U43" s="67">
        <v>12.7</v>
      </c>
      <c r="V43" s="67">
        <v>12.7</v>
      </c>
      <c r="W43" s="67">
        <v>12.7</v>
      </c>
      <c r="X43" s="67">
        <v>12.7</v>
      </c>
      <c r="Y43" s="67">
        <v>22</v>
      </c>
      <c r="Z43" s="67">
        <v>22</v>
      </c>
      <c r="AA43" s="67">
        <v>22</v>
      </c>
      <c r="AB43" s="67">
        <v>22</v>
      </c>
      <c r="AC43" s="67">
        <v>22</v>
      </c>
      <c r="AD43" s="67">
        <v>22</v>
      </c>
      <c r="AE43" s="67">
        <v>22</v>
      </c>
      <c r="AF43" s="67">
        <v>22</v>
      </c>
      <c r="AG43" s="68">
        <v>22.1</v>
      </c>
      <c r="AH43" s="48">
        <f t="shared" si="2"/>
        <v>22.4</v>
      </c>
      <c r="AI43" s="49">
        <f t="shared" si="3"/>
        <v>11</v>
      </c>
      <c r="AK43" s="50"/>
    </row>
    <row r="44" spans="1:88" ht="15.75" thickBot="1" x14ac:dyDescent="0.3">
      <c r="A44" s="69" t="s">
        <v>52</v>
      </c>
      <c r="B44" s="61">
        <f t="shared" ref="B44" si="6">SUM(B41:B43)</f>
        <v>71</v>
      </c>
      <c r="C44" s="61">
        <f t="shared" ref="C44:AG44" si="7">SUM(C41:C43)</f>
        <v>71</v>
      </c>
      <c r="D44" s="61">
        <f t="shared" si="7"/>
        <v>71</v>
      </c>
      <c r="E44" s="61">
        <f t="shared" si="7"/>
        <v>71.599999999999994</v>
      </c>
      <c r="F44" s="61">
        <f t="shared" si="7"/>
        <v>71.599999999999994</v>
      </c>
      <c r="G44" s="61">
        <f t="shared" si="7"/>
        <v>71.599999999999994</v>
      </c>
      <c r="H44" s="61">
        <f t="shared" si="7"/>
        <v>71.599999999999994</v>
      </c>
      <c r="I44" s="61">
        <f t="shared" si="7"/>
        <v>80.400000000000006</v>
      </c>
      <c r="J44" s="61">
        <f t="shared" si="7"/>
        <v>82.4</v>
      </c>
      <c r="K44" s="61">
        <f t="shared" si="7"/>
        <v>82.4</v>
      </c>
      <c r="L44" s="61">
        <f t="shared" si="7"/>
        <v>82.4</v>
      </c>
      <c r="M44" s="61">
        <f t="shared" si="7"/>
        <v>82.4</v>
      </c>
      <c r="N44" s="61">
        <f t="shared" si="7"/>
        <v>82.4</v>
      </c>
      <c r="O44" s="61">
        <f t="shared" si="7"/>
        <v>82.4</v>
      </c>
      <c r="P44" s="61">
        <f t="shared" si="7"/>
        <v>82.4</v>
      </c>
      <c r="Q44" s="61">
        <f t="shared" si="7"/>
        <v>72.7</v>
      </c>
      <c r="R44" s="61">
        <f t="shared" si="7"/>
        <v>72.7</v>
      </c>
      <c r="S44" s="61">
        <f t="shared" si="7"/>
        <v>72.7</v>
      </c>
      <c r="T44" s="61">
        <f t="shared" si="7"/>
        <v>72.7</v>
      </c>
      <c r="U44" s="61">
        <f t="shared" si="7"/>
        <v>72.7</v>
      </c>
      <c r="V44" s="61">
        <f t="shared" si="7"/>
        <v>72.7</v>
      </c>
      <c r="W44" s="61">
        <f t="shared" si="7"/>
        <v>72.7</v>
      </c>
      <c r="X44" s="61">
        <f t="shared" si="7"/>
        <v>72.7</v>
      </c>
      <c r="Y44" s="61">
        <f t="shared" si="7"/>
        <v>82</v>
      </c>
      <c r="Z44" s="61">
        <f t="shared" si="7"/>
        <v>82</v>
      </c>
      <c r="AA44" s="61">
        <f t="shared" si="7"/>
        <v>82</v>
      </c>
      <c r="AB44" s="61">
        <f t="shared" si="7"/>
        <v>82</v>
      </c>
      <c r="AC44" s="61">
        <f t="shared" si="7"/>
        <v>82</v>
      </c>
      <c r="AD44" s="61">
        <f t="shared" si="7"/>
        <v>82</v>
      </c>
      <c r="AE44" s="61">
        <f t="shared" si="7"/>
        <v>82</v>
      </c>
      <c r="AF44" s="61">
        <f t="shared" si="7"/>
        <v>82</v>
      </c>
      <c r="AG44" s="62">
        <f t="shared" si="7"/>
        <v>538.1</v>
      </c>
      <c r="AH44" s="48">
        <f t="shared" si="2"/>
        <v>82.4</v>
      </c>
      <c r="AI44" s="49">
        <f t="shared" si="3"/>
        <v>71</v>
      </c>
      <c r="AK44" s="50"/>
    </row>
    <row r="45" spans="1:88" x14ac:dyDescent="0.25">
      <c r="A45" s="44" t="s">
        <v>53</v>
      </c>
      <c r="B45" s="45">
        <v>111.3</v>
      </c>
      <c r="C45" s="45">
        <v>101.3</v>
      </c>
      <c r="D45" s="45">
        <v>101.2</v>
      </c>
      <c r="E45" s="45">
        <v>90.9</v>
      </c>
      <c r="F45" s="45">
        <v>92</v>
      </c>
      <c r="G45" s="45">
        <v>92</v>
      </c>
      <c r="H45" s="45">
        <v>101.2</v>
      </c>
      <c r="I45" s="45">
        <v>111.4</v>
      </c>
      <c r="J45" s="45">
        <v>111.4</v>
      </c>
      <c r="K45" s="45">
        <v>130</v>
      </c>
      <c r="L45" s="45">
        <v>140.1</v>
      </c>
      <c r="M45" s="45">
        <v>141.80000000000001</v>
      </c>
      <c r="N45" s="45">
        <v>136.5</v>
      </c>
      <c r="O45" s="45">
        <v>136.5</v>
      </c>
      <c r="P45" s="45">
        <v>105.6</v>
      </c>
      <c r="Q45" s="45">
        <v>107.3</v>
      </c>
      <c r="R45" s="45">
        <v>111.4</v>
      </c>
      <c r="S45" s="45">
        <v>111.4</v>
      </c>
      <c r="T45" s="45">
        <v>91</v>
      </c>
      <c r="U45" s="45">
        <v>103</v>
      </c>
      <c r="V45" s="45">
        <v>116</v>
      </c>
      <c r="W45" s="45">
        <v>138</v>
      </c>
      <c r="X45" s="45">
        <v>140.5</v>
      </c>
      <c r="Y45" s="45">
        <v>140.5</v>
      </c>
      <c r="Z45" s="45">
        <v>140.5</v>
      </c>
      <c r="AA45" s="45">
        <v>140.5</v>
      </c>
      <c r="AB45" s="45">
        <v>130.30000000000001</v>
      </c>
      <c r="AC45" s="45">
        <v>130.30000000000001</v>
      </c>
      <c r="AD45" s="45">
        <v>130</v>
      </c>
      <c r="AE45" s="45">
        <v>120</v>
      </c>
      <c r="AF45" s="45">
        <v>90</v>
      </c>
      <c r="AG45" s="52">
        <v>144</v>
      </c>
      <c r="AH45" s="48">
        <f t="shared" si="2"/>
        <v>141.80000000000001</v>
      </c>
      <c r="AI45" s="49">
        <f t="shared" si="3"/>
        <v>90</v>
      </c>
      <c r="AK45" s="50"/>
    </row>
    <row r="46" spans="1:88" x14ac:dyDescent="0.25">
      <c r="A46" s="54" t="s">
        <v>54</v>
      </c>
      <c r="B46" s="65">
        <v>45</v>
      </c>
      <c r="C46" s="65">
        <v>45.8</v>
      </c>
      <c r="D46" s="65">
        <v>45.3</v>
      </c>
      <c r="E46" s="65">
        <v>45</v>
      </c>
      <c r="F46" s="65">
        <v>45.6</v>
      </c>
      <c r="G46" s="65">
        <v>50</v>
      </c>
      <c r="H46" s="65">
        <v>60</v>
      </c>
      <c r="I46" s="65">
        <v>69.5</v>
      </c>
      <c r="J46" s="65">
        <v>69.5</v>
      </c>
      <c r="K46" s="65">
        <v>72</v>
      </c>
      <c r="L46" s="65">
        <v>73.2</v>
      </c>
      <c r="M46" s="65">
        <v>71.900000000000006</v>
      </c>
      <c r="N46" s="65">
        <v>65</v>
      </c>
      <c r="O46" s="65">
        <v>60</v>
      </c>
      <c r="P46" s="65">
        <v>60</v>
      </c>
      <c r="Q46" s="65">
        <v>60</v>
      </c>
      <c r="R46" s="45">
        <v>61.2</v>
      </c>
      <c r="S46" s="45">
        <v>61.2</v>
      </c>
      <c r="T46" s="45">
        <v>45.7</v>
      </c>
      <c r="U46" s="45">
        <v>56.3</v>
      </c>
      <c r="V46" s="65">
        <v>71</v>
      </c>
      <c r="W46" s="65">
        <v>71</v>
      </c>
      <c r="X46" s="65">
        <v>71</v>
      </c>
      <c r="Y46" s="65">
        <v>71</v>
      </c>
      <c r="Z46" s="65">
        <v>71</v>
      </c>
      <c r="AA46" s="65">
        <v>71</v>
      </c>
      <c r="AB46" s="65">
        <v>72.400000000000006</v>
      </c>
      <c r="AC46" s="65">
        <v>72.3</v>
      </c>
      <c r="AD46" s="65">
        <v>59.6</v>
      </c>
      <c r="AE46" s="65">
        <v>50</v>
      </c>
      <c r="AF46" s="65">
        <v>50</v>
      </c>
      <c r="AG46" s="55">
        <v>70</v>
      </c>
      <c r="AH46" s="48">
        <f t="shared" si="2"/>
        <v>73.2</v>
      </c>
      <c r="AI46" s="49">
        <f t="shared" si="3"/>
        <v>45</v>
      </c>
      <c r="AK46" s="50"/>
    </row>
    <row r="47" spans="1:88" x14ac:dyDescent="0.25">
      <c r="A47" s="54" t="s">
        <v>55</v>
      </c>
      <c r="B47" s="65">
        <v>46.2</v>
      </c>
      <c r="C47" s="65">
        <v>44.2</v>
      </c>
      <c r="D47" s="65">
        <v>44.2</v>
      </c>
      <c r="E47" s="65">
        <v>39.799999999999997</v>
      </c>
      <c r="F47" s="65">
        <v>40.799999999999997</v>
      </c>
      <c r="G47" s="65">
        <v>41.3</v>
      </c>
      <c r="H47" s="65">
        <v>45.3</v>
      </c>
      <c r="I47" s="65">
        <v>45.5</v>
      </c>
      <c r="J47" s="65">
        <v>69.099999999999994</v>
      </c>
      <c r="K47" s="65">
        <v>70.2</v>
      </c>
      <c r="L47" s="65">
        <v>71.2</v>
      </c>
      <c r="M47" s="65">
        <v>71.2</v>
      </c>
      <c r="N47" s="65">
        <v>62.1</v>
      </c>
      <c r="O47" s="65">
        <v>62.1</v>
      </c>
      <c r="P47" s="65">
        <v>54.5</v>
      </c>
      <c r="Q47" s="65">
        <v>54.5</v>
      </c>
      <c r="R47" s="45">
        <v>60.8</v>
      </c>
      <c r="S47" s="45">
        <v>60.8</v>
      </c>
      <c r="T47" s="45">
        <v>51.1</v>
      </c>
      <c r="U47" s="45">
        <v>61.2</v>
      </c>
      <c r="V47" s="65">
        <v>70.599999999999994</v>
      </c>
      <c r="W47" s="65">
        <v>70.599999999999994</v>
      </c>
      <c r="X47" s="65">
        <v>70.599999999999994</v>
      </c>
      <c r="Y47" s="65">
        <v>70.599999999999994</v>
      </c>
      <c r="Z47" s="65">
        <v>70.599999999999994</v>
      </c>
      <c r="AA47" s="65">
        <v>70.599999999999994</v>
      </c>
      <c r="AB47" s="65">
        <v>54.2</v>
      </c>
      <c r="AC47" s="65">
        <v>54.2</v>
      </c>
      <c r="AD47" s="65">
        <v>54.8</v>
      </c>
      <c r="AE47" s="65">
        <v>53</v>
      </c>
      <c r="AF47" s="65">
        <v>53</v>
      </c>
      <c r="AG47" s="55">
        <v>69</v>
      </c>
      <c r="AH47" s="48">
        <f t="shared" si="2"/>
        <v>71.2</v>
      </c>
      <c r="AI47" s="49">
        <f t="shared" si="3"/>
        <v>39.799999999999997</v>
      </c>
      <c r="AK47" s="50"/>
    </row>
    <row r="48" spans="1:88" x14ac:dyDescent="0.25">
      <c r="A48" s="54" t="s">
        <v>56</v>
      </c>
      <c r="B48" s="57">
        <v>30.7</v>
      </c>
      <c r="C48" s="57">
        <v>25.4</v>
      </c>
      <c r="D48" s="57">
        <v>25.4</v>
      </c>
      <c r="E48" s="57">
        <v>19.899999999999999</v>
      </c>
      <c r="F48" s="57">
        <v>19.600000000000001</v>
      </c>
      <c r="G48" s="57">
        <v>19.600000000000001</v>
      </c>
      <c r="H48" s="57">
        <v>19.600000000000001</v>
      </c>
      <c r="I48" s="57">
        <v>30.7</v>
      </c>
      <c r="J48" s="57">
        <v>30.7</v>
      </c>
      <c r="K48" s="57">
        <v>30.7</v>
      </c>
      <c r="L48" s="57">
        <v>40</v>
      </c>
      <c r="M48" s="65">
        <v>52.4</v>
      </c>
      <c r="N48" s="65">
        <v>61.4</v>
      </c>
      <c r="O48" s="65">
        <v>50</v>
      </c>
      <c r="P48" s="65">
        <v>52</v>
      </c>
      <c r="Q48" s="65">
        <v>52</v>
      </c>
      <c r="R48" s="65">
        <v>42</v>
      </c>
      <c r="S48" s="65">
        <v>42</v>
      </c>
      <c r="T48" s="65">
        <v>39.799999999999997</v>
      </c>
      <c r="U48" s="65">
        <v>62</v>
      </c>
      <c r="V48" s="65">
        <v>62.5</v>
      </c>
      <c r="W48" s="65">
        <v>62.5</v>
      </c>
      <c r="X48" s="65">
        <v>62.5</v>
      </c>
      <c r="Y48" s="65">
        <v>62.5</v>
      </c>
      <c r="Z48" s="65">
        <v>62.5</v>
      </c>
      <c r="AA48" s="65">
        <v>62.5</v>
      </c>
      <c r="AB48" s="65">
        <v>62.5</v>
      </c>
      <c r="AC48" s="65">
        <v>62.5</v>
      </c>
      <c r="AD48" s="65">
        <v>62.5</v>
      </c>
      <c r="AE48" s="57">
        <v>48</v>
      </c>
      <c r="AF48" s="57">
        <v>48</v>
      </c>
      <c r="AG48" s="55">
        <v>60</v>
      </c>
      <c r="AH48" s="48">
        <f t="shared" si="2"/>
        <v>62.5</v>
      </c>
      <c r="AI48" s="49">
        <f t="shared" si="3"/>
        <v>19.600000000000001</v>
      </c>
      <c r="AK48" s="50"/>
    </row>
    <row r="49" spans="1:41" x14ac:dyDescent="0.25">
      <c r="A49" s="54" t="s">
        <v>57</v>
      </c>
      <c r="B49" s="57">
        <v>15</v>
      </c>
      <c r="C49" s="57">
        <v>15</v>
      </c>
      <c r="D49" s="57">
        <v>15</v>
      </c>
      <c r="E49" s="57">
        <v>15</v>
      </c>
      <c r="F49" s="57">
        <v>15</v>
      </c>
      <c r="G49" s="57">
        <v>15</v>
      </c>
      <c r="H49" s="57">
        <v>15</v>
      </c>
      <c r="I49" s="57">
        <v>15</v>
      </c>
      <c r="J49" s="57">
        <v>15</v>
      </c>
      <c r="K49" s="57">
        <v>15</v>
      </c>
      <c r="L49" s="57">
        <v>15</v>
      </c>
      <c r="M49" s="65">
        <v>13</v>
      </c>
      <c r="N49" s="65">
        <v>13</v>
      </c>
      <c r="O49" s="65">
        <v>13</v>
      </c>
      <c r="P49" s="65">
        <v>13</v>
      </c>
      <c r="Q49" s="65">
        <v>13</v>
      </c>
      <c r="R49" s="65">
        <v>13</v>
      </c>
      <c r="S49" s="65">
        <v>13</v>
      </c>
      <c r="T49" s="65">
        <v>13</v>
      </c>
      <c r="U49" s="65">
        <v>13</v>
      </c>
      <c r="V49" s="65">
        <v>13.4</v>
      </c>
      <c r="W49" s="65">
        <v>15</v>
      </c>
      <c r="X49" s="65">
        <v>30</v>
      </c>
      <c r="Y49" s="65">
        <v>30</v>
      </c>
      <c r="Z49" s="65">
        <v>30</v>
      </c>
      <c r="AA49" s="65">
        <v>30</v>
      </c>
      <c r="AB49" s="65">
        <v>28.9</v>
      </c>
      <c r="AC49" s="65">
        <v>28.9</v>
      </c>
      <c r="AD49" s="65">
        <v>15.1</v>
      </c>
      <c r="AE49" s="57">
        <v>0</v>
      </c>
      <c r="AF49" s="57">
        <v>0</v>
      </c>
      <c r="AG49" s="55">
        <v>30</v>
      </c>
      <c r="AH49" s="48">
        <f t="shared" si="2"/>
        <v>30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8</v>
      </c>
      <c r="N50" s="65">
        <v>8</v>
      </c>
      <c r="O50" s="65">
        <v>8</v>
      </c>
      <c r="P50" s="65">
        <v>8</v>
      </c>
      <c r="Q50" s="65">
        <v>8</v>
      </c>
      <c r="R50" s="65">
        <v>8</v>
      </c>
      <c r="S50" s="65">
        <v>8</v>
      </c>
      <c r="T50" s="65">
        <v>8</v>
      </c>
      <c r="U50" s="65">
        <v>8</v>
      </c>
      <c r="V50" s="45">
        <v>8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45">
        <v>0</v>
      </c>
      <c r="AC50" s="45">
        <v>0</v>
      </c>
      <c r="AD50" s="45">
        <v>0</v>
      </c>
      <c r="AE50" s="65">
        <v>0</v>
      </c>
      <c r="AF50" s="65">
        <v>0</v>
      </c>
      <c r="AG50" s="55">
        <v>25</v>
      </c>
      <c r="AH50" s="48">
        <f t="shared" si="2"/>
        <v>8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17</v>
      </c>
      <c r="C51" s="65">
        <v>13.1</v>
      </c>
      <c r="D51" s="65">
        <v>13</v>
      </c>
      <c r="E51" s="65">
        <v>13</v>
      </c>
      <c r="F51" s="65">
        <v>12.9</v>
      </c>
      <c r="G51" s="65">
        <v>12.9</v>
      </c>
      <c r="H51" s="65">
        <v>12.9</v>
      </c>
      <c r="I51" s="65">
        <v>12.9</v>
      </c>
      <c r="J51" s="65">
        <v>12.9</v>
      </c>
      <c r="K51" s="65">
        <v>13.2</v>
      </c>
      <c r="L51" s="65">
        <v>13.3</v>
      </c>
      <c r="M51" s="65">
        <v>13.3</v>
      </c>
      <c r="N51" s="65">
        <v>13.3</v>
      </c>
      <c r="O51" s="65">
        <v>13.3</v>
      </c>
      <c r="P51" s="65">
        <v>13.3</v>
      </c>
      <c r="Q51" s="65">
        <v>13.3</v>
      </c>
      <c r="R51" s="65">
        <v>13.3</v>
      </c>
      <c r="S51" s="65">
        <v>9.9</v>
      </c>
      <c r="T51" s="65">
        <v>9.9</v>
      </c>
      <c r="U51" s="65">
        <v>9.9</v>
      </c>
      <c r="V51" s="45">
        <v>16.100000000000001</v>
      </c>
      <c r="W51" s="45">
        <v>16.100000000000001</v>
      </c>
      <c r="X51" s="45">
        <v>16.100000000000001</v>
      </c>
      <c r="Y51" s="45">
        <v>16.100000000000001</v>
      </c>
      <c r="Z51" s="45">
        <v>16.100000000000001</v>
      </c>
      <c r="AA51" s="45">
        <v>16.100000000000001</v>
      </c>
      <c r="AB51" s="45">
        <v>12.1</v>
      </c>
      <c r="AC51" s="45">
        <v>12.1</v>
      </c>
      <c r="AD51" s="45">
        <v>12.1</v>
      </c>
      <c r="AE51" s="65">
        <v>14.5</v>
      </c>
      <c r="AF51" s="65">
        <v>14.5</v>
      </c>
      <c r="AG51" s="55">
        <v>24</v>
      </c>
      <c r="AH51" s="48">
        <f t="shared" si="2"/>
        <v>17</v>
      </c>
      <c r="AI51" s="49">
        <f t="shared" si="3"/>
        <v>9.9</v>
      </c>
      <c r="AK51" s="50"/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11.1</v>
      </c>
      <c r="C53" s="65">
        <v>10.3</v>
      </c>
      <c r="D53" s="65">
        <v>10.4</v>
      </c>
      <c r="E53" s="65">
        <v>10.4</v>
      </c>
      <c r="F53" s="65">
        <v>10.3</v>
      </c>
      <c r="G53" s="65">
        <v>10.3</v>
      </c>
      <c r="H53" s="65">
        <v>10.3</v>
      </c>
      <c r="I53" s="65">
        <v>10.3</v>
      </c>
      <c r="J53" s="65">
        <v>10.3</v>
      </c>
      <c r="K53" s="65">
        <v>9</v>
      </c>
      <c r="L53" s="65">
        <v>10.5</v>
      </c>
      <c r="M53" s="65">
        <v>10.5</v>
      </c>
      <c r="N53" s="65">
        <v>10.5</v>
      </c>
      <c r="O53" s="65">
        <v>10.5</v>
      </c>
      <c r="P53" s="65">
        <v>10.5</v>
      </c>
      <c r="Q53" s="65">
        <v>10.5</v>
      </c>
      <c r="R53" s="65">
        <v>10.5</v>
      </c>
      <c r="S53" s="65">
        <v>7.4</v>
      </c>
      <c r="T53" s="65">
        <v>7.4</v>
      </c>
      <c r="U53" s="65">
        <v>7.4</v>
      </c>
      <c r="V53" s="65">
        <v>7.4</v>
      </c>
      <c r="W53" s="65">
        <v>8.4</v>
      </c>
      <c r="X53" s="65">
        <v>8.4</v>
      </c>
      <c r="Y53" s="65">
        <v>8.4</v>
      </c>
      <c r="Z53" s="65">
        <v>8.4</v>
      </c>
      <c r="AA53" s="65">
        <v>8.4</v>
      </c>
      <c r="AB53" s="65">
        <v>8.4</v>
      </c>
      <c r="AC53" s="65">
        <v>8.4</v>
      </c>
      <c r="AD53" s="65">
        <v>8.4</v>
      </c>
      <c r="AE53" s="65">
        <v>8.4</v>
      </c>
      <c r="AF53" s="65">
        <v>8.4</v>
      </c>
      <c r="AG53" s="55">
        <v>14.1</v>
      </c>
      <c r="AH53" s="48">
        <f t="shared" si="2"/>
        <v>11.1</v>
      </c>
      <c r="AI53" s="49">
        <f t="shared" si="3"/>
        <v>7.4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12.5</v>
      </c>
      <c r="C54" s="65">
        <v>12.5</v>
      </c>
      <c r="D54" s="65">
        <v>12.5</v>
      </c>
      <c r="E54" s="65">
        <v>12.5</v>
      </c>
      <c r="F54" s="65">
        <v>12.5</v>
      </c>
      <c r="G54" s="65">
        <v>12.5</v>
      </c>
      <c r="H54" s="65">
        <v>12.5</v>
      </c>
      <c r="I54" s="65">
        <v>12.5</v>
      </c>
      <c r="J54" s="65">
        <v>12.5</v>
      </c>
      <c r="K54" s="65">
        <v>12.5</v>
      </c>
      <c r="L54" s="65">
        <v>12.5</v>
      </c>
      <c r="M54" s="65">
        <v>12.5</v>
      </c>
      <c r="N54" s="65">
        <v>12.5</v>
      </c>
      <c r="O54" s="65">
        <v>12.5</v>
      </c>
      <c r="P54" s="65">
        <v>12.5</v>
      </c>
      <c r="Q54" s="65">
        <v>12.5</v>
      </c>
      <c r="R54" s="65">
        <v>12.5</v>
      </c>
      <c r="S54" s="65">
        <v>7.3</v>
      </c>
      <c r="T54" s="65">
        <v>7.3</v>
      </c>
      <c r="U54" s="65">
        <v>7.3</v>
      </c>
      <c r="V54" s="65">
        <v>7.3</v>
      </c>
      <c r="W54" s="65">
        <v>7.3</v>
      </c>
      <c r="X54" s="65">
        <v>7.3</v>
      </c>
      <c r="Y54" s="65">
        <v>7.3</v>
      </c>
      <c r="Z54" s="65">
        <v>7.3</v>
      </c>
      <c r="AA54" s="65">
        <v>7.3</v>
      </c>
      <c r="AB54" s="65">
        <v>14</v>
      </c>
      <c r="AC54" s="65">
        <v>14</v>
      </c>
      <c r="AD54" s="65">
        <v>10</v>
      </c>
      <c r="AE54" s="65">
        <v>10</v>
      </c>
      <c r="AF54" s="65">
        <v>10</v>
      </c>
      <c r="AG54" s="55">
        <v>14</v>
      </c>
      <c r="AH54" s="48">
        <f t="shared" si="2"/>
        <v>14</v>
      </c>
      <c r="AI54" s="49">
        <f t="shared" si="3"/>
        <v>7.3</v>
      </c>
      <c r="AK54" s="50"/>
    </row>
    <row r="55" spans="1:41" x14ac:dyDescent="0.25">
      <c r="A55" s="54" t="s">
        <v>63</v>
      </c>
      <c r="B55" s="65">
        <v>9</v>
      </c>
      <c r="C55" s="65">
        <v>9</v>
      </c>
      <c r="D55" s="65">
        <v>9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9</v>
      </c>
      <c r="S55" s="65">
        <v>6.7</v>
      </c>
      <c r="T55" s="65">
        <v>6.7</v>
      </c>
      <c r="U55" s="65">
        <v>6.7</v>
      </c>
      <c r="V55" s="65">
        <v>6.7</v>
      </c>
      <c r="W55" s="65">
        <v>6.7</v>
      </c>
      <c r="X55" s="65">
        <v>6.7</v>
      </c>
      <c r="Y55" s="65">
        <v>6.7</v>
      </c>
      <c r="Z55" s="65">
        <v>6.7</v>
      </c>
      <c r="AA55" s="65">
        <v>6.7</v>
      </c>
      <c r="AB55" s="65">
        <v>6.7</v>
      </c>
      <c r="AC55" s="65">
        <v>6.7</v>
      </c>
      <c r="AD55" s="65">
        <v>6.7</v>
      </c>
      <c r="AE55" s="65">
        <v>6.7</v>
      </c>
      <c r="AF55" s="65">
        <v>6.7</v>
      </c>
      <c r="AG55" s="55">
        <v>10.050000000000001</v>
      </c>
      <c r="AH55" s="48">
        <f t="shared" si="2"/>
        <v>9</v>
      </c>
      <c r="AI55" s="49">
        <f t="shared" si="3"/>
        <v>6.7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" si="8">SUM(B45:B57)</f>
        <v>307.54000000000002</v>
      </c>
      <c r="C58" s="61">
        <f t="shared" ref="C58:AG58" si="9">SUM(C45:C57)</f>
        <v>286.34000000000003</v>
      </c>
      <c r="D58" s="61">
        <f t="shared" si="9"/>
        <v>285.74</v>
      </c>
      <c r="E58" s="61">
        <f t="shared" si="9"/>
        <v>265.24</v>
      </c>
      <c r="F58" s="61">
        <f t="shared" si="9"/>
        <v>267.44</v>
      </c>
      <c r="G58" s="61">
        <f t="shared" si="9"/>
        <v>272.34000000000003</v>
      </c>
      <c r="H58" s="61">
        <f t="shared" si="9"/>
        <v>295.54000000000002</v>
      </c>
      <c r="I58" s="61">
        <f t="shared" si="9"/>
        <v>326.54000000000002</v>
      </c>
      <c r="J58" s="61">
        <f t="shared" si="9"/>
        <v>350.14</v>
      </c>
      <c r="K58" s="61">
        <f t="shared" si="9"/>
        <v>371.34</v>
      </c>
      <c r="L58" s="61">
        <f t="shared" si="9"/>
        <v>394.54</v>
      </c>
      <c r="M58" s="61">
        <f t="shared" si="9"/>
        <v>413.34000000000003</v>
      </c>
      <c r="N58" s="61">
        <f t="shared" si="9"/>
        <v>401.04</v>
      </c>
      <c r="O58" s="61">
        <f t="shared" si="9"/>
        <v>384.64000000000004</v>
      </c>
      <c r="P58" s="61">
        <f t="shared" si="9"/>
        <v>348.14000000000004</v>
      </c>
      <c r="Q58" s="61">
        <f t="shared" si="9"/>
        <v>349.84000000000003</v>
      </c>
      <c r="R58" s="61">
        <f t="shared" si="9"/>
        <v>351.44000000000005</v>
      </c>
      <c r="S58" s="61">
        <f t="shared" si="9"/>
        <v>337.44</v>
      </c>
      <c r="T58" s="61">
        <f t="shared" si="9"/>
        <v>289.63999999999993</v>
      </c>
      <c r="U58" s="61">
        <f t="shared" si="9"/>
        <v>344.53999999999996</v>
      </c>
      <c r="V58" s="61">
        <f t="shared" si="9"/>
        <v>388.74</v>
      </c>
      <c r="W58" s="61">
        <f t="shared" si="9"/>
        <v>405.34000000000003</v>
      </c>
      <c r="X58" s="61">
        <f t="shared" si="9"/>
        <v>422.84000000000003</v>
      </c>
      <c r="Y58" s="61">
        <f t="shared" si="9"/>
        <v>422.84000000000003</v>
      </c>
      <c r="Z58" s="61">
        <f t="shared" si="9"/>
        <v>422.84000000000003</v>
      </c>
      <c r="AA58" s="61">
        <f t="shared" si="9"/>
        <v>422.84000000000003</v>
      </c>
      <c r="AB58" s="61">
        <f t="shared" si="9"/>
        <v>399.24</v>
      </c>
      <c r="AC58" s="61">
        <f t="shared" si="9"/>
        <v>399.14</v>
      </c>
      <c r="AD58" s="61">
        <f t="shared" si="9"/>
        <v>368.94</v>
      </c>
      <c r="AE58" s="61">
        <f t="shared" si="9"/>
        <v>320.33999999999997</v>
      </c>
      <c r="AF58" s="61">
        <f t="shared" si="9"/>
        <v>290.33999999999997</v>
      </c>
      <c r="AG58" s="62">
        <f t="shared" si="9"/>
        <v>489.91</v>
      </c>
      <c r="AH58" s="48">
        <f t="shared" si="2"/>
        <v>422.84000000000003</v>
      </c>
      <c r="AI58" s="49">
        <f t="shared" si="3"/>
        <v>265.24</v>
      </c>
      <c r="AK58" s="50"/>
    </row>
    <row r="59" spans="1:41" x14ac:dyDescent="0.25">
      <c r="A59" s="44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" si="10">SUM(B59:B61)</f>
        <v>0</v>
      </c>
      <c r="C62" s="61">
        <f t="shared" ref="C62:AG62" si="11">SUM(C59:C61)</f>
        <v>0</v>
      </c>
      <c r="D62" s="61">
        <f t="shared" si="11"/>
        <v>0</v>
      </c>
      <c r="E62" s="61">
        <f t="shared" si="11"/>
        <v>0</v>
      </c>
      <c r="F62" s="61">
        <f t="shared" si="11"/>
        <v>0</v>
      </c>
      <c r="G62" s="61">
        <f t="shared" si="11"/>
        <v>0</v>
      </c>
      <c r="H62" s="61">
        <f t="shared" si="11"/>
        <v>0</v>
      </c>
      <c r="I62" s="61">
        <f t="shared" si="11"/>
        <v>0</v>
      </c>
      <c r="J62" s="61">
        <f t="shared" si="11"/>
        <v>0</v>
      </c>
      <c r="K62" s="61">
        <f t="shared" si="11"/>
        <v>0</v>
      </c>
      <c r="L62" s="61">
        <f t="shared" si="11"/>
        <v>0</v>
      </c>
      <c r="M62" s="61">
        <f t="shared" si="11"/>
        <v>0</v>
      </c>
      <c r="N62" s="61">
        <f t="shared" si="11"/>
        <v>0</v>
      </c>
      <c r="O62" s="61">
        <f t="shared" si="11"/>
        <v>0</v>
      </c>
      <c r="P62" s="61">
        <f t="shared" si="11"/>
        <v>0</v>
      </c>
      <c r="Q62" s="61">
        <f t="shared" si="11"/>
        <v>0</v>
      </c>
      <c r="R62" s="61">
        <f t="shared" si="11"/>
        <v>0</v>
      </c>
      <c r="S62" s="61">
        <f t="shared" si="11"/>
        <v>0</v>
      </c>
      <c r="T62" s="61">
        <f t="shared" si="11"/>
        <v>0</v>
      </c>
      <c r="U62" s="61">
        <f t="shared" si="11"/>
        <v>0</v>
      </c>
      <c r="V62" s="61">
        <f t="shared" si="11"/>
        <v>0</v>
      </c>
      <c r="W62" s="61">
        <f t="shared" si="11"/>
        <v>0</v>
      </c>
      <c r="X62" s="61">
        <f t="shared" si="11"/>
        <v>0</v>
      </c>
      <c r="Y62" s="61">
        <f t="shared" si="11"/>
        <v>0</v>
      </c>
      <c r="Z62" s="61">
        <f t="shared" si="11"/>
        <v>0</v>
      </c>
      <c r="AA62" s="61">
        <f t="shared" si="11"/>
        <v>0</v>
      </c>
      <c r="AB62" s="61">
        <f t="shared" si="11"/>
        <v>0</v>
      </c>
      <c r="AC62" s="61">
        <f t="shared" si="11"/>
        <v>0</v>
      </c>
      <c r="AD62" s="61">
        <f t="shared" si="11"/>
        <v>0</v>
      </c>
      <c r="AE62" s="61">
        <f t="shared" si="11"/>
        <v>0</v>
      </c>
      <c r="AF62" s="61">
        <f t="shared" si="11"/>
        <v>0</v>
      </c>
      <c r="AG62" s="62">
        <f t="shared" si="11"/>
        <v>106</v>
      </c>
      <c r="AH62" s="48">
        <f t="shared" si="2"/>
        <v>0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-238.2</v>
      </c>
      <c r="C65" s="65">
        <v>-245.2</v>
      </c>
      <c r="D65" s="65">
        <v>-248.9</v>
      </c>
      <c r="E65" s="65">
        <v>-258</v>
      </c>
      <c r="F65" s="65">
        <v>-254.9</v>
      </c>
      <c r="G65" s="65">
        <v>-251</v>
      </c>
      <c r="H65" s="65">
        <v>-247</v>
      </c>
      <c r="I65" s="65">
        <v>-250</v>
      </c>
      <c r="J65" s="65">
        <v>-259.5</v>
      </c>
      <c r="K65" s="65">
        <v>-270</v>
      </c>
      <c r="L65" s="65">
        <v>-264.7</v>
      </c>
      <c r="M65" s="65">
        <v>-266.3</v>
      </c>
      <c r="N65" s="65">
        <v>-278</v>
      </c>
      <c r="O65" s="65">
        <v>-280</v>
      </c>
      <c r="P65" s="65">
        <v>-290</v>
      </c>
      <c r="Q65" s="65">
        <v>-270</v>
      </c>
      <c r="R65" s="65">
        <v>-279</v>
      </c>
      <c r="S65" s="65">
        <v>-270</v>
      </c>
      <c r="T65" s="65">
        <v>-173</v>
      </c>
      <c r="U65" s="65">
        <v>-209</v>
      </c>
      <c r="V65" s="65">
        <v>-259</v>
      </c>
      <c r="W65" s="65">
        <v>-189</v>
      </c>
      <c r="X65" s="65">
        <v>-111</v>
      </c>
      <c r="Y65" s="65">
        <v>-134</v>
      </c>
      <c r="Z65" s="65">
        <v>-166</v>
      </c>
      <c r="AA65" s="65">
        <v>-174</v>
      </c>
      <c r="AB65" s="65">
        <v>-195</v>
      </c>
      <c r="AC65" s="65">
        <v>-191</v>
      </c>
      <c r="AD65" s="65">
        <v>-200</v>
      </c>
      <c r="AE65" s="65">
        <v>-237</v>
      </c>
      <c r="AF65" s="65">
        <v>-245</v>
      </c>
      <c r="AG65" s="75"/>
      <c r="AH65" s="48">
        <f t="shared" si="2"/>
        <v>-111</v>
      </c>
      <c r="AI65" s="49">
        <f t="shared" si="3"/>
        <v>-290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76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6">
        <v>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6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7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7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6">
        <v>0</v>
      </c>
      <c r="C72" s="79">
        <v>0</v>
      </c>
      <c r="D72" s="77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6">
        <v>0</v>
      </c>
      <c r="C73" s="79">
        <v>0</v>
      </c>
      <c r="D73" s="77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/>
      <c r="O73" s="79"/>
      <c r="P73" s="79"/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" si="12">SUMIF(B63:B73,"&gt;0")</f>
        <v>0</v>
      </c>
      <c r="C74" s="61">
        <f t="shared" ref="C74:AF74" si="13">SUMIF(C63:C73,"&gt;0")</f>
        <v>0</v>
      </c>
      <c r="D74" s="61">
        <f t="shared" si="13"/>
        <v>0</v>
      </c>
      <c r="E74" s="61">
        <f t="shared" si="13"/>
        <v>0</v>
      </c>
      <c r="F74" s="61">
        <f t="shared" si="13"/>
        <v>0</v>
      </c>
      <c r="G74" s="61">
        <f t="shared" si="13"/>
        <v>0</v>
      </c>
      <c r="H74" s="61">
        <f t="shared" si="13"/>
        <v>0</v>
      </c>
      <c r="I74" s="61">
        <f t="shared" si="13"/>
        <v>0</v>
      </c>
      <c r="J74" s="61">
        <f t="shared" si="13"/>
        <v>0</v>
      </c>
      <c r="K74" s="61">
        <f t="shared" si="13"/>
        <v>0</v>
      </c>
      <c r="L74" s="61">
        <f t="shared" si="13"/>
        <v>0</v>
      </c>
      <c r="M74" s="61">
        <f t="shared" si="13"/>
        <v>0</v>
      </c>
      <c r="N74" s="61">
        <f t="shared" si="13"/>
        <v>0</v>
      </c>
      <c r="O74" s="61">
        <f t="shared" si="13"/>
        <v>0</v>
      </c>
      <c r="P74" s="61">
        <f t="shared" si="13"/>
        <v>0</v>
      </c>
      <c r="Q74" s="61">
        <f t="shared" si="13"/>
        <v>0</v>
      </c>
      <c r="R74" s="61">
        <f t="shared" si="13"/>
        <v>0</v>
      </c>
      <c r="S74" s="61">
        <f t="shared" si="13"/>
        <v>0</v>
      </c>
      <c r="T74" s="61">
        <f t="shared" si="13"/>
        <v>0</v>
      </c>
      <c r="U74" s="61">
        <f t="shared" si="13"/>
        <v>0</v>
      </c>
      <c r="V74" s="61">
        <f t="shared" si="13"/>
        <v>0</v>
      </c>
      <c r="W74" s="61">
        <f t="shared" si="13"/>
        <v>0</v>
      </c>
      <c r="X74" s="61">
        <f t="shared" si="13"/>
        <v>0</v>
      </c>
      <c r="Y74" s="61">
        <f t="shared" si="13"/>
        <v>0</v>
      </c>
      <c r="Z74" s="61">
        <f t="shared" si="13"/>
        <v>0</v>
      </c>
      <c r="AA74" s="61">
        <f t="shared" si="13"/>
        <v>0</v>
      </c>
      <c r="AB74" s="61">
        <f t="shared" si="13"/>
        <v>0</v>
      </c>
      <c r="AC74" s="61">
        <f t="shared" si="13"/>
        <v>0</v>
      </c>
      <c r="AD74" s="61">
        <f t="shared" si="13"/>
        <v>0</v>
      </c>
      <c r="AE74" s="61">
        <f t="shared" si="13"/>
        <v>0</v>
      </c>
      <c r="AF74" s="61">
        <f t="shared" si="13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44" t="s">
        <v>83</v>
      </c>
      <c r="B75" s="76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5">
        <v>14.4</v>
      </c>
      <c r="AH76" s="48">
        <f t="shared" ref="AH76:AH109" si="14">MAX(B76:AF76)</f>
        <v>0</v>
      </c>
      <c r="AI76" s="49">
        <f t="shared" ref="AI76:AI109" si="15">MIN(B76:AF76)</f>
        <v>0</v>
      </c>
      <c r="AK76" s="50"/>
    </row>
    <row r="77" spans="1:37" ht="15.75" thickBot="1" x14ac:dyDescent="0.3">
      <c r="A77" s="78" t="s">
        <v>85</v>
      </c>
      <c r="B77" s="79">
        <v>0</v>
      </c>
      <c r="C77" s="79">
        <v>0</v>
      </c>
      <c r="D77" s="79">
        <v>0</v>
      </c>
      <c r="E77" s="79">
        <v>0</v>
      </c>
      <c r="F77" s="79">
        <v>0</v>
      </c>
      <c r="G77" s="79">
        <v>0</v>
      </c>
      <c r="H77" s="79">
        <v>0</v>
      </c>
      <c r="I77" s="79">
        <v>0</v>
      </c>
      <c r="J77" s="79">
        <v>0</v>
      </c>
      <c r="K77" s="79">
        <v>0</v>
      </c>
      <c r="L77" s="79">
        <v>0</v>
      </c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>
        <v>0</v>
      </c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80">
        <v>2</v>
      </c>
      <c r="AH77" s="48">
        <f t="shared" si="14"/>
        <v>0</v>
      </c>
      <c r="AI77" s="49">
        <f t="shared" si="15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14"/>
        <v>0</v>
      </c>
      <c r="AI78" s="49">
        <f t="shared" si="15"/>
        <v>0</v>
      </c>
    </row>
    <row r="79" spans="1:37" ht="15.75" thickBot="1" x14ac:dyDescent="0.3">
      <c r="A79" s="74" t="s">
        <v>87</v>
      </c>
      <c r="B79" s="83">
        <f t="shared" ref="B79" si="16">B40+B44+B62+B58+B74+B78</f>
        <v>1024.44</v>
      </c>
      <c r="C79" s="83">
        <f t="shared" ref="C79:AG79" si="17">C40+C44+C62+C58+C74+C78</f>
        <v>1003.14</v>
      </c>
      <c r="D79" s="83">
        <f t="shared" si="17"/>
        <v>1002.54</v>
      </c>
      <c r="E79" s="83">
        <f t="shared" si="17"/>
        <v>982.64</v>
      </c>
      <c r="F79" s="83">
        <f t="shared" si="17"/>
        <v>984.83999999999992</v>
      </c>
      <c r="G79" s="83">
        <f t="shared" si="17"/>
        <v>989.74</v>
      </c>
      <c r="H79" s="83">
        <f t="shared" si="17"/>
        <v>1012.94</v>
      </c>
      <c r="I79" s="83">
        <f t="shared" si="17"/>
        <v>1057.74</v>
      </c>
      <c r="J79" s="83">
        <f t="shared" si="17"/>
        <v>1113.3399999999999</v>
      </c>
      <c r="K79" s="83">
        <f t="shared" si="17"/>
        <v>1139.54</v>
      </c>
      <c r="L79" s="83">
        <f t="shared" si="17"/>
        <v>1166.94</v>
      </c>
      <c r="M79" s="83">
        <f t="shared" si="17"/>
        <v>1157.54</v>
      </c>
      <c r="N79" s="83">
        <f t="shared" si="17"/>
        <v>1145.24</v>
      </c>
      <c r="O79" s="83">
        <f t="shared" si="17"/>
        <v>1124.8399999999999</v>
      </c>
      <c r="P79" s="83">
        <f t="shared" si="17"/>
        <v>1092.8399999999999</v>
      </c>
      <c r="Q79" s="83">
        <f t="shared" si="17"/>
        <v>1084.8400000000001</v>
      </c>
      <c r="R79" s="83">
        <f t="shared" si="17"/>
        <v>1086.44</v>
      </c>
      <c r="S79" s="83">
        <f t="shared" si="17"/>
        <v>1085.44</v>
      </c>
      <c r="T79" s="83">
        <f t="shared" si="17"/>
        <v>987.13999999999987</v>
      </c>
      <c r="U79" s="83">
        <f t="shared" si="17"/>
        <v>1037.04</v>
      </c>
      <c r="V79" s="83">
        <f t="shared" si="17"/>
        <v>1140.74</v>
      </c>
      <c r="W79" s="83">
        <f t="shared" si="17"/>
        <v>1192.7400000000002</v>
      </c>
      <c r="X79" s="83">
        <f t="shared" si="17"/>
        <v>1307.8400000000001</v>
      </c>
      <c r="Y79" s="83">
        <f t="shared" si="17"/>
        <v>1329.6399999999999</v>
      </c>
      <c r="Z79" s="83">
        <f t="shared" si="17"/>
        <v>1285.6399999999999</v>
      </c>
      <c r="AA79" s="83">
        <f t="shared" si="17"/>
        <v>1243.8400000000001</v>
      </c>
      <c r="AB79" s="83">
        <f t="shared" si="17"/>
        <v>1194.74</v>
      </c>
      <c r="AC79" s="83">
        <f t="shared" si="17"/>
        <v>1174.6399999999999</v>
      </c>
      <c r="AD79" s="83">
        <f t="shared" si="17"/>
        <v>1142.8399999999999</v>
      </c>
      <c r="AE79" s="83">
        <f t="shared" si="17"/>
        <v>1081.44</v>
      </c>
      <c r="AF79" s="83">
        <f t="shared" si="17"/>
        <v>1051.44</v>
      </c>
      <c r="AG79" s="62">
        <f t="shared" si="17"/>
        <v>1897.1900000000003</v>
      </c>
      <c r="AH79" s="48">
        <f t="shared" si="14"/>
        <v>1329.6399999999999</v>
      </c>
      <c r="AI79" s="49">
        <f t="shared" si="15"/>
        <v>982.64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14"/>
        <v>0</v>
      </c>
      <c r="AI80" s="49">
        <f t="shared" si="15"/>
        <v>0</v>
      </c>
    </row>
    <row r="81" spans="1:37" ht="15.75" thickBot="1" x14ac:dyDescent="0.3">
      <c r="A81" s="74" t="s">
        <v>89</v>
      </c>
      <c r="B81" s="83">
        <f t="shared" ref="B81" si="18">B79+B80</f>
        <v>1024.44</v>
      </c>
      <c r="C81" s="83">
        <f t="shared" ref="C81:AF81" si="19">C79+C80</f>
        <v>1003.14</v>
      </c>
      <c r="D81" s="83">
        <f t="shared" si="19"/>
        <v>1002.54</v>
      </c>
      <c r="E81" s="83">
        <f t="shared" si="19"/>
        <v>982.64</v>
      </c>
      <c r="F81" s="83">
        <f t="shared" si="19"/>
        <v>984.83999999999992</v>
      </c>
      <c r="G81" s="83">
        <f t="shared" si="19"/>
        <v>989.74</v>
      </c>
      <c r="H81" s="83">
        <f t="shared" si="19"/>
        <v>1012.94</v>
      </c>
      <c r="I81" s="83">
        <f t="shared" si="19"/>
        <v>1057.74</v>
      </c>
      <c r="J81" s="83">
        <f t="shared" si="19"/>
        <v>1113.3399999999999</v>
      </c>
      <c r="K81" s="83">
        <f t="shared" si="19"/>
        <v>1139.54</v>
      </c>
      <c r="L81" s="83">
        <f t="shared" si="19"/>
        <v>1166.94</v>
      </c>
      <c r="M81" s="83">
        <f t="shared" si="19"/>
        <v>1157.54</v>
      </c>
      <c r="N81" s="83">
        <f t="shared" si="19"/>
        <v>1145.24</v>
      </c>
      <c r="O81" s="83">
        <f t="shared" si="19"/>
        <v>1124.8399999999999</v>
      </c>
      <c r="P81" s="83">
        <f t="shared" si="19"/>
        <v>1092.8399999999999</v>
      </c>
      <c r="Q81" s="83">
        <f t="shared" si="19"/>
        <v>1084.8400000000001</v>
      </c>
      <c r="R81" s="83">
        <f t="shared" si="19"/>
        <v>1086.44</v>
      </c>
      <c r="S81" s="83">
        <f t="shared" si="19"/>
        <v>1085.44</v>
      </c>
      <c r="T81" s="83">
        <f t="shared" si="19"/>
        <v>987.13999999999987</v>
      </c>
      <c r="U81" s="83">
        <f t="shared" si="19"/>
        <v>1037.04</v>
      </c>
      <c r="V81" s="83">
        <f t="shared" si="19"/>
        <v>1140.74</v>
      </c>
      <c r="W81" s="83">
        <f t="shared" si="19"/>
        <v>1192.7400000000002</v>
      </c>
      <c r="X81" s="83">
        <f t="shared" si="19"/>
        <v>1307.8400000000001</v>
      </c>
      <c r="Y81" s="83">
        <f t="shared" si="19"/>
        <v>1329.6399999999999</v>
      </c>
      <c r="Z81" s="83">
        <f t="shared" si="19"/>
        <v>1285.6399999999999</v>
      </c>
      <c r="AA81" s="83">
        <f t="shared" si="19"/>
        <v>1243.8400000000001</v>
      </c>
      <c r="AB81" s="83">
        <f t="shared" si="19"/>
        <v>1194.74</v>
      </c>
      <c r="AC81" s="83">
        <f t="shared" si="19"/>
        <v>1174.6399999999999</v>
      </c>
      <c r="AD81" s="83">
        <f t="shared" si="19"/>
        <v>1142.8399999999999</v>
      </c>
      <c r="AE81" s="83">
        <f t="shared" si="19"/>
        <v>1081.44</v>
      </c>
      <c r="AF81" s="83">
        <f t="shared" si="19"/>
        <v>1051.44</v>
      </c>
      <c r="AG81" s="81">
        <f>AG78+AG74+AG62+AG58+AG40+AG80</f>
        <v>1359.0900000000001</v>
      </c>
      <c r="AH81" s="48">
        <f t="shared" si="14"/>
        <v>1329.6399999999999</v>
      </c>
      <c r="AI81" s="49">
        <f t="shared" si="15"/>
        <v>982.64</v>
      </c>
    </row>
    <row r="82" spans="1:37" ht="15.75" thickBot="1" x14ac:dyDescent="0.3">
      <c r="A82" s="74" t="s">
        <v>90</v>
      </c>
      <c r="B82" s="83">
        <f t="shared" ref="B82" si="20">B81-B89</f>
        <v>786.24</v>
      </c>
      <c r="C82" s="83">
        <f t="shared" ref="C82:AF82" si="21">C81-C89</f>
        <v>757.94</v>
      </c>
      <c r="D82" s="83">
        <f t="shared" si="21"/>
        <v>753.64</v>
      </c>
      <c r="E82" s="83">
        <f t="shared" si="21"/>
        <v>724.64</v>
      </c>
      <c r="F82" s="83">
        <f t="shared" si="21"/>
        <v>729.93999999999994</v>
      </c>
      <c r="G82" s="83">
        <f t="shared" si="21"/>
        <v>738.74</v>
      </c>
      <c r="H82" s="83">
        <f t="shared" si="21"/>
        <v>765.94</v>
      </c>
      <c r="I82" s="83">
        <f t="shared" si="21"/>
        <v>807.74</v>
      </c>
      <c r="J82" s="83">
        <f t="shared" si="21"/>
        <v>853.83999999999992</v>
      </c>
      <c r="K82" s="83">
        <f t="shared" si="21"/>
        <v>869.54</v>
      </c>
      <c r="L82" s="83">
        <f t="shared" si="21"/>
        <v>902.24</v>
      </c>
      <c r="M82" s="83">
        <f t="shared" si="21"/>
        <v>891.24</v>
      </c>
      <c r="N82" s="83">
        <f t="shared" si="21"/>
        <v>867.24</v>
      </c>
      <c r="O82" s="83">
        <f t="shared" si="21"/>
        <v>844.83999999999992</v>
      </c>
      <c r="P82" s="83">
        <f t="shared" si="21"/>
        <v>802.83999999999992</v>
      </c>
      <c r="Q82" s="83">
        <f t="shared" si="21"/>
        <v>814.84000000000015</v>
      </c>
      <c r="R82" s="83">
        <f t="shared" si="21"/>
        <v>807.44</v>
      </c>
      <c r="S82" s="83">
        <f t="shared" si="21"/>
        <v>815.44</v>
      </c>
      <c r="T82" s="83">
        <f t="shared" si="21"/>
        <v>814.13999999999987</v>
      </c>
      <c r="U82" s="83">
        <f t="shared" si="21"/>
        <v>828.04</v>
      </c>
      <c r="V82" s="83">
        <f t="shared" si="21"/>
        <v>881.74</v>
      </c>
      <c r="W82" s="83">
        <f t="shared" si="21"/>
        <v>1003.7400000000002</v>
      </c>
      <c r="X82" s="83">
        <f t="shared" si="21"/>
        <v>1196.8400000000001</v>
      </c>
      <c r="Y82" s="83">
        <f t="shared" si="21"/>
        <v>1195.6399999999999</v>
      </c>
      <c r="Z82" s="83">
        <f t="shared" si="21"/>
        <v>1119.6399999999999</v>
      </c>
      <c r="AA82" s="83">
        <f t="shared" si="21"/>
        <v>1069.8400000000001</v>
      </c>
      <c r="AB82" s="83">
        <f t="shared" si="21"/>
        <v>999.74</v>
      </c>
      <c r="AC82" s="83">
        <f t="shared" si="21"/>
        <v>983.63999999999987</v>
      </c>
      <c r="AD82" s="83">
        <f t="shared" si="21"/>
        <v>942.83999999999992</v>
      </c>
      <c r="AE82" s="83">
        <f t="shared" si="21"/>
        <v>844.44</v>
      </c>
      <c r="AF82" s="83">
        <f t="shared" si="21"/>
        <v>806.44</v>
      </c>
      <c r="AG82" s="81"/>
      <c r="AH82" s="48">
        <f t="shared" si="14"/>
        <v>1196.8400000000001</v>
      </c>
      <c r="AI82" s="49">
        <f t="shared" si="15"/>
        <v>724.64</v>
      </c>
    </row>
    <row r="83" spans="1:37" x14ac:dyDescent="0.25">
      <c r="A83" s="44" t="s">
        <v>74</v>
      </c>
      <c r="B83" s="76">
        <f t="shared" ref="B83" si="22">IF(B66&lt;0,B66*-1,0)</f>
        <v>0</v>
      </c>
      <c r="C83" s="76">
        <f t="shared" ref="C83:AF83" si="23">IF(C66&lt;0,C66*-1,0)</f>
        <v>0</v>
      </c>
      <c r="D83" s="76">
        <f t="shared" si="23"/>
        <v>0</v>
      </c>
      <c r="E83" s="76">
        <f t="shared" si="23"/>
        <v>0</v>
      </c>
      <c r="F83" s="76">
        <f t="shared" si="23"/>
        <v>0</v>
      </c>
      <c r="G83" s="76">
        <f t="shared" si="23"/>
        <v>0</v>
      </c>
      <c r="H83" s="76">
        <f t="shared" si="23"/>
        <v>0</v>
      </c>
      <c r="I83" s="76">
        <f t="shared" si="23"/>
        <v>0</v>
      </c>
      <c r="J83" s="76">
        <f t="shared" si="23"/>
        <v>0</v>
      </c>
      <c r="K83" s="76">
        <f t="shared" si="23"/>
        <v>0</v>
      </c>
      <c r="L83" s="76">
        <f t="shared" si="23"/>
        <v>0</v>
      </c>
      <c r="M83" s="76">
        <f t="shared" si="23"/>
        <v>0</v>
      </c>
      <c r="N83" s="76">
        <f t="shared" si="23"/>
        <v>0</v>
      </c>
      <c r="O83" s="76">
        <f t="shared" si="23"/>
        <v>0</v>
      </c>
      <c r="P83" s="76">
        <f t="shared" si="23"/>
        <v>0</v>
      </c>
      <c r="Q83" s="76">
        <f t="shared" si="23"/>
        <v>0</v>
      </c>
      <c r="R83" s="76">
        <f t="shared" si="23"/>
        <v>0</v>
      </c>
      <c r="S83" s="76">
        <f t="shared" si="23"/>
        <v>0</v>
      </c>
      <c r="T83" s="76">
        <f t="shared" si="23"/>
        <v>0</v>
      </c>
      <c r="U83" s="76">
        <f t="shared" si="23"/>
        <v>0</v>
      </c>
      <c r="V83" s="76">
        <f t="shared" si="23"/>
        <v>0</v>
      </c>
      <c r="W83" s="76">
        <f t="shared" si="23"/>
        <v>0</v>
      </c>
      <c r="X83" s="76">
        <f t="shared" si="23"/>
        <v>0</v>
      </c>
      <c r="Y83" s="76">
        <f t="shared" si="23"/>
        <v>0</v>
      </c>
      <c r="Z83" s="76">
        <f t="shared" si="23"/>
        <v>0</v>
      </c>
      <c r="AA83" s="76">
        <f t="shared" si="23"/>
        <v>0</v>
      </c>
      <c r="AB83" s="76">
        <f t="shared" si="23"/>
        <v>0</v>
      </c>
      <c r="AC83" s="76">
        <f t="shared" si="23"/>
        <v>0</v>
      </c>
      <c r="AD83" s="76">
        <f t="shared" si="23"/>
        <v>0</v>
      </c>
      <c r="AE83" s="76">
        <f t="shared" si="23"/>
        <v>0</v>
      </c>
      <c r="AF83" s="76">
        <f t="shared" si="23"/>
        <v>0</v>
      </c>
      <c r="AG83" s="52"/>
      <c r="AH83" s="48">
        <f t="shared" si="14"/>
        <v>0</v>
      </c>
      <c r="AI83" s="49">
        <f t="shared" si="15"/>
        <v>0</v>
      </c>
    </row>
    <row r="84" spans="1:37" x14ac:dyDescent="0.25">
      <c r="A84" s="54" t="s">
        <v>72</v>
      </c>
      <c r="B84" s="76">
        <f t="shared" ref="B84" si="24">IF(B64&lt;0,B64*-1,0)</f>
        <v>0</v>
      </c>
      <c r="C84" s="76">
        <f t="shared" ref="C84:AF84" si="25">IF(C64&lt;0,C64*-1,0)</f>
        <v>0</v>
      </c>
      <c r="D84" s="76">
        <f t="shared" si="25"/>
        <v>0</v>
      </c>
      <c r="E84" s="76">
        <f t="shared" si="25"/>
        <v>0</v>
      </c>
      <c r="F84" s="76">
        <f t="shared" si="25"/>
        <v>0</v>
      </c>
      <c r="G84" s="76">
        <f t="shared" si="25"/>
        <v>0</v>
      </c>
      <c r="H84" s="76">
        <f t="shared" si="25"/>
        <v>0</v>
      </c>
      <c r="I84" s="76">
        <f t="shared" si="25"/>
        <v>0</v>
      </c>
      <c r="J84" s="76">
        <f t="shared" si="25"/>
        <v>0</v>
      </c>
      <c r="K84" s="76">
        <f t="shared" si="25"/>
        <v>0</v>
      </c>
      <c r="L84" s="76">
        <f t="shared" si="25"/>
        <v>0</v>
      </c>
      <c r="M84" s="76">
        <f t="shared" si="25"/>
        <v>0</v>
      </c>
      <c r="N84" s="76">
        <f t="shared" si="25"/>
        <v>0</v>
      </c>
      <c r="O84" s="76">
        <f t="shared" si="25"/>
        <v>0</v>
      </c>
      <c r="P84" s="76">
        <f t="shared" si="25"/>
        <v>0</v>
      </c>
      <c r="Q84" s="76">
        <f t="shared" si="25"/>
        <v>0</v>
      </c>
      <c r="R84" s="76">
        <f t="shared" si="25"/>
        <v>0</v>
      </c>
      <c r="S84" s="76">
        <f t="shared" si="25"/>
        <v>0</v>
      </c>
      <c r="T84" s="76">
        <f t="shared" si="25"/>
        <v>0</v>
      </c>
      <c r="U84" s="76">
        <f t="shared" si="25"/>
        <v>0</v>
      </c>
      <c r="V84" s="76">
        <f t="shared" si="25"/>
        <v>0</v>
      </c>
      <c r="W84" s="76">
        <f t="shared" si="25"/>
        <v>0</v>
      </c>
      <c r="X84" s="76">
        <f t="shared" si="25"/>
        <v>0</v>
      </c>
      <c r="Y84" s="76">
        <f t="shared" si="25"/>
        <v>0</v>
      </c>
      <c r="Z84" s="76">
        <f t="shared" si="25"/>
        <v>0</v>
      </c>
      <c r="AA84" s="76">
        <f t="shared" si="25"/>
        <v>0</v>
      </c>
      <c r="AB84" s="76">
        <f t="shared" si="25"/>
        <v>0</v>
      </c>
      <c r="AC84" s="76">
        <f t="shared" si="25"/>
        <v>0</v>
      </c>
      <c r="AD84" s="76">
        <f t="shared" si="25"/>
        <v>0</v>
      </c>
      <c r="AE84" s="76">
        <f t="shared" si="25"/>
        <v>0</v>
      </c>
      <c r="AF84" s="76">
        <f t="shared" si="25"/>
        <v>0</v>
      </c>
      <c r="AG84" s="55"/>
      <c r="AH84" s="48">
        <f t="shared" si="14"/>
        <v>0</v>
      </c>
      <c r="AI84" s="49">
        <f t="shared" si="15"/>
        <v>0</v>
      </c>
    </row>
    <row r="85" spans="1:37" x14ac:dyDescent="0.25">
      <c r="A85" s="78" t="s">
        <v>91</v>
      </c>
      <c r="B85" s="76">
        <f t="shared" ref="B85" si="26">IF(B67&lt;0,B67*-1,0)</f>
        <v>0</v>
      </c>
      <c r="C85" s="76">
        <f t="shared" ref="C85:AF85" si="27">IF(C67&lt;0,C67*-1,0)</f>
        <v>0</v>
      </c>
      <c r="D85" s="76">
        <f t="shared" si="27"/>
        <v>0</v>
      </c>
      <c r="E85" s="76">
        <f t="shared" si="27"/>
        <v>0</v>
      </c>
      <c r="F85" s="76">
        <f t="shared" si="27"/>
        <v>0</v>
      </c>
      <c r="G85" s="76">
        <f t="shared" si="27"/>
        <v>0</v>
      </c>
      <c r="H85" s="76">
        <f t="shared" si="27"/>
        <v>0</v>
      </c>
      <c r="I85" s="76">
        <f t="shared" si="27"/>
        <v>0</v>
      </c>
      <c r="J85" s="76">
        <f t="shared" si="27"/>
        <v>0</v>
      </c>
      <c r="K85" s="76">
        <f t="shared" si="27"/>
        <v>0</v>
      </c>
      <c r="L85" s="76">
        <f t="shared" si="27"/>
        <v>0</v>
      </c>
      <c r="M85" s="76">
        <f t="shared" si="27"/>
        <v>0</v>
      </c>
      <c r="N85" s="76">
        <f t="shared" si="27"/>
        <v>0</v>
      </c>
      <c r="O85" s="76">
        <f t="shared" si="27"/>
        <v>0</v>
      </c>
      <c r="P85" s="76">
        <f t="shared" si="27"/>
        <v>0</v>
      </c>
      <c r="Q85" s="76">
        <f t="shared" si="27"/>
        <v>0</v>
      </c>
      <c r="R85" s="76">
        <f t="shared" si="27"/>
        <v>0</v>
      </c>
      <c r="S85" s="76">
        <f t="shared" si="27"/>
        <v>0</v>
      </c>
      <c r="T85" s="76">
        <f t="shared" si="27"/>
        <v>0</v>
      </c>
      <c r="U85" s="76">
        <f t="shared" si="27"/>
        <v>0</v>
      </c>
      <c r="V85" s="76">
        <f t="shared" si="27"/>
        <v>0</v>
      </c>
      <c r="W85" s="76">
        <f t="shared" si="27"/>
        <v>0</v>
      </c>
      <c r="X85" s="76">
        <f t="shared" si="27"/>
        <v>0</v>
      </c>
      <c r="Y85" s="76">
        <f t="shared" si="27"/>
        <v>0</v>
      </c>
      <c r="Z85" s="76">
        <f t="shared" si="27"/>
        <v>0</v>
      </c>
      <c r="AA85" s="76">
        <f t="shared" si="27"/>
        <v>0</v>
      </c>
      <c r="AB85" s="76">
        <f t="shared" si="27"/>
        <v>0</v>
      </c>
      <c r="AC85" s="76">
        <f t="shared" si="27"/>
        <v>0</v>
      </c>
      <c r="AD85" s="76">
        <f t="shared" si="27"/>
        <v>0</v>
      </c>
      <c r="AE85" s="76">
        <f t="shared" si="27"/>
        <v>0</v>
      </c>
      <c r="AF85" s="76">
        <f t="shared" si="27"/>
        <v>0</v>
      </c>
      <c r="AG85" s="86"/>
      <c r="AH85" s="48">
        <f t="shared" si="14"/>
        <v>0</v>
      </c>
      <c r="AI85" s="49">
        <f t="shared" si="15"/>
        <v>0</v>
      </c>
    </row>
    <row r="86" spans="1:37" x14ac:dyDescent="0.25">
      <c r="A86" s="78" t="s">
        <v>92</v>
      </c>
      <c r="B86" s="76">
        <f t="shared" ref="B86" si="28">IF(B65&lt;0,B65*-1,0)</f>
        <v>238.2</v>
      </c>
      <c r="C86" s="76">
        <f t="shared" ref="C86:AF86" si="29">IF(C65&lt;0,C65*-1,0)</f>
        <v>245.2</v>
      </c>
      <c r="D86" s="76">
        <f t="shared" si="29"/>
        <v>248.9</v>
      </c>
      <c r="E86" s="76">
        <f t="shared" si="29"/>
        <v>258</v>
      </c>
      <c r="F86" s="76">
        <f t="shared" si="29"/>
        <v>254.9</v>
      </c>
      <c r="G86" s="76">
        <f t="shared" si="29"/>
        <v>251</v>
      </c>
      <c r="H86" s="76">
        <f t="shared" si="29"/>
        <v>247</v>
      </c>
      <c r="I86" s="76">
        <f t="shared" si="29"/>
        <v>250</v>
      </c>
      <c r="J86" s="76">
        <f t="shared" si="29"/>
        <v>259.5</v>
      </c>
      <c r="K86" s="76">
        <f t="shared" si="29"/>
        <v>270</v>
      </c>
      <c r="L86" s="76">
        <f t="shared" si="29"/>
        <v>264.7</v>
      </c>
      <c r="M86" s="76">
        <f t="shared" si="29"/>
        <v>266.3</v>
      </c>
      <c r="N86" s="76">
        <f t="shared" si="29"/>
        <v>278</v>
      </c>
      <c r="O86" s="76">
        <f t="shared" si="29"/>
        <v>280</v>
      </c>
      <c r="P86" s="76">
        <f t="shared" si="29"/>
        <v>290</v>
      </c>
      <c r="Q86" s="76">
        <f t="shared" si="29"/>
        <v>270</v>
      </c>
      <c r="R86" s="76">
        <f t="shared" si="29"/>
        <v>279</v>
      </c>
      <c r="S86" s="76">
        <f t="shared" si="29"/>
        <v>270</v>
      </c>
      <c r="T86" s="76">
        <f t="shared" si="29"/>
        <v>173</v>
      </c>
      <c r="U86" s="76">
        <f t="shared" si="29"/>
        <v>209</v>
      </c>
      <c r="V86" s="76">
        <f t="shared" si="29"/>
        <v>259</v>
      </c>
      <c r="W86" s="76">
        <f t="shared" si="29"/>
        <v>189</v>
      </c>
      <c r="X86" s="76">
        <f t="shared" si="29"/>
        <v>111</v>
      </c>
      <c r="Y86" s="76">
        <f t="shared" si="29"/>
        <v>134</v>
      </c>
      <c r="Z86" s="76">
        <f t="shared" si="29"/>
        <v>166</v>
      </c>
      <c r="AA86" s="76">
        <f t="shared" si="29"/>
        <v>174</v>
      </c>
      <c r="AB86" s="76">
        <f t="shared" si="29"/>
        <v>195</v>
      </c>
      <c r="AC86" s="76">
        <f t="shared" si="29"/>
        <v>191</v>
      </c>
      <c r="AD86" s="76">
        <f t="shared" si="29"/>
        <v>200</v>
      </c>
      <c r="AE86" s="76">
        <f t="shared" si="29"/>
        <v>237</v>
      </c>
      <c r="AF86" s="76">
        <f t="shared" si="29"/>
        <v>245</v>
      </c>
      <c r="AG86" s="86"/>
      <c r="AH86" s="48">
        <f t="shared" si="14"/>
        <v>290</v>
      </c>
      <c r="AI86" s="49">
        <f t="shared" si="15"/>
        <v>111</v>
      </c>
    </row>
    <row r="87" spans="1:37" x14ac:dyDescent="0.25">
      <c r="A87" s="78" t="s">
        <v>71</v>
      </c>
      <c r="B87" s="76">
        <f t="shared" ref="B87" si="30">IF(B63&lt;0,B63*-1,0)</f>
        <v>0</v>
      </c>
      <c r="C87" s="76">
        <f t="shared" ref="C87:AF87" si="31">IF(C63&lt;0,C63*-1,0)</f>
        <v>0</v>
      </c>
      <c r="D87" s="76">
        <f t="shared" si="31"/>
        <v>0</v>
      </c>
      <c r="E87" s="76">
        <f t="shared" si="31"/>
        <v>0</v>
      </c>
      <c r="F87" s="76">
        <f t="shared" si="31"/>
        <v>0</v>
      </c>
      <c r="G87" s="76">
        <f t="shared" si="31"/>
        <v>0</v>
      </c>
      <c r="H87" s="76">
        <f t="shared" si="31"/>
        <v>0</v>
      </c>
      <c r="I87" s="76">
        <f t="shared" si="31"/>
        <v>0</v>
      </c>
      <c r="J87" s="76">
        <f t="shared" si="31"/>
        <v>0</v>
      </c>
      <c r="K87" s="76">
        <f t="shared" si="31"/>
        <v>0</v>
      </c>
      <c r="L87" s="76">
        <f t="shared" si="31"/>
        <v>0</v>
      </c>
      <c r="M87" s="76">
        <f t="shared" si="31"/>
        <v>0</v>
      </c>
      <c r="N87" s="76">
        <f t="shared" si="31"/>
        <v>0</v>
      </c>
      <c r="O87" s="76">
        <f t="shared" si="31"/>
        <v>0</v>
      </c>
      <c r="P87" s="76">
        <f t="shared" si="31"/>
        <v>0</v>
      </c>
      <c r="Q87" s="76">
        <f t="shared" si="31"/>
        <v>0</v>
      </c>
      <c r="R87" s="76">
        <f t="shared" si="31"/>
        <v>0</v>
      </c>
      <c r="S87" s="76">
        <f t="shared" si="31"/>
        <v>0</v>
      </c>
      <c r="T87" s="76">
        <f t="shared" si="31"/>
        <v>0</v>
      </c>
      <c r="U87" s="76">
        <f t="shared" si="31"/>
        <v>0</v>
      </c>
      <c r="V87" s="76">
        <f t="shared" si="31"/>
        <v>0</v>
      </c>
      <c r="W87" s="76">
        <f t="shared" si="31"/>
        <v>0</v>
      </c>
      <c r="X87" s="76">
        <f t="shared" si="31"/>
        <v>0</v>
      </c>
      <c r="Y87" s="76">
        <f t="shared" si="31"/>
        <v>0</v>
      </c>
      <c r="Z87" s="76">
        <f t="shared" si="31"/>
        <v>0</v>
      </c>
      <c r="AA87" s="76">
        <f t="shared" si="31"/>
        <v>0</v>
      </c>
      <c r="AB87" s="76">
        <f t="shared" si="31"/>
        <v>0</v>
      </c>
      <c r="AC87" s="76">
        <f t="shared" si="31"/>
        <v>0</v>
      </c>
      <c r="AD87" s="76">
        <f t="shared" si="31"/>
        <v>0</v>
      </c>
      <c r="AE87" s="76">
        <f t="shared" si="31"/>
        <v>0</v>
      </c>
      <c r="AF87" s="76">
        <f t="shared" si="31"/>
        <v>0</v>
      </c>
      <c r="AG87" s="86"/>
      <c r="AH87" s="48">
        <f t="shared" si="14"/>
        <v>0</v>
      </c>
      <c r="AI87" s="49">
        <f t="shared" si="15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14"/>
        <v>0</v>
      </c>
      <c r="AI88" s="49">
        <f t="shared" si="15"/>
        <v>0</v>
      </c>
    </row>
    <row r="89" spans="1:37" ht="15.75" thickBot="1" x14ac:dyDescent="0.3">
      <c r="A89" s="87" t="s">
        <v>94</v>
      </c>
      <c r="B89" s="61">
        <f t="shared" ref="B89" si="32">SUM(B83:B88)</f>
        <v>238.2</v>
      </c>
      <c r="C89" s="61">
        <f t="shared" ref="C89:AF89" si="33">SUM(C83:C88)</f>
        <v>245.2</v>
      </c>
      <c r="D89" s="61">
        <f t="shared" si="33"/>
        <v>248.9</v>
      </c>
      <c r="E89" s="61">
        <f t="shared" si="33"/>
        <v>258</v>
      </c>
      <c r="F89" s="61">
        <f t="shared" si="33"/>
        <v>254.9</v>
      </c>
      <c r="G89" s="61">
        <f t="shared" si="33"/>
        <v>251</v>
      </c>
      <c r="H89" s="61">
        <f t="shared" si="33"/>
        <v>247</v>
      </c>
      <c r="I89" s="61">
        <f t="shared" si="33"/>
        <v>250</v>
      </c>
      <c r="J89" s="61">
        <f t="shared" si="33"/>
        <v>259.5</v>
      </c>
      <c r="K89" s="61">
        <f t="shared" si="33"/>
        <v>270</v>
      </c>
      <c r="L89" s="61">
        <f t="shared" si="33"/>
        <v>264.7</v>
      </c>
      <c r="M89" s="61">
        <f t="shared" si="33"/>
        <v>266.3</v>
      </c>
      <c r="N89" s="61">
        <f t="shared" si="33"/>
        <v>278</v>
      </c>
      <c r="O89" s="61">
        <f t="shared" si="33"/>
        <v>280</v>
      </c>
      <c r="P89" s="61">
        <f t="shared" si="33"/>
        <v>290</v>
      </c>
      <c r="Q89" s="61">
        <f t="shared" si="33"/>
        <v>270</v>
      </c>
      <c r="R89" s="61">
        <f t="shared" si="33"/>
        <v>279</v>
      </c>
      <c r="S89" s="61">
        <f t="shared" si="33"/>
        <v>270</v>
      </c>
      <c r="T89" s="61">
        <f t="shared" si="33"/>
        <v>173</v>
      </c>
      <c r="U89" s="61">
        <f t="shared" si="33"/>
        <v>209</v>
      </c>
      <c r="V89" s="61">
        <f t="shared" si="33"/>
        <v>259</v>
      </c>
      <c r="W89" s="61">
        <f t="shared" si="33"/>
        <v>189</v>
      </c>
      <c r="X89" s="61">
        <f t="shared" si="33"/>
        <v>111</v>
      </c>
      <c r="Y89" s="61">
        <f t="shared" si="33"/>
        <v>134</v>
      </c>
      <c r="Z89" s="61">
        <f t="shared" si="33"/>
        <v>166</v>
      </c>
      <c r="AA89" s="61">
        <f t="shared" si="33"/>
        <v>174</v>
      </c>
      <c r="AB89" s="61">
        <f t="shared" si="33"/>
        <v>195</v>
      </c>
      <c r="AC89" s="61">
        <f t="shared" si="33"/>
        <v>191</v>
      </c>
      <c r="AD89" s="61">
        <f t="shared" si="33"/>
        <v>200</v>
      </c>
      <c r="AE89" s="61">
        <f t="shared" si="33"/>
        <v>237</v>
      </c>
      <c r="AF89" s="61">
        <f t="shared" si="33"/>
        <v>245</v>
      </c>
      <c r="AG89" s="81"/>
      <c r="AH89" s="48">
        <f t="shared" si="14"/>
        <v>290</v>
      </c>
      <c r="AI89" s="49">
        <f t="shared" si="15"/>
        <v>111</v>
      </c>
      <c r="AK89" s="50"/>
    </row>
    <row r="90" spans="1:37" ht="15.75" thickBot="1" x14ac:dyDescent="0.3">
      <c r="A90" s="74" t="s">
        <v>95</v>
      </c>
      <c r="B90" s="61">
        <f t="shared" ref="B90" si="34">B74-B89</f>
        <v>-238.2</v>
      </c>
      <c r="C90" s="61">
        <f t="shared" ref="C90:AF90" si="35">C74-C89</f>
        <v>-245.2</v>
      </c>
      <c r="D90" s="61">
        <f t="shared" si="35"/>
        <v>-248.9</v>
      </c>
      <c r="E90" s="61">
        <f t="shared" si="35"/>
        <v>-258</v>
      </c>
      <c r="F90" s="61">
        <f t="shared" si="35"/>
        <v>-254.9</v>
      </c>
      <c r="G90" s="61">
        <f t="shared" si="35"/>
        <v>-251</v>
      </c>
      <c r="H90" s="61">
        <f t="shared" si="35"/>
        <v>-247</v>
      </c>
      <c r="I90" s="61">
        <f t="shared" si="35"/>
        <v>-250</v>
      </c>
      <c r="J90" s="61">
        <f t="shared" si="35"/>
        <v>-259.5</v>
      </c>
      <c r="K90" s="61">
        <f t="shared" si="35"/>
        <v>-270</v>
      </c>
      <c r="L90" s="61">
        <f t="shared" si="35"/>
        <v>-264.7</v>
      </c>
      <c r="M90" s="61">
        <f t="shared" si="35"/>
        <v>-266.3</v>
      </c>
      <c r="N90" s="61">
        <f t="shared" si="35"/>
        <v>-278</v>
      </c>
      <c r="O90" s="61">
        <f t="shared" si="35"/>
        <v>-280</v>
      </c>
      <c r="P90" s="61">
        <f t="shared" si="35"/>
        <v>-290</v>
      </c>
      <c r="Q90" s="61">
        <f t="shared" si="35"/>
        <v>-270</v>
      </c>
      <c r="R90" s="61">
        <f t="shared" si="35"/>
        <v>-279</v>
      </c>
      <c r="S90" s="61">
        <f t="shared" si="35"/>
        <v>-270</v>
      </c>
      <c r="T90" s="61">
        <f t="shared" si="35"/>
        <v>-173</v>
      </c>
      <c r="U90" s="61">
        <f t="shared" si="35"/>
        <v>-209</v>
      </c>
      <c r="V90" s="61">
        <f t="shared" si="35"/>
        <v>-259</v>
      </c>
      <c r="W90" s="61">
        <f t="shared" si="35"/>
        <v>-189</v>
      </c>
      <c r="X90" s="61">
        <f t="shared" si="35"/>
        <v>-111</v>
      </c>
      <c r="Y90" s="61">
        <f t="shared" si="35"/>
        <v>-134</v>
      </c>
      <c r="Z90" s="61">
        <f t="shared" si="35"/>
        <v>-166</v>
      </c>
      <c r="AA90" s="61">
        <f t="shared" si="35"/>
        <v>-174</v>
      </c>
      <c r="AB90" s="61">
        <f t="shared" si="35"/>
        <v>-195</v>
      </c>
      <c r="AC90" s="61">
        <f t="shared" si="35"/>
        <v>-191</v>
      </c>
      <c r="AD90" s="61">
        <f t="shared" si="35"/>
        <v>-200</v>
      </c>
      <c r="AE90" s="61">
        <f t="shared" si="35"/>
        <v>-237</v>
      </c>
      <c r="AF90" s="61">
        <f t="shared" si="35"/>
        <v>-245</v>
      </c>
      <c r="AG90" s="81"/>
      <c r="AH90" s="48">
        <f t="shared" si="14"/>
        <v>-111</v>
      </c>
      <c r="AI90" s="49">
        <f t="shared" si="15"/>
        <v>-290</v>
      </c>
    </row>
    <row r="91" spans="1:37" x14ac:dyDescent="0.25">
      <c r="A91" s="88" t="s">
        <v>96</v>
      </c>
      <c r="B91" s="89">
        <v>50.05</v>
      </c>
      <c r="C91" s="89">
        <v>49.99</v>
      </c>
      <c r="D91" s="89">
        <v>50.01</v>
      </c>
      <c r="E91" s="89">
        <v>50.02</v>
      </c>
      <c r="F91" s="89">
        <v>50.015999999999998</v>
      </c>
      <c r="G91" s="89">
        <v>49.957000000000001</v>
      </c>
      <c r="H91" s="89">
        <v>50.033999999999999</v>
      </c>
      <c r="I91" s="89">
        <v>50.033999999999999</v>
      </c>
      <c r="J91" s="89">
        <v>49.96</v>
      </c>
      <c r="K91" s="89">
        <v>49.887999999999998</v>
      </c>
      <c r="L91" s="89">
        <v>49.926000000000002</v>
      </c>
      <c r="M91" s="89">
        <v>50.03</v>
      </c>
      <c r="N91" s="89">
        <v>49.84</v>
      </c>
      <c r="O91" s="89">
        <v>49.85</v>
      </c>
      <c r="P91" s="89">
        <v>50.006999999999998</v>
      </c>
      <c r="Q91" s="89">
        <v>50.070999999999998</v>
      </c>
      <c r="R91" s="89">
        <v>50.030999999999999</v>
      </c>
      <c r="S91" s="89">
        <v>49.960999999999999</v>
      </c>
      <c r="T91" s="89">
        <v>50.000999999999998</v>
      </c>
      <c r="U91" s="89">
        <v>49.988999999999997</v>
      </c>
      <c r="V91" s="89">
        <v>50.027000000000001</v>
      </c>
      <c r="W91" s="89">
        <v>49.991999999999997</v>
      </c>
      <c r="X91" s="89">
        <v>50.002000000000002</v>
      </c>
      <c r="Y91" s="89"/>
      <c r="Z91" s="89">
        <v>50.033999999999999</v>
      </c>
      <c r="AA91" s="89">
        <v>49.963000000000001</v>
      </c>
      <c r="AB91" s="89">
        <v>49.99</v>
      </c>
      <c r="AC91" s="89">
        <v>49.96</v>
      </c>
      <c r="AD91" s="89">
        <v>50</v>
      </c>
      <c r="AE91" s="89">
        <v>50.03</v>
      </c>
      <c r="AF91" s="89">
        <v>50.01</v>
      </c>
      <c r="AG91" s="90"/>
      <c r="AH91" s="48">
        <f t="shared" si="14"/>
        <v>50.070999999999998</v>
      </c>
      <c r="AI91" s="49">
        <f t="shared" si="15"/>
        <v>49.84</v>
      </c>
    </row>
    <row r="92" spans="1:37" x14ac:dyDescent="0.25">
      <c r="A92" s="91" t="s">
        <v>97</v>
      </c>
      <c r="B92" s="65">
        <v>128.6</v>
      </c>
      <c r="C92" s="65">
        <v>129.19999999999999</v>
      </c>
      <c r="D92" s="65">
        <v>129.9</v>
      </c>
      <c r="E92" s="65">
        <v>130.5</v>
      </c>
      <c r="F92" s="65">
        <v>130.4</v>
      </c>
      <c r="G92" s="65">
        <v>130.4</v>
      </c>
      <c r="H92" s="65">
        <v>129.30000000000001</v>
      </c>
      <c r="I92" s="65">
        <v>128.30000000000001</v>
      </c>
      <c r="J92" s="65">
        <v>127.5</v>
      </c>
      <c r="K92" s="65">
        <v>126.7</v>
      </c>
      <c r="L92" s="65">
        <v>125.3</v>
      </c>
      <c r="M92" s="65">
        <v>126.1</v>
      </c>
      <c r="N92" s="65">
        <v>125.9</v>
      </c>
      <c r="O92" s="65">
        <v>126</v>
      </c>
      <c r="P92" s="65">
        <v>126.7</v>
      </c>
      <c r="Q92" s="65">
        <v>126.8</v>
      </c>
      <c r="R92" s="65">
        <v>127.4</v>
      </c>
      <c r="S92" s="65">
        <v>127.8</v>
      </c>
      <c r="T92" s="65">
        <v>128.5</v>
      </c>
      <c r="U92" s="65">
        <v>128.69999999999999</v>
      </c>
      <c r="V92" s="65">
        <v>126.9</v>
      </c>
      <c r="W92" s="65">
        <v>126.8</v>
      </c>
      <c r="X92" s="65">
        <v>126.6</v>
      </c>
      <c r="Y92" s="65"/>
      <c r="Z92" s="65">
        <v>126.1</v>
      </c>
      <c r="AA92" s="65">
        <v>126.6</v>
      </c>
      <c r="AB92" s="65">
        <v>128.30000000000001</v>
      </c>
      <c r="AC92" s="65">
        <v>128.1</v>
      </c>
      <c r="AD92" s="65">
        <v>128.6</v>
      </c>
      <c r="AE92" s="65">
        <v>129.80000000000001</v>
      </c>
      <c r="AF92" s="65">
        <v>129.19999999999999</v>
      </c>
      <c r="AG92" s="92"/>
      <c r="AH92" s="48">
        <f t="shared" si="14"/>
        <v>130.5</v>
      </c>
      <c r="AI92" s="49">
        <f t="shared" si="15"/>
        <v>125.3</v>
      </c>
    </row>
    <row r="93" spans="1:37" x14ac:dyDescent="0.25">
      <c r="A93" s="91" t="s">
        <v>98</v>
      </c>
      <c r="B93" s="65">
        <v>132.4</v>
      </c>
      <c r="C93" s="65">
        <v>132.80000000000001</v>
      </c>
      <c r="D93" s="65">
        <v>133.30000000000001</v>
      </c>
      <c r="E93" s="65">
        <v>133.80000000000001</v>
      </c>
      <c r="F93" s="65">
        <v>133.9</v>
      </c>
      <c r="G93" s="65">
        <v>133.9</v>
      </c>
      <c r="H93" s="65">
        <v>132.19999999999999</v>
      </c>
      <c r="I93" s="65">
        <v>131.5</v>
      </c>
      <c r="J93" s="65">
        <v>130.69999999999999</v>
      </c>
      <c r="K93" s="65">
        <v>130</v>
      </c>
      <c r="L93" s="65">
        <v>128.9</v>
      </c>
      <c r="M93" s="65">
        <v>1295</v>
      </c>
      <c r="N93" s="65">
        <v>129.19999999999999</v>
      </c>
      <c r="O93" s="65">
        <v>129.19999999999999</v>
      </c>
      <c r="P93" s="65">
        <v>129.80000000000001</v>
      </c>
      <c r="Q93" s="65">
        <v>129.69999999999999</v>
      </c>
      <c r="R93" s="65">
        <v>130.4</v>
      </c>
      <c r="S93" s="65">
        <v>130.69999999999999</v>
      </c>
      <c r="T93" s="65">
        <v>131.19999999999999</v>
      </c>
      <c r="U93" s="65">
        <v>131.4</v>
      </c>
      <c r="V93" s="65">
        <v>130.19999999999999</v>
      </c>
      <c r="W93" s="65">
        <v>130</v>
      </c>
      <c r="X93" s="65">
        <v>129</v>
      </c>
      <c r="Y93" s="65"/>
      <c r="Z93" s="65">
        <v>129</v>
      </c>
      <c r="AA93" s="65">
        <v>129.6</v>
      </c>
      <c r="AB93" s="65">
        <v>131</v>
      </c>
      <c r="AC93" s="65">
        <v>131.1</v>
      </c>
      <c r="AD93" s="65">
        <v>131.69999999999999</v>
      </c>
      <c r="AE93" s="65">
        <v>132.9</v>
      </c>
      <c r="AF93" s="65">
        <v>132.69999999999999</v>
      </c>
      <c r="AG93" s="92"/>
      <c r="AH93" s="48">
        <f t="shared" si="14"/>
        <v>1295</v>
      </c>
      <c r="AI93" s="49">
        <f t="shared" si="15"/>
        <v>128.9</v>
      </c>
    </row>
    <row r="94" spans="1:37" x14ac:dyDescent="0.25">
      <c r="A94" s="91" t="s">
        <v>99</v>
      </c>
      <c r="B94" s="65">
        <v>134.4</v>
      </c>
      <c r="C94" s="65">
        <v>135</v>
      </c>
      <c r="D94" s="65">
        <v>135.9</v>
      </c>
      <c r="E94" s="65">
        <v>132.19999999999999</v>
      </c>
      <c r="F94" s="65">
        <v>131.6</v>
      </c>
      <c r="G94" s="65">
        <v>131.6</v>
      </c>
      <c r="H94" s="65">
        <v>131.19999999999999</v>
      </c>
      <c r="I94" s="65">
        <v>130</v>
      </c>
      <c r="J94" s="65">
        <v>1291</v>
      </c>
      <c r="K94" s="65">
        <v>127.9</v>
      </c>
      <c r="L94" s="65">
        <v>128.80000000000001</v>
      </c>
      <c r="M94" s="65">
        <v>130.69999999999999</v>
      </c>
      <c r="N94" s="65">
        <v>128.30000000000001</v>
      </c>
      <c r="O94" s="65">
        <v>128.30000000000001</v>
      </c>
      <c r="P94" s="65">
        <v>129.4</v>
      </c>
      <c r="Q94" s="65">
        <v>130.80000000000001</v>
      </c>
      <c r="R94" s="65">
        <v>130.6</v>
      </c>
      <c r="S94" s="65">
        <v>130.4</v>
      </c>
      <c r="T94" s="65">
        <v>131.19999999999999</v>
      </c>
      <c r="U94" s="65">
        <v>128.30000000000001</v>
      </c>
      <c r="V94" s="65">
        <v>127.9</v>
      </c>
      <c r="W94" s="65">
        <v>129</v>
      </c>
      <c r="X94" s="65">
        <v>129.80000000000001</v>
      </c>
      <c r="Y94" s="65"/>
      <c r="Z94" s="65">
        <v>131.5</v>
      </c>
      <c r="AA94" s="65">
        <v>132</v>
      </c>
      <c r="AB94" s="65">
        <v>131.9</v>
      </c>
      <c r="AC94" s="65">
        <v>132.1</v>
      </c>
      <c r="AD94" s="65">
        <v>131.9</v>
      </c>
      <c r="AE94" s="65">
        <v>132.6</v>
      </c>
      <c r="AF94" s="65">
        <v>133</v>
      </c>
      <c r="AG94" s="92"/>
      <c r="AH94" s="48">
        <f t="shared" si="14"/>
        <v>1291</v>
      </c>
      <c r="AI94" s="49">
        <f t="shared" si="15"/>
        <v>127.9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14"/>
        <v>0</v>
      </c>
      <c r="AI95" s="49">
        <f t="shared" si="15"/>
        <v>0</v>
      </c>
    </row>
    <row r="96" spans="1:37" x14ac:dyDescent="0.25">
      <c r="A96" s="93" t="s">
        <v>101</v>
      </c>
      <c r="B96" s="94">
        <v>133.5</v>
      </c>
      <c r="C96" s="94">
        <v>134.4</v>
      </c>
      <c r="D96" s="94">
        <v>135.5</v>
      </c>
      <c r="E96" s="94">
        <v>135.5</v>
      </c>
      <c r="F96" s="94">
        <v>135.80000000000001</v>
      </c>
      <c r="G96" s="94">
        <v>135.80000000000001</v>
      </c>
      <c r="H96" s="94">
        <v>133.1</v>
      </c>
      <c r="I96" s="94">
        <v>132.80000000000001</v>
      </c>
      <c r="J96" s="94">
        <v>133</v>
      </c>
      <c r="K96" s="94">
        <v>132.9</v>
      </c>
      <c r="L96" s="94">
        <v>132.1</v>
      </c>
      <c r="M96" s="94">
        <v>135.5</v>
      </c>
      <c r="N96" s="94">
        <v>134.1</v>
      </c>
      <c r="O96" s="94">
        <v>134.1</v>
      </c>
      <c r="P96" s="94">
        <v>133.6</v>
      </c>
      <c r="Q96" s="94">
        <v>133.69999999999999</v>
      </c>
      <c r="R96" s="94">
        <v>134.5</v>
      </c>
      <c r="S96" s="94">
        <v>133.30000000000001</v>
      </c>
      <c r="T96" s="94">
        <v>133.6</v>
      </c>
      <c r="U96" s="94">
        <v>134.5</v>
      </c>
      <c r="V96" s="94">
        <v>133.1</v>
      </c>
      <c r="W96" s="94">
        <v>132.69999999999999</v>
      </c>
      <c r="X96" s="94">
        <v>134.6</v>
      </c>
      <c r="Y96" s="94"/>
      <c r="Z96" s="94">
        <v>133.9</v>
      </c>
      <c r="AA96" s="94">
        <v>135.69999999999999</v>
      </c>
      <c r="AB96" s="94">
        <v>135.80000000000001</v>
      </c>
      <c r="AC96" s="94">
        <v>133.69999999999999</v>
      </c>
      <c r="AD96" s="94">
        <v>135.30000000000001</v>
      </c>
      <c r="AE96" s="94">
        <v>135.80000000000001</v>
      </c>
      <c r="AF96" s="94">
        <v>133.19999999999999</v>
      </c>
      <c r="AG96" s="95"/>
      <c r="AH96" s="48">
        <f t="shared" si="14"/>
        <v>135.80000000000001</v>
      </c>
      <c r="AI96" s="49">
        <f t="shared" si="15"/>
        <v>132.1</v>
      </c>
    </row>
    <row r="97" spans="1:37" x14ac:dyDescent="0.25">
      <c r="A97" s="91" t="s">
        <v>102</v>
      </c>
      <c r="B97" s="65">
        <v>133.80000000000001</v>
      </c>
      <c r="C97" s="65">
        <v>134.6</v>
      </c>
      <c r="D97" s="65">
        <v>135.4</v>
      </c>
      <c r="E97" s="65">
        <v>134.9</v>
      </c>
      <c r="F97" s="65">
        <v>134.30000000000001</v>
      </c>
      <c r="G97" s="65">
        <v>134.30000000000001</v>
      </c>
      <c r="H97" s="65">
        <v>130.9</v>
      </c>
      <c r="I97" s="65">
        <v>130.4</v>
      </c>
      <c r="J97" s="65">
        <v>128.9</v>
      </c>
      <c r="K97" s="65">
        <v>129.19999999999999</v>
      </c>
      <c r="L97" s="65">
        <v>128</v>
      </c>
      <c r="M97" s="65">
        <v>134.5</v>
      </c>
      <c r="N97" s="65">
        <v>132.1</v>
      </c>
      <c r="O97" s="65">
        <v>132.1</v>
      </c>
      <c r="P97" s="65">
        <v>132.1</v>
      </c>
      <c r="Q97" s="65">
        <v>132.30000000000001</v>
      </c>
      <c r="R97" s="65">
        <v>134.5</v>
      </c>
      <c r="S97" s="65">
        <v>133.69999999999999</v>
      </c>
      <c r="T97" s="65">
        <v>133.1</v>
      </c>
      <c r="U97" s="65">
        <v>133.69999999999999</v>
      </c>
      <c r="V97" s="65">
        <v>132.30000000000001</v>
      </c>
      <c r="W97" s="65">
        <v>131.4</v>
      </c>
      <c r="X97" s="65">
        <v>132.30000000000001</v>
      </c>
      <c r="Y97" s="65"/>
      <c r="Z97" s="65">
        <v>130.69999999999999</v>
      </c>
      <c r="AA97" s="65">
        <v>133</v>
      </c>
      <c r="AB97" s="65">
        <v>134</v>
      </c>
      <c r="AC97" s="65">
        <v>133.4</v>
      </c>
      <c r="AD97" s="65">
        <v>133.69999999999999</v>
      </c>
      <c r="AE97" s="65">
        <v>135</v>
      </c>
      <c r="AF97" s="65">
        <v>131.80000000000001</v>
      </c>
      <c r="AG97" s="92"/>
      <c r="AH97" s="48">
        <f t="shared" si="14"/>
        <v>135.4</v>
      </c>
      <c r="AI97" s="49">
        <f t="shared" si="15"/>
        <v>128</v>
      </c>
    </row>
    <row r="98" spans="1:37" ht="15.75" thickBot="1" x14ac:dyDescent="0.3">
      <c r="A98" s="91" t="s">
        <v>103</v>
      </c>
      <c r="B98" s="96">
        <v>66.8</v>
      </c>
      <c r="C98" s="96">
        <v>66.8</v>
      </c>
      <c r="D98" s="96">
        <v>67</v>
      </c>
      <c r="E98" s="96">
        <v>67.5</v>
      </c>
      <c r="F98" s="96">
        <v>67.5</v>
      </c>
      <c r="G98" s="96">
        <v>67.5</v>
      </c>
      <c r="H98" s="96">
        <v>66.099999999999994</v>
      </c>
      <c r="I98" s="96">
        <v>66.099999999999994</v>
      </c>
      <c r="J98" s="96">
        <v>65.8</v>
      </c>
      <c r="K98" s="96">
        <v>65.599999999999994</v>
      </c>
      <c r="L98" s="96">
        <v>64.900000000000006</v>
      </c>
      <c r="M98" s="96">
        <v>65.3</v>
      </c>
      <c r="N98" s="96">
        <v>64.900000000000006</v>
      </c>
      <c r="O98" s="96">
        <v>64.900000000000006</v>
      </c>
      <c r="P98" s="96">
        <v>65.3</v>
      </c>
      <c r="Q98" s="96">
        <v>65.599999999999994</v>
      </c>
      <c r="R98" s="96">
        <v>66</v>
      </c>
      <c r="S98" s="96">
        <v>66</v>
      </c>
      <c r="T98" s="96">
        <v>66.3</v>
      </c>
      <c r="U98" s="96">
        <v>66.3</v>
      </c>
      <c r="V98" s="96">
        <v>65.7</v>
      </c>
      <c r="W98" s="96">
        <v>65.5</v>
      </c>
      <c r="X98" s="96">
        <v>65.099999999999994</v>
      </c>
      <c r="Y98" s="96"/>
      <c r="Z98" s="96">
        <v>65.099999999999994</v>
      </c>
      <c r="AA98" s="96">
        <v>65.5</v>
      </c>
      <c r="AB98" s="96">
        <v>66.2</v>
      </c>
      <c r="AC98" s="96">
        <v>66.3</v>
      </c>
      <c r="AD98" s="96">
        <v>66.099999999999994</v>
      </c>
      <c r="AE98" s="96">
        <v>66.900000000000006</v>
      </c>
      <c r="AF98" s="96">
        <v>66.8</v>
      </c>
      <c r="AG98" s="97"/>
      <c r="AH98" s="48">
        <f t="shared" si="14"/>
        <v>67.5</v>
      </c>
      <c r="AI98" s="49">
        <f t="shared" si="15"/>
        <v>64.900000000000006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14"/>
        <v>0</v>
      </c>
      <c r="AI99" s="49">
        <f t="shared" si="15"/>
        <v>0</v>
      </c>
    </row>
    <row r="100" spans="1:37" ht="15.75" thickBot="1" x14ac:dyDescent="0.3">
      <c r="A100" s="99" t="s">
        <v>104</v>
      </c>
      <c r="B100" s="100">
        <f t="shared" ref="B100" si="36">SUM(B15,B20,B22:B23,B48,B50:B51,B53,B55,B101:B105,B127,B133,B139,B148,B150,B162,B169,B172:B173,B180,B182,B184,B188:B190,B192:B194,B199,B205:B206,B208:B210,B218,B223)</f>
        <v>66.100000000000023</v>
      </c>
      <c r="C100" s="100">
        <f t="shared" ref="C100:AF100" si="37">SUM(C15,C20,C22:C23,C48,C50:C51,C53,C55,C101:C105,C127,C133,C139,C148,C150,C162,C169,C172:C173,C180,C182,C184,C188:C190,C192:C194,C199,C205:C206,C208:C210,C218,C223)</f>
        <v>50.239999999999995</v>
      </c>
      <c r="D100" s="100">
        <f t="shared" si="37"/>
        <v>53.140000000000008</v>
      </c>
      <c r="E100" s="100">
        <f t="shared" si="37"/>
        <v>51.739999999999988</v>
      </c>
      <c r="F100" s="100">
        <f t="shared" si="37"/>
        <v>57.24</v>
      </c>
      <c r="G100" s="100">
        <f t="shared" si="37"/>
        <v>58.839999999999996</v>
      </c>
      <c r="H100" s="100">
        <f t="shared" si="37"/>
        <v>82.339999999999989</v>
      </c>
      <c r="I100" s="100">
        <f t="shared" si="37"/>
        <v>86.640000000000029</v>
      </c>
      <c r="J100" s="100">
        <f t="shared" si="37"/>
        <v>105.13999999999997</v>
      </c>
      <c r="K100" s="100">
        <f t="shared" si="37"/>
        <v>109.63999999999999</v>
      </c>
      <c r="L100" s="100">
        <f t="shared" si="37"/>
        <v>129.23999999999998</v>
      </c>
      <c r="M100" s="100">
        <f t="shared" si="37"/>
        <v>137.53999999999996</v>
      </c>
      <c r="N100" s="100">
        <f t="shared" si="37"/>
        <v>147.64000000000001</v>
      </c>
      <c r="O100" s="100">
        <f t="shared" si="37"/>
        <v>135.54</v>
      </c>
      <c r="P100" s="100">
        <f t="shared" si="37"/>
        <v>119.74000000000001</v>
      </c>
      <c r="Q100" s="100">
        <f t="shared" si="37"/>
        <v>116.40000000000002</v>
      </c>
      <c r="R100" s="100">
        <f t="shared" si="37"/>
        <v>109.4</v>
      </c>
      <c r="S100" s="100">
        <f t="shared" si="37"/>
        <v>116.90000000000002</v>
      </c>
      <c r="T100" s="100">
        <f t="shared" si="37"/>
        <v>120</v>
      </c>
      <c r="U100" s="100">
        <f t="shared" si="37"/>
        <v>127.3</v>
      </c>
      <c r="V100" s="100">
        <f t="shared" si="37"/>
        <v>146.59999999999997</v>
      </c>
      <c r="W100" s="100">
        <f t="shared" si="37"/>
        <v>169.79999999999998</v>
      </c>
      <c r="X100" s="100">
        <f t="shared" si="37"/>
        <v>226.99999999999997</v>
      </c>
      <c r="Y100" s="100">
        <f t="shared" si="37"/>
        <v>182.7</v>
      </c>
      <c r="Z100" s="100">
        <f t="shared" si="37"/>
        <v>197.79999999999998</v>
      </c>
      <c r="AA100" s="100">
        <f t="shared" si="37"/>
        <v>171.49999999999997</v>
      </c>
      <c r="AB100" s="100">
        <f t="shared" si="37"/>
        <v>143.20000000000002</v>
      </c>
      <c r="AC100" s="100">
        <f t="shared" si="37"/>
        <v>139.1</v>
      </c>
      <c r="AD100" s="100">
        <f t="shared" si="37"/>
        <v>115.39999999999999</v>
      </c>
      <c r="AE100" s="100">
        <f t="shared" si="37"/>
        <v>75.000000000000014</v>
      </c>
      <c r="AF100" s="100">
        <f t="shared" si="37"/>
        <v>55.500000000000014</v>
      </c>
      <c r="AG100" s="101"/>
      <c r="AH100" s="48">
        <f t="shared" si="14"/>
        <v>226.99999999999997</v>
      </c>
      <c r="AI100" s="49">
        <f t="shared" si="15"/>
        <v>50.239999999999995</v>
      </c>
    </row>
    <row r="101" spans="1:37" x14ac:dyDescent="0.25">
      <c r="A101" s="88" t="s">
        <v>105</v>
      </c>
      <c r="B101" s="102">
        <v>39.5</v>
      </c>
      <c r="C101" s="102">
        <v>39</v>
      </c>
      <c r="D101" s="102">
        <v>39.4</v>
      </c>
      <c r="E101" s="102">
        <v>34.6</v>
      </c>
      <c r="F101" s="102">
        <v>36</v>
      </c>
      <c r="G101" s="102">
        <v>35</v>
      </c>
      <c r="H101" s="102">
        <v>37.4</v>
      </c>
      <c r="I101" s="102">
        <v>39.200000000000003</v>
      </c>
      <c r="J101" s="102">
        <v>45.8</v>
      </c>
      <c r="K101" s="102">
        <v>49.8</v>
      </c>
      <c r="L101" s="102">
        <v>54.9</v>
      </c>
      <c r="M101" s="102">
        <v>51.7</v>
      </c>
      <c r="N101" s="102">
        <v>48.9</v>
      </c>
      <c r="O101" s="102">
        <v>47.2</v>
      </c>
      <c r="P101" s="102">
        <v>43</v>
      </c>
      <c r="Q101" s="102">
        <v>42.4</v>
      </c>
      <c r="R101" s="102">
        <v>46</v>
      </c>
      <c r="S101" s="102">
        <v>46.1</v>
      </c>
      <c r="T101" s="102">
        <v>21.9</v>
      </c>
      <c r="U101" s="102">
        <v>24.7</v>
      </c>
      <c r="V101" s="102">
        <v>46.7</v>
      </c>
      <c r="W101" s="102">
        <v>50.6</v>
      </c>
      <c r="X101" s="102">
        <v>56.7</v>
      </c>
      <c r="Y101" s="102"/>
      <c r="Z101" s="102">
        <v>59.1</v>
      </c>
      <c r="AA101" s="102">
        <v>55.1</v>
      </c>
      <c r="AB101" s="102">
        <v>46.9</v>
      </c>
      <c r="AC101" s="102">
        <v>45.2</v>
      </c>
      <c r="AD101" s="102">
        <v>37.299999999999997</v>
      </c>
      <c r="AE101" s="102">
        <v>29.3</v>
      </c>
      <c r="AF101" s="102">
        <v>26.8</v>
      </c>
      <c r="AG101" s="103">
        <v>75</v>
      </c>
      <c r="AH101" s="48">
        <f t="shared" si="14"/>
        <v>59.1</v>
      </c>
      <c r="AI101" s="49">
        <f t="shared" si="15"/>
        <v>21.9</v>
      </c>
    </row>
    <row r="102" spans="1:37" x14ac:dyDescent="0.25">
      <c r="A102" s="91" t="s">
        <v>106</v>
      </c>
      <c r="B102" s="104">
        <v>58.5</v>
      </c>
      <c r="C102" s="104">
        <v>58.1</v>
      </c>
      <c r="D102" s="104">
        <v>58.9</v>
      </c>
      <c r="E102" s="104">
        <v>52.8</v>
      </c>
      <c r="F102" s="104">
        <v>53.6</v>
      </c>
      <c r="G102" s="104">
        <v>52.7</v>
      </c>
      <c r="H102" s="104">
        <v>56.5</v>
      </c>
      <c r="I102" s="104">
        <v>58.9</v>
      </c>
      <c r="J102" s="104">
        <v>66.7</v>
      </c>
      <c r="K102" s="104">
        <v>71.400000000000006</v>
      </c>
      <c r="L102" s="104">
        <v>78.7</v>
      </c>
      <c r="M102" s="104">
        <v>73.5</v>
      </c>
      <c r="N102" s="104">
        <v>69.5</v>
      </c>
      <c r="O102" s="104">
        <v>69.5</v>
      </c>
      <c r="P102" s="104">
        <v>62.9</v>
      </c>
      <c r="Q102" s="104">
        <v>62</v>
      </c>
      <c r="R102" s="104">
        <v>67</v>
      </c>
      <c r="S102" s="104">
        <v>69</v>
      </c>
      <c r="T102" s="104">
        <v>29.2</v>
      </c>
      <c r="U102" s="104">
        <v>33.4</v>
      </c>
      <c r="V102" s="104">
        <v>67.7</v>
      </c>
      <c r="W102" s="104">
        <v>73.7</v>
      </c>
      <c r="X102" s="104">
        <v>74</v>
      </c>
      <c r="Y102" s="104"/>
      <c r="Z102" s="104">
        <v>85.6</v>
      </c>
      <c r="AA102" s="104">
        <v>78.5</v>
      </c>
      <c r="AB102" s="104">
        <v>67.7</v>
      </c>
      <c r="AC102" s="104">
        <v>66.3</v>
      </c>
      <c r="AD102" s="104">
        <v>54.4</v>
      </c>
      <c r="AE102" s="104">
        <v>44.7</v>
      </c>
      <c r="AF102" s="104">
        <v>41.9</v>
      </c>
      <c r="AG102" s="103">
        <v>240</v>
      </c>
      <c r="AH102" s="48">
        <f t="shared" si="14"/>
        <v>85.6</v>
      </c>
      <c r="AI102" s="49">
        <f t="shared" si="15"/>
        <v>29.2</v>
      </c>
    </row>
    <row r="103" spans="1:37" x14ac:dyDescent="0.25">
      <c r="A103" s="91" t="s">
        <v>107</v>
      </c>
      <c r="B103" s="104">
        <f>-68.1-72</f>
        <v>-140.1</v>
      </c>
      <c r="C103" s="104">
        <f>-70.2-74.2</f>
        <v>-144.4</v>
      </c>
      <c r="D103" s="104">
        <f>-69.8-73.5</f>
        <v>-143.30000000000001</v>
      </c>
      <c r="E103" s="104">
        <v>-131</v>
      </c>
      <c r="F103" s="104">
        <v>-127.5</v>
      </c>
      <c r="G103" s="104">
        <v>-124</v>
      </c>
      <c r="H103" s="104">
        <v>-109</v>
      </c>
      <c r="I103" s="104">
        <v>-122</v>
      </c>
      <c r="J103" s="104">
        <v>-121</v>
      </c>
      <c r="K103" s="104">
        <v>-127</v>
      </c>
      <c r="L103" s="104">
        <v>-132</v>
      </c>
      <c r="M103" s="104">
        <f>-66-69</f>
        <v>-135</v>
      </c>
      <c r="N103" s="104">
        <f>-62-67</f>
        <v>-129</v>
      </c>
      <c r="O103" s="104">
        <v>-128</v>
      </c>
      <c r="P103" s="104">
        <f>-66-69.3</f>
        <v>-135.30000000000001</v>
      </c>
      <c r="Q103" s="104">
        <v>-135</v>
      </c>
      <c r="R103" s="104">
        <v>-140</v>
      </c>
      <c r="S103" s="104">
        <f>-62-66.5</f>
        <v>-128.5</v>
      </c>
      <c r="T103" s="104">
        <f>-31-34</f>
        <v>-65</v>
      </c>
      <c r="U103" s="104">
        <f>-41.4-44.2</f>
        <v>-85.6</v>
      </c>
      <c r="V103" s="104">
        <f>-60-65.2</f>
        <v>-125.2</v>
      </c>
      <c r="W103" s="104">
        <f>-57-61</f>
        <v>-118</v>
      </c>
      <c r="X103" s="104">
        <v>-100</v>
      </c>
      <c r="Y103" s="104"/>
      <c r="Z103" s="104">
        <f>-58-63</f>
        <v>-121</v>
      </c>
      <c r="AA103" s="104">
        <f>-60.2-64.5</f>
        <v>-124.7</v>
      </c>
      <c r="AB103" s="104">
        <f>-64-63</f>
        <v>-127</v>
      </c>
      <c r="AC103" s="104">
        <f>-59.3-63.8</f>
        <v>-123.1</v>
      </c>
      <c r="AD103" s="104">
        <f>-60.7-65.4</f>
        <v>-126.10000000000001</v>
      </c>
      <c r="AE103" s="104">
        <f>-61.6-66.2</f>
        <v>-127.80000000000001</v>
      </c>
      <c r="AF103" s="104">
        <f>-67-73</f>
        <v>-140</v>
      </c>
      <c r="AG103" s="103">
        <v>240</v>
      </c>
      <c r="AH103" s="48">
        <f t="shared" si="14"/>
        <v>-65</v>
      </c>
      <c r="AI103" s="49">
        <f t="shared" si="15"/>
        <v>-144.4</v>
      </c>
    </row>
    <row r="104" spans="1:37" x14ac:dyDescent="0.25">
      <c r="A104" s="91" t="s">
        <v>108</v>
      </c>
      <c r="B104" s="104">
        <v>-5.6</v>
      </c>
      <c r="C104" s="104">
        <v>-7.2</v>
      </c>
      <c r="D104" s="104">
        <v>-6.6</v>
      </c>
      <c r="E104" s="104">
        <v>-3.9</v>
      </c>
      <c r="F104" s="104">
        <v>-3.6</v>
      </c>
      <c r="G104" s="104">
        <v>-3.6</v>
      </c>
      <c r="H104" s="104">
        <v>-1.3</v>
      </c>
      <c r="I104" s="104">
        <v>-4.3</v>
      </c>
      <c r="J104" s="104">
        <v>-1.2</v>
      </c>
      <c r="K104" s="104">
        <v>1.6</v>
      </c>
      <c r="L104" s="104">
        <v>2.9</v>
      </c>
      <c r="M104" s="104">
        <v>2.2000000000000002</v>
      </c>
      <c r="N104" s="104">
        <v>4.0999999999999996</v>
      </c>
      <c r="O104" s="104">
        <v>4.0999999999999996</v>
      </c>
      <c r="P104" s="104">
        <v>4.4000000000000004</v>
      </c>
      <c r="Q104" s="104">
        <v>3.2</v>
      </c>
      <c r="R104" s="104">
        <v>2.6</v>
      </c>
      <c r="S104" s="104">
        <v>5.3</v>
      </c>
      <c r="T104" s="104">
        <v>11.1</v>
      </c>
      <c r="U104" s="104">
        <v>9.8000000000000007</v>
      </c>
      <c r="V104" s="104">
        <v>5.7</v>
      </c>
      <c r="W104" s="104">
        <v>8.1</v>
      </c>
      <c r="X104" s="104">
        <v>13.6</v>
      </c>
      <c r="Y104" s="104"/>
      <c r="Z104" s="104">
        <v>11.4</v>
      </c>
      <c r="AA104" s="104">
        <v>9.9</v>
      </c>
      <c r="AB104" s="104">
        <v>6.9</v>
      </c>
      <c r="AC104" s="104">
        <v>2</v>
      </c>
      <c r="AD104" s="104">
        <v>1.1000000000000001</v>
      </c>
      <c r="AE104" s="104">
        <v>-1.8</v>
      </c>
      <c r="AF104" s="104">
        <v>-3.8</v>
      </c>
      <c r="AG104" s="103">
        <v>60</v>
      </c>
      <c r="AH104" s="48">
        <f t="shared" si="14"/>
        <v>13.6</v>
      </c>
      <c r="AI104" s="49">
        <f t="shared" si="15"/>
        <v>-7.2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4">
        <v>0</v>
      </c>
      <c r="Y105" s="106"/>
      <c r="Z105" s="106">
        <v>0</v>
      </c>
      <c r="AA105" s="106">
        <v>0</v>
      </c>
      <c r="AB105" s="106">
        <v>0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14"/>
        <v>0</v>
      </c>
      <c r="AI105" s="49">
        <f t="shared" si="15"/>
        <v>0</v>
      </c>
    </row>
    <row r="106" spans="1:37" x14ac:dyDescent="0.25">
      <c r="A106" s="105" t="s">
        <v>110</v>
      </c>
      <c r="B106" s="106">
        <v>-48.6</v>
      </c>
      <c r="C106" s="106">
        <v>-51.1</v>
      </c>
      <c r="D106" s="106">
        <v>-54.8</v>
      </c>
      <c r="E106" s="106">
        <v>-49.2</v>
      </c>
      <c r="F106" s="106">
        <v>-48.8</v>
      </c>
      <c r="G106" s="106">
        <v>-45.2</v>
      </c>
      <c r="H106" s="106">
        <v>-42</v>
      </c>
      <c r="I106" s="106">
        <v>-43.1</v>
      </c>
      <c r="J106" s="106">
        <v>-49.2</v>
      </c>
      <c r="K106" s="106">
        <v>-58.5</v>
      </c>
      <c r="L106" s="106">
        <v>-58.1</v>
      </c>
      <c r="M106" s="106">
        <v>-58.4</v>
      </c>
      <c r="N106" s="106">
        <v>-62.2</v>
      </c>
      <c r="O106" s="106">
        <v>-62.2</v>
      </c>
      <c r="P106" s="106">
        <v>60.8</v>
      </c>
      <c r="Q106" s="106">
        <v>-60</v>
      </c>
      <c r="R106" s="106">
        <v>-64</v>
      </c>
      <c r="S106" s="106">
        <v>-58.8</v>
      </c>
      <c r="T106" s="106">
        <v>-7</v>
      </c>
      <c r="U106" s="106">
        <v>-24.2</v>
      </c>
      <c r="V106" s="106">
        <v>-53.5</v>
      </c>
      <c r="W106" s="106">
        <v>-46</v>
      </c>
      <c r="X106" s="106">
        <v>-30</v>
      </c>
      <c r="Y106" s="106"/>
      <c r="Z106" s="106">
        <v>-49</v>
      </c>
      <c r="AA106" s="106">
        <v>-50</v>
      </c>
      <c r="AB106" s="106">
        <v>48.1</v>
      </c>
      <c r="AC106" s="106">
        <v>-45.1</v>
      </c>
      <c r="AD106" s="106">
        <v>45.1</v>
      </c>
      <c r="AE106" s="106">
        <v>-46.2</v>
      </c>
      <c r="AF106" s="106">
        <v>0</v>
      </c>
      <c r="AG106" s="107"/>
      <c r="AH106" s="48">
        <f t="shared" si="14"/>
        <v>60.8</v>
      </c>
      <c r="AI106" s="49">
        <f t="shared" si="15"/>
        <v>-64</v>
      </c>
    </row>
    <row r="107" spans="1:37" x14ac:dyDescent="0.25">
      <c r="A107" s="105" t="s">
        <v>111</v>
      </c>
      <c r="B107" s="106">
        <v>-58.1</v>
      </c>
      <c r="C107" s="106">
        <v>-56.6</v>
      </c>
      <c r="D107" s="106">
        <v>-61</v>
      </c>
      <c r="E107" s="106">
        <v>-42.9</v>
      </c>
      <c r="F107" s="106">
        <v>-53.6</v>
      </c>
      <c r="G107" s="106">
        <v>-41</v>
      </c>
      <c r="H107" s="106">
        <v>-32</v>
      </c>
      <c r="I107" s="106">
        <v>-38.700000000000003</v>
      </c>
      <c r="J107" s="106">
        <v>-36.200000000000003</v>
      </c>
      <c r="K107" s="106">
        <v>-51.9</v>
      </c>
      <c r="L107" s="106">
        <v>-68.099999999999994</v>
      </c>
      <c r="M107" s="106">
        <v>-64.2</v>
      </c>
      <c r="N107" s="106">
        <v>-71.900000000000006</v>
      </c>
      <c r="O107" s="106">
        <v>-74</v>
      </c>
      <c r="P107" s="106">
        <v>-50</v>
      </c>
      <c r="Q107" s="106">
        <v>-52</v>
      </c>
      <c r="R107" s="106">
        <v>-50</v>
      </c>
      <c r="S107" s="106">
        <v>-50.7</v>
      </c>
      <c r="T107" s="106">
        <v>-21</v>
      </c>
      <c r="U107" s="106">
        <v>-22.2</v>
      </c>
      <c r="V107" s="106">
        <v>-39</v>
      </c>
      <c r="W107" s="106">
        <v>-37</v>
      </c>
      <c r="X107" s="106">
        <v>-21.3</v>
      </c>
      <c r="Y107" s="106"/>
      <c r="Z107" s="106">
        <v>-59.3</v>
      </c>
      <c r="AA107" s="106">
        <v>-77.7</v>
      </c>
      <c r="AB107" s="106">
        <v>62.8</v>
      </c>
      <c r="AC107" s="106">
        <v>60.9</v>
      </c>
      <c r="AD107" s="106">
        <v>-31.4</v>
      </c>
      <c r="AE107" s="106">
        <v>48.8</v>
      </c>
      <c r="AF107" s="106">
        <v>-21.2</v>
      </c>
      <c r="AG107" s="108"/>
      <c r="AH107" s="48">
        <f t="shared" si="14"/>
        <v>62.8</v>
      </c>
      <c r="AI107" s="49">
        <f t="shared" si="15"/>
        <v>-77.7</v>
      </c>
    </row>
    <row r="108" spans="1:37" x14ac:dyDescent="0.25">
      <c r="A108" s="109" t="s">
        <v>112</v>
      </c>
      <c r="B108" s="94">
        <v>114.1</v>
      </c>
      <c r="C108" s="94">
        <v>117.9</v>
      </c>
      <c r="D108" s="94">
        <v>113.8</v>
      </c>
      <c r="E108" s="94">
        <v>117.2</v>
      </c>
      <c r="F108" s="94">
        <v>121.2</v>
      </c>
      <c r="G108" s="94">
        <v>123.6</v>
      </c>
      <c r="H108" s="94">
        <v>118</v>
      </c>
      <c r="I108" s="94">
        <v>113.7</v>
      </c>
      <c r="J108" s="94">
        <v>115.6</v>
      </c>
      <c r="K108" s="94">
        <v>115.5</v>
      </c>
      <c r="L108" s="94">
        <v>114.9</v>
      </c>
      <c r="M108" s="94">
        <v>111.4</v>
      </c>
      <c r="N108" s="94">
        <v>109.8</v>
      </c>
      <c r="O108" s="94">
        <v>111.6</v>
      </c>
      <c r="P108" s="94">
        <v>110.2</v>
      </c>
      <c r="Q108" s="94">
        <v>105</v>
      </c>
      <c r="R108" s="94">
        <v>105</v>
      </c>
      <c r="S108" s="94">
        <v>109.7</v>
      </c>
      <c r="T108" s="94">
        <v>110</v>
      </c>
      <c r="U108" s="94">
        <v>112.5</v>
      </c>
      <c r="V108" s="94">
        <v>104.1</v>
      </c>
      <c r="W108" s="94">
        <v>87.8</v>
      </c>
      <c r="X108" s="106">
        <v>16.899999999999999</v>
      </c>
      <c r="Y108" s="94"/>
      <c r="Z108" s="94">
        <v>87.2</v>
      </c>
      <c r="AA108" s="94">
        <v>89.4</v>
      </c>
      <c r="AB108" s="94">
        <v>98.3</v>
      </c>
      <c r="AC108" s="94">
        <v>99.7</v>
      </c>
      <c r="AD108" s="94">
        <v>102.8</v>
      </c>
      <c r="AE108" s="94">
        <v>7</v>
      </c>
      <c r="AF108" s="94">
        <v>112</v>
      </c>
      <c r="AG108" s="108"/>
      <c r="AH108" s="48">
        <f t="shared" si="14"/>
        <v>123.6</v>
      </c>
      <c r="AI108" s="49">
        <f t="shared" si="15"/>
        <v>7</v>
      </c>
    </row>
    <row r="109" spans="1:37" ht="15.75" thickBot="1" x14ac:dyDescent="0.3">
      <c r="A109" s="109" t="s">
        <v>113</v>
      </c>
      <c r="B109" s="94">
        <v>105.6</v>
      </c>
      <c r="C109" s="94">
        <v>107.1</v>
      </c>
      <c r="D109" s="94">
        <v>107.6</v>
      </c>
      <c r="E109" s="94">
        <v>98</v>
      </c>
      <c r="F109" s="94">
        <v>97.9</v>
      </c>
      <c r="G109" s="94">
        <v>92.8</v>
      </c>
      <c r="H109" s="94">
        <v>93</v>
      </c>
      <c r="I109" s="94">
        <v>92</v>
      </c>
      <c r="J109" s="94">
        <v>94.4</v>
      </c>
      <c r="K109" s="94">
        <v>102</v>
      </c>
      <c r="L109" s="94">
        <v>104</v>
      </c>
      <c r="M109" s="94">
        <v>104</v>
      </c>
      <c r="N109" s="94">
        <v>103.9</v>
      </c>
      <c r="O109" s="94">
        <v>104.5</v>
      </c>
      <c r="P109" s="94">
        <v>102.1</v>
      </c>
      <c r="Q109" s="94">
        <v>103</v>
      </c>
      <c r="R109" s="94">
        <v>103</v>
      </c>
      <c r="S109" s="94">
        <v>99.7</v>
      </c>
      <c r="T109" s="94">
        <v>82</v>
      </c>
      <c r="U109" s="94">
        <v>60.9</v>
      </c>
      <c r="V109" s="94">
        <v>94.5</v>
      </c>
      <c r="W109" s="94">
        <v>90.2</v>
      </c>
      <c r="X109" s="94">
        <v>92</v>
      </c>
      <c r="Y109" s="94"/>
      <c r="Z109" s="94">
        <v>98</v>
      </c>
      <c r="AA109" s="94">
        <v>99.3</v>
      </c>
      <c r="AB109" s="94">
        <v>93.1</v>
      </c>
      <c r="AC109" s="94">
        <v>91.7</v>
      </c>
      <c r="AD109" s="94">
        <v>95</v>
      </c>
      <c r="AE109" s="94">
        <v>88.4</v>
      </c>
      <c r="AF109" s="94">
        <v>99</v>
      </c>
      <c r="AG109" s="108"/>
      <c r="AH109" s="48">
        <f t="shared" si="14"/>
        <v>107.6</v>
      </c>
      <c r="AI109" s="49">
        <f t="shared" si="15"/>
        <v>60.9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38">SUM(B111:B215)</f>
        <v>0</v>
      </c>
      <c r="C216" s="125">
        <f t="shared" si="38"/>
        <v>0</v>
      </c>
      <c r="D216" s="125">
        <f t="shared" si="38"/>
        <v>0</v>
      </c>
      <c r="E216" s="125">
        <f t="shared" si="38"/>
        <v>0</v>
      </c>
      <c r="F216" s="125">
        <f t="shared" si="38"/>
        <v>0</v>
      </c>
      <c r="G216" s="125">
        <f t="shared" si="38"/>
        <v>0</v>
      </c>
      <c r="H216" s="125">
        <f t="shared" si="38"/>
        <v>0</v>
      </c>
      <c r="I216" s="125">
        <f t="shared" si="38"/>
        <v>0</v>
      </c>
      <c r="J216" s="125">
        <f t="shared" si="38"/>
        <v>0</v>
      </c>
      <c r="K216" s="125">
        <f t="shared" si="38"/>
        <v>0</v>
      </c>
      <c r="L216" s="125">
        <f t="shared" si="38"/>
        <v>0</v>
      </c>
      <c r="M216" s="125">
        <f t="shared" si="38"/>
        <v>0</v>
      </c>
      <c r="N216" s="125">
        <f t="shared" si="38"/>
        <v>0</v>
      </c>
      <c r="O216" s="125">
        <f t="shared" si="38"/>
        <v>0</v>
      </c>
      <c r="P216" s="125">
        <f t="shared" si="38"/>
        <v>0</v>
      </c>
      <c r="Q216" s="125">
        <f t="shared" si="38"/>
        <v>0</v>
      </c>
      <c r="R216" s="125">
        <f t="shared" si="38"/>
        <v>0</v>
      </c>
      <c r="S216" s="125">
        <f t="shared" si="38"/>
        <v>0</v>
      </c>
      <c r="T216" s="125">
        <f t="shared" si="38"/>
        <v>0</v>
      </c>
      <c r="U216" s="125">
        <f t="shared" si="38"/>
        <v>0</v>
      </c>
      <c r="V216" s="125">
        <f t="shared" si="38"/>
        <v>0</v>
      </c>
      <c r="W216" s="125">
        <f t="shared" si="38"/>
        <v>0</v>
      </c>
      <c r="X216" s="125">
        <f t="shared" si="38"/>
        <v>0</v>
      </c>
      <c r="Y216" s="125">
        <f t="shared" si="38"/>
        <v>0</v>
      </c>
      <c r="Z216" s="125">
        <f t="shared" si="38"/>
        <v>0</v>
      </c>
      <c r="AA216" s="125">
        <f t="shared" si="38"/>
        <v>0</v>
      </c>
      <c r="AB216" s="125">
        <f t="shared" si="38"/>
        <v>0</v>
      </c>
      <c r="AC216" s="125">
        <f t="shared" si="38"/>
        <v>0</v>
      </c>
      <c r="AD216" s="125">
        <f t="shared" si="38"/>
        <v>0</v>
      </c>
      <c r="AE216" s="125">
        <f t="shared" si="38"/>
        <v>0</v>
      </c>
      <c r="AF216" s="126">
        <f t="shared" si="38"/>
        <v>0</v>
      </c>
      <c r="AG216" s="127">
        <f t="shared" si="38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39">AF218</f>
        <v>0</v>
      </c>
      <c r="C218" s="129">
        <v>0.3</v>
      </c>
      <c r="D218" s="129">
        <f t="shared" ref="D218:P223" si="40">C218</f>
        <v>0.3</v>
      </c>
      <c r="E218" s="129">
        <f t="shared" si="40"/>
        <v>0.3</v>
      </c>
      <c r="F218" s="129">
        <f t="shared" si="40"/>
        <v>0.3</v>
      </c>
      <c r="G218" s="129">
        <f t="shared" si="40"/>
        <v>0.3</v>
      </c>
      <c r="H218" s="129">
        <f t="shared" si="40"/>
        <v>0.3</v>
      </c>
      <c r="I218" s="129">
        <f t="shared" si="40"/>
        <v>0.3</v>
      </c>
      <c r="J218" s="129">
        <f t="shared" si="40"/>
        <v>0.3</v>
      </c>
      <c r="K218" s="129">
        <f t="shared" si="40"/>
        <v>0.3</v>
      </c>
      <c r="L218" s="129">
        <f t="shared" si="40"/>
        <v>0.3</v>
      </c>
      <c r="M218" s="129">
        <f t="shared" si="40"/>
        <v>0.3</v>
      </c>
      <c r="N218" s="129">
        <f t="shared" si="40"/>
        <v>0.3</v>
      </c>
      <c r="O218" s="129">
        <f t="shared" si="40"/>
        <v>0.3</v>
      </c>
      <c r="P218" s="129">
        <f t="shared" si="40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39"/>
        <v>0</v>
      </c>
      <c r="C219" s="117">
        <v>0.4</v>
      </c>
      <c r="D219" s="117">
        <f t="shared" si="40"/>
        <v>0.4</v>
      </c>
      <c r="E219" s="117">
        <f t="shared" si="40"/>
        <v>0.4</v>
      </c>
      <c r="F219" s="117">
        <f t="shared" si="40"/>
        <v>0.4</v>
      </c>
      <c r="G219" s="117">
        <f t="shared" si="40"/>
        <v>0.4</v>
      </c>
      <c r="H219" s="117">
        <f t="shared" si="40"/>
        <v>0.4</v>
      </c>
      <c r="I219" s="117">
        <f t="shared" si="40"/>
        <v>0.4</v>
      </c>
      <c r="J219" s="117">
        <f t="shared" si="40"/>
        <v>0.4</v>
      </c>
      <c r="K219" s="117">
        <f t="shared" si="40"/>
        <v>0.4</v>
      </c>
      <c r="L219" s="117">
        <f t="shared" si="40"/>
        <v>0.4</v>
      </c>
      <c r="M219" s="117">
        <f t="shared" si="40"/>
        <v>0.4</v>
      </c>
      <c r="N219" s="117">
        <f t="shared" si="40"/>
        <v>0.4</v>
      </c>
      <c r="O219" s="117">
        <f t="shared" si="40"/>
        <v>0.4</v>
      </c>
      <c r="P219" s="117">
        <f t="shared" si="40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39"/>
        <v>0</v>
      </c>
      <c r="C220" s="117">
        <v>1.5</v>
      </c>
      <c r="D220" s="117">
        <f t="shared" si="40"/>
        <v>1.5</v>
      </c>
      <c r="E220" s="117">
        <f t="shared" si="40"/>
        <v>1.5</v>
      </c>
      <c r="F220" s="117">
        <f t="shared" si="40"/>
        <v>1.5</v>
      </c>
      <c r="G220" s="117">
        <f t="shared" si="40"/>
        <v>1.5</v>
      </c>
      <c r="H220" s="117">
        <f t="shared" si="40"/>
        <v>1.5</v>
      </c>
      <c r="I220" s="117">
        <f t="shared" si="40"/>
        <v>1.5</v>
      </c>
      <c r="J220" s="117">
        <f t="shared" si="40"/>
        <v>1.5</v>
      </c>
      <c r="K220" s="117">
        <f t="shared" si="40"/>
        <v>1.5</v>
      </c>
      <c r="L220" s="117">
        <f t="shared" si="40"/>
        <v>1.5</v>
      </c>
      <c r="M220" s="117">
        <f t="shared" si="40"/>
        <v>1.5</v>
      </c>
      <c r="N220" s="117">
        <f t="shared" si="40"/>
        <v>1.5</v>
      </c>
      <c r="O220" s="117">
        <f t="shared" si="40"/>
        <v>1.5</v>
      </c>
      <c r="P220" s="117">
        <f t="shared" si="40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39"/>
        <v>0</v>
      </c>
      <c r="C221" s="117">
        <v>0.3</v>
      </c>
      <c r="D221" s="117">
        <f t="shared" si="40"/>
        <v>0.3</v>
      </c>
      <c r="E221" s="117">
        <f t="shared" si="40"/>
        <v>0.3</v>
      </c>
      <c r="F221" s="117">
        <f t="shared" si="40"/>
        <v>0.3</v>
      </c>
      <c r="G221" s="117">
        <f t="shared" si="40"/>
        <v>0.3</v>
      </c>
      <c r="H221" s="117">
        <f t="shared" si="40"/>
        <v>0.3</v>
      </c>
      <c r="I221" s="117">
        <f t="shared" si="40"/>
        <v>0.3</v>
      </c>
      <c r="J221" s="117">
        <f t="shared" si="40"/>
        <v>0.3</v>
      </c>
      <c r="K221" s="117">
        <f t="shared" si="40"/>
        <v>0.3</v>
      </c>
      <c r="L221" s="117">
        <f t="shared" si="40"/>
        <v>0.3</v>
      </c>
      <c r="M221" s="117">
        <f t="shared" si="40"/>
        <v>0.3</v>
      </c>
      <c r="N221" s="117">
        <f t="shared" si="40"/>
        <v>0.3</v>
      </c>
      <c r="O221" s="117">
        <f t="shared" si="40"/>
        <v>0.3</v>
      </c>
      <c r="P221" s="117">
        <f t="shared" si="40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39"/>
        <v>0</v>
      </c>
      <c r="C222" s="117">
        <v>0.4</v>
      </c>
      <c r="D222" s="117">
        <f t="shared" si="40"/>
        <v>0.4</v>
      </c>
      <c r="E222" s="117">
        <f t="shared" si="40"/>
        <v>0.4</v>
      </c>
      <c r="F222" s="117">
        <f t="shared" si="40"/>
        <v>0.4</v>
      </c>
      <c r="G222" s="117">
        <f t="shared" si="40"/>
        <v>0.4</v>
      </c>
      <c r="H222" s="117">
        <f t="shared" si="40"/>
        <v>0.4</v>
      </c>
      <c r="I222" s="117">
        <f t="shared" si="40"/>
        <v>0.4</v>
      </c>
      <c r="J222" s="117">
        <f t="shared" si="40"/>
        <v>0.4</v>
      </c>
      <c r="K222" s="117">
        <f t="shared" si="40"/>
        <v>0.4</v>
      </c>
      <c r="L222" s="117">
        <f t="shared" si="40"/>
        <v>0.4</v>
      </c>
      <c r="M222" s="117">
        <f t="shared" si="40"/>
        <v>0.4</v>
      </c>
      <c r="N222" s="117">
        <f t="shared" si="40"/>
        <v>0.4</v>
      </c>
      <c r="O222" s="117">
        <f t="shared" si="40"/>
        <v>0.4</v>
      </c>
      <c r="P222" s="117">
        <f t="shared" si="40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39"/>
        <v>0</v>
      </c>
      <c r="C223" s="121">
        <v>0.64</v>
      </c>
      <c r="D223" s="121">
        <f t="shared" si="40"/>
        <v>0.64</v>
      </c>
      <c r="E223" s="121">
        <f t="shared" si="40"/>
        <v>0.64</v>
      </c>
      <c r="F223" s="121">
        <f t="shared" si="40"/>
        <v>0.64</v>
      </c>
      <c r="G223" s="121">
        <f t="shared" si="40"/>
        <v>0.64</v>
      </c>
      <c r="H223" s="121">
        <f t="shared" si="40"/>
        <v>0.64</v>
      </c>
      <c r="I223" s="121">
        <f t="shared" si="40"/>
        <v>0.64</v>
      </c>
      <c r="J223" s="121">
        <f t="shared" si="40"/>
        <v>0.64</v>
      </c>
      <c r="K223" s="121">
        <f t="shared" si="40"/>
        <v>0.64</v>
      </c>
      <c r="L223" s="121">
        <f t="shared" si="40"/>
        <v>0.64</v>
      </c>
      <c r="M223" s="121">
        <f t="shared" si="40"/>
        <v>0.64</v>
      </c>
      <c r="N223" s="121">
        <f t="shared" si="40"/>
        <v>0.64</v>
      </c>
      <c r="O223" s="121">
        <f t="shared" si="40"/>
        <v>0.64</v>
      </c>
      <c r="P223" s="121">
        <f t="shared" si="40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41">SUM(B218:B223)</f>
        <v>0</v>
      </c>
      <c r="C224" s="125">
        <f t="shared" si="41"/>
        <v>3.54</v>
      </c>
      <c r="D224" s="125">
        <f t="shared" si="41"/>
        <v>3.54</v>
      </c>
      <c r="E224" s="125">
        <f t="shared" si="41"/>
        <v>3.54</v>
      </c>
      <c r="F224" s="125">
        <f t="shared" si="41"/>
        <v>3.54</v>
      </c>
      <c r="G224" s="125">
        <f t="shared" si="41"/>
        <v>3.54</v>
      </c>
      <c r="H224" s="125">
        <f t="shared" si="41"/>
        <v>3.54</v>
      </c>
      <c r="I224" s="125">
        <f t="shared" si="41"/>
        <v>3.54</v>
      </c>
      <c r="J224" s="125">
        <f t="shared" si="41"/>
        <v>3.54</v>
      </c>
      <c r="K224" s="125">
        <f t="shared" si="41"/>
        <v>3.54</v>
      </c>
      <c r="L224" s="125">
        <f t="shared" si="41"/>
        <v>3.54</v>
      </c>
      <c r="M224" s="125">
        <f t="shared" si="41"/>
        <v>3.54</v>
      </c>
      <c r="N224" s="125">
        <f t="shared" si="41"/>
        <v>3.54</v>
      </c>
      <c r="O224" s="125">
        <f t="shared" si="41"/>
        <v>3.54</v>
      </c>
      <c r="P224" s="125">
        <f t="shared" si="41"/>
        <v>3.54</v>
      </c>
      <c r="Q224" s="125">
        <f t="shared" si="41"/>
        <v>0</v>
      </c>
      <c r="R224" s="125">
        <f t="shared" si="41"/>
        <v>0</v>
      </c>
      <c r="S224" s="125">
        <f t="shared" si="41"/>
        <v>0</v>
      </c>
      <c r="T224" s="125">
        <f t="shared" si="41"/>
        <v>0</v>
      </c>
      <c r="U224" s="125">
        <f t="shared" si="41"/>
        <v>0</v>
      </c>
      <c r="V224" s="125">
        <f t="shared" si="41"/>
        <v>0</v>
      </c>
      <c r="W224" s="125">
        <f t="shared" si="41"/>
        <v>0</v>
      </c>
      <c r="X224" s="125">
        <f t="shared" si="41"/>
        <v>0</v>
      </c>
      <c r="Y224" s="125">
        <f t="shared" si="41"/>
        <v>0</v>
      </c>
      <c r="Z224" s="125">
        <f t="shared" si="41"/>
        <v>0</v>
      </c>
      <c r="AA224" s="125">
        <f t="shared" si="41"/>
        <v>0</v>
      </c>
      <c r="AB224" s="125">
        <f t="shared" si="41"/>
        <v>0</v>
      </c>
      <c r="AC224" s="125">
        <f t="shared" si="41"/>
        <v>0</v>
      </c>
      <c r="AD224" s="125">
        <f t="shared" si="41"/>
        <v>0</v>
      </c>
      <c r="AE224" s="125">
        <f t="shared" si="41"/>
        <v>0</v>
      </c>
      <c r="AF224" s="125">
        <f t="shared" si="41"/>
        <v>0</v>
      </c>
      <c r="AG224" s="134">
        <f t="shared" si="41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1166.94</v>
      </c>
      <c r="C233" s="150">
        <f>INDEX(G9:N9,1,MATCH(MAX(G81:N81),G81:N81,0))</f>
        <v>0.3125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12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2079/06/12)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2079/06/12)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42">B81</f>
        <v>1024.44</v>
      </c>
      <c r="U238" s="159">
        <f t="shared" si="42"/>
        <v>1003.14</v>
      </c>
      <c r="V238" s="159">
        <f t="shared" si="42"/>
        <v>1002.54</v>
      </c>
      <c r="W238" s="159">
        <f t="shared" si="42"/>
        <v>982.64</v>
      </c>
      <c r="X238" s="159">
        <f t="shared" si="42"/>
        <v>984.83999999999992</v>
      </c>
      <c r="Y238" s="159">
        <f t="shared" si="42"/>
        <v>989.74</v>
      </c>
      <c r="Z238" s="159">
        <f t="shared" si="42"/>
        <v>1012.94</v>
      </c>
      <c r="AA238" s="159">
        <f t="shared" si="42"/>
        <v>1057.74</v>
      </c>
      <c r="AB238" s="159">
        <f t="shared" si="42"/>
        <v>1113.3399999999999</v>
      </c>
      <c r="AC238" s="159">
        <f t="shared" si="42"/>
        <v>1139.54</v>
      </c>
      <c r="AD238" s="159">
        <f t="shared" si="42"/>
        <v>1166.94</v>
      </c>
      <c r="AE238" s="159">
        <f t="shared" si="42"/>
        <v>1157.54</v>
      </c>
      <c r="AF238" s="159">
        <f t="shared" si="42"/>
        <v>1145.24</v>
      </c>
      <c r="AG238" s="159">
        <f t="shared" si="42"/>
        <v>1124.8399999999999</v>
      </c>
      <c r="AH238" s="159">
        <f t="shared" si="42"/>
        <v>1092.8399999999999</v>
      </c>
      <c r="AI238" s="159">
        <f t="shared" si="42"/>
        <v>1084.8400000000001</v>
      </c>
      <c r="AJ238" s="159">
        <f t="shared" si="42"/>
        <v>1086.44</v>
      </c>
      <c r="AK238" s="159">
        <f t="shared" si="42"/>
        <v>1085.44</v>
      </c>
      <c r="AL238" s="159">
        <f t="shared" si="42"/>
        <v>987.13999999999987</v>
      </c>
      <c r="AM238" s="159">
        <f t="shared" si="42"/>
        <v>1037.04</v>
      </c>
      <c r="AN238" s="159">
        <f t="shared" si="42"/>
        <v>1140.74</v>
      </c>
      <c r="AO238" s="159">
        <f t="shared" si="42"/>
        <v>1192.7400000000002</v>
      </c>
      <c r="AP238" s="159">
        <f t="shared" si="42"/>
        <v>1307.8400000000001</v>
      </c>
      <c r="AQ238" s="159">
        <f t="shared" si="42"/>
        <v>1329.6399999999999</v>
      </c>
      <c r="AR238" s="159">
        <f t="shared" si="42"/>
        <v>1285.6399999999999</v>
      </c>
      <c r="AS238" s="159">
        <f t="shared" si="42"/>
        <v>1243.8400000000001</v>
      </c>
      <c r="AT238" s="159">
        <f t="shared" si="42"/>
        <v>1194.74</v>
      </c>
      <c r="AU238" s="159">
        <f t="shared" si="42"/>
        <v>1174.6399999999999</v>
      </c>
      <c r="AV238" s="159">
        <f t="shared" si="42"/>
        <v>1142.8399999999999</v>
      </c>
      <c r="AW238" s="159">
        <f t="shared" si="42"/>
        <v>1081.44</v>
      </c>
      <c r="AX238" s="159">
        <f t="shared" si="42"/>
        <v>1051.44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43">C223</f>
        <v>0.64</v>
      </c>
      <c r="C259" s="162">
        <f t="shared" si="43"/>
        <v>0.64</v>
      </c>
      <c r="D259" s="162">
        <f t="shared" si="43"/>
        <v>0.64</v>
      </c>
      <c r="E259" s="162">
        <f t="shared" si="43"/>
        <v>0.64</v>
      </c>
      <c r="F259" s="162">
        <f t="shared" si="43"/>
        <v>0.64</v>
      </c>
      <c r="G259" s="162">
        <f t="shared" si="43"/>
        <v>0.64</v>
      </c>
      <c r="H259" s="162">
        <f t="shared" si="43"/>
        <v>0.64</v>
      </c>
      <c r="I259" s="162">
        <f t="shared" si="43"/>
        <v>0.64</v>
      </c>
      <c r="J259" s="162">
        <f t="shared" si="43"/>
        <v>0.64</v>
      </c>
      <c r="K259" s="162">
        <f t="shared" si="43"/>
        <v>0.64</v>
      </c>
      <c r="L259" s="162">
        <f t="shared" si="43"/>
        <v>0.64</v>
      </c>
      <c r="M259" s="162">
        <f t="shared" si="43"/>
        <v>0.64</v>
      </c>
      <c r="N259" s="162">
        <f t="shared" si="43"/>
        <v>0.64</v>
      </c>
      <c r="O259" s="162">
        <f t="shared" si="43"/>
        <v>0.64</v>
      </c>
      <c r="P259" s="162">
        <f t="shared" si="43"/>
        <v>0</v>
      </c>
      <c r="Q259" s="162">
        <f t="shared" si="43"/>
        <v>0</v>
      </c>
      <c r="R259" s="162">
        <f t="shared" si="43"/>
        <v>0</v>
      </c>
      <c r="S259" s="162">
        <f t="shared" si="43"/>
        <v>0</v>
      </c>
      <c r="T259" s="162">
        <f t="shared" si="43"/>
        <v>0</v>
      </c>
      <c r="U259" s="162">
        <f t="shared" si="43"/>
        <v>0</v>
      </c>
      <c r="V259" s="162">
        <f t="shared" si="43"/>
        <v>0</v>
      </c>
      <c r="W259" s="162">
        <f t="shared" si="43"/>
        <v>0</v>
      </c>
      <c r="X259" s="162">
        <f t="shared" si="43"/>
        <v>0</v>
      </c>
      <c r="Y259" s="162">
        <f t="shared" si="43"/>
        <v>0</v>
      </c>
      <c r="Z259" s="162">
        <f t="shared" si="43"/>
        <v>0</v>
      </c>
      <c r="AA259" s="162">
        <f t="shared" si="43"/>
        <v>0</v>
      </c>
      <c r="AB259" s="162">
        <f t="shared" si="43"/>
        <v>0</v>
      </c>
      <c r="AC259" s="162">
        <f t="shared" si="43"/>
        <v>0</v>
      </c>
      <c r="AD259" s="162">
        <f t="shared" si="43"/>
        <v>0</v>
      </c>
      <c r="AE259" s="162">
        <f t="shared" si="43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44">IF(B227&lt;100,"",B227-520)</f>
        <v/>
      </c>
      <c r="C260" s="163" t="str">
        <f t="shared" si="44"/>
        <v/>
      </c>
      <c r="D260" s="163" t="str">
        <f t="shared" si="44"/>
        <v/>
      </c>
      <c r="E260" s="163" t="str">
        <f t="shared" si="44"/>
        <v/>
      </c>
      <c r="F260" s="163" t="str">
        <f t="shared" si="44"/>
        <v/>
      </c>
      <c r="G260" s="163" t="str">
        <f t="shared" si="44"/>
        <v/>
      </c>
      <c r="H260" s="163" t="str">
        <f t="shared" si="44"/>
        <v/>
      </c>
      <c r="I260" s="163" t="str">
        <f t="shared" si="44"/>
        <v/>
      </c>
      <c r="J260" s="163" t="str">
        <f t="shared" si="44"/>
        <v/>
      </c>
      <c r="K260" s="163" t="str">
        <f t="shared" si="44"/>
        <v/>
      </c>
      <c r="L260" s="163" t="str">
        <f t="shared" si="44"/>
        <v/>
      </c>
      <c r="M260" s="163" t="str">
        <f t="shared" si="44"/>
        <v/>
      </c>
      <c r="N260" s="163" t="str">
        <f t="shared" si="44"/>
        <v/>
      </c>
      <c r="O260" s="163" t="str">
        <f t="shared" si="44"/>
        <v/>
      </c>
      <c r="P260" s="163" t="str">
        <f t="shared" si="44"/>
        <v/>
      </c>
      <c r="Q260" s="163" t="str">
        <f t="shared" si="44"/>
        <v/>
      </c>
      <c r="R260" s="163" t="str">
        <f t="shared" si="44"/>
        <v/>
      </c>
      <c r="S260" s="163" t="str">
        <f t="shared" si="44"/>
        <v/>
      </c>
      <c r="T260" s="163" t="str">
        <f t="shared" si="44"/>
        <v/>
      </c>
      <c r="U260" s="163" t="str">
        <f t="shared" si="44"/>
        <v/>
      </c>
      <c r="V260" s="163" t="str">
        <f t="shared" si="44"/>
        <v/>
      </c>
      <c r="W260" s="163" t="str">
        <f t="shared" si="44"/>
        <v/>
      </c>
      <c r="X260" s="163" t="str">
        <f t="shared" si="44"/>
        <v/>
      </c>
      <c r="Y260" s="163" t="str">
        <f t="shared" si="44"/>
        <v/>
      </c>
      <c r="Z260" s="163" t="str">
        <f t="shared" si="44"/>
        <v/>
      </c>
      <c r="AA260" s="163" t="str">
        <f t="shared" si="44"/>
        <v/>
      </c>
      <c r="AB260" s="163" t="str">
        <f t="shared" si="44"/>
        <v/>
      </c>
      <c r="AC260" s="163" t="str">
        <f t="shared" si="44"/>
        <v/>
      </c>
      <c r="AD260" s="163" t="str">
        <f t="shared" si="44"/>
        <v/>
      </c>
      <c r="AE260" s="163" t="str">
        <f t="shared" si="44"/>
        <v/>
      </c>
      <c r="AF260" s="163" t="str">
        <f t="shared" si="44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45">IF(B228&lt;100,"",B228-620)</f>
        <v/>
      </c>
      <c r="C261" s="163" t="str">
        <f t="shared" si="45"/>
        <v/>
      </c>
      <c r="D261" s="163" t="str">
        <f t="shared" si="45"/>
        <v/>
      </c>
      <c r="E261" s="163" t="str">
        <f t="shared" si="45"/>
        <v/>
      </c>
      <c r="F261" s="163" t="str">
        <f t="shared" si="45"/>
        <v/>
      </c>
      <c r="G261" s="163" t="str">
        <f t="shared" si="45"/>
        <v/>
      </c>
      <c r="H261" s="163" t="str">
        <f t="shared" si="45"/>
        <v/>
      </c>
      <c r="I261" s="163" t="str">
        <f t="shared" si="45"/>
        <v/>
      </c>
      <c r="J261" s="163" t="str">
        <f t="shared" si="45"/>
        <v/>
      </c>
      <c r="K261" s="163" t="str">
        <f t="shared" si="45"/>
        <v/>
      </c>
      <c r="L261" s="163" t="str">
        <f t="shared" si="45"/>
        <v/>
      </c>
      <c r="M261" s="163" t="str">
        <f t="shared" si="45"/>
        <v/>
      </c>
      <c r="N261" s="163" t="str">
        <f t="shared" si="45"/>
        <v/>
      </c>
      <c r="O261" s="163" t="str">
        <f t="shared" si="45"/>
        <v/>
      </c>
      <c r="P261" s="163" t="str">
        <f t="shared" si="45"/>
        <v/>
      </c>
      <c r="Q261" s="163" t="str">
        <f t="shared" si="45"/>
        <v/>
      </c>
      <c r="R261" s="163" t="str">
        <f t="shared" si="45"/>
        <v/>
      </c>
      <c r="S261" s="163" t="str">
        <f t="shared" si="45"/>
        <v/>
      </c>
      <c r="T261" s="163" t="str">
        <f t="shared" si="45"/>
        <v/>
      </c>
      <c r="U261" s="163" t="str">
        <f t="shared" si="45"/>
        <v/>
      </c>
      <c r="V261" s="163" t="str">
        <f t="shared" si="45"/>
        <v/>
      </c>
      <c r="W261" s="163" t="str">
        <f t="shared" si="45"/>
        <v/>
      </c>
      <c r="X261" s="163" t="str">
        <f t="shared" si="45"/>
        <v/>
      </c>
      <c r="Y261" s="163" t="str">
        <f t="shared" si="45"/>
        <v/>
      </c>
      <c r="Z261" s="163" t="str">
        <f t="shared" si="45"/>
        <v/>
      </c>
      <c r="AA261" s="163" t="str">
        <f t="shared" si="45"/>
        <v/>
      </c>
      <c r="AB261" s="163" t="str">
        <f t="shared" si="45"/>
        <v/>
      </c>
      <c r="AC261" s="163" t="str">
        <f t="shared" si="45"/>
        <v/>
      </c>
      <c r="AD261" s="163" t="str">
        <f t="shared" si="45"/>
        <v/>
      </c>
      <c r="AE261" s="163" t="str">
        <f t="shared" si="45"/>
        <v/>
      </c>
      <c r="AF261" s="163" t="str">
        <f t="shared" si="45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46">IF(B229&lt;100,"",B229-330)</f>
        <v/>
      </c>
      <c r="C262" s="163" t="str">
        <f t="shared" si="46"/>
        <v/>
      </c>
      <c r="D262" s="163" t="str">
        <f t="shared" si="46"/>
        <v/>
      </c>
      <c r="E262" s="163" t="str">
        <f t="shared" si="46"/>
        <v/>
      </c>
      <c r="F262" s="163" t="str">
        <f t="shared" si="46"/>
        <v/>
      </c>
      <c r="G262" s="163" t="str">
        <f t="shared" si="46"/>
        <v/>
      </c>
      <c r="H262" s="163" t="str">
        <f t="shared" si="46"/>
        <v/>
      </c>
      <c r="I262" s="163" t="str">
        <f t="shared" si="46"/>
        <v/>
      </c>
      <c r="J262" s="163" t="str">
        <f t="shared" si="46"/>
        <v/>
      </c>
      <c r="K262" s="163" t="str">
        <f t="shared" si="46"/>
        <v/>
      </c>
      <c r="L262" s="163" t="str">
        <f t="shared" si="46"/>
        <v/>
      </c>
      <c r="M262" s="163" t="str">
        <f t="shared" si="46"/>
        <v/>
      </c>
      <c r="N262" s="163" t="str">
        <f t="shared" si="46"/>
        <v/>
      </c>
      <c r="O262" s="163" t="str">
        <f t="shared" si="46"/>
        <v/>
      </c>
      <c r="P262" s="163" t="str">
        <f t="shared" si="46"/>
        <v/>
      </c>
      <c r="Q262" s="163" t="str">
        <f t="shared" si="46"/>
        <v/>
      </c>
      <c r="R262" s="163" t="str">
        <f t="shared" si="46"/>
        <v/>
      </c>
      <c r="S262" s="163" t="str">
        <f t="shared" si="46"/>
        <v/>
      </c>
      <c r="T262" s="163" t="str">
        <f t="shared" si="46"/>
        <v/>
      </c>
      <c r="U262" s="163" t="str">
        <f t="shared" si="46"/>
        <v/>
      </c>
      <c r="V262" s="163" t="str">
        <f t="shared" si="46"/>
        <v/>
      </c>
      <c r="W262" s="163" t="str">
        <f t="shared" si="46"/>
        <v/>
      </c>
      <c r="X262" s="163" t="str">
        <f t="shared" si="46"/>
        <v/>
      </c>
      <c r="Y262" s="163" t="str">
        <f t="shared" si="46"/>
        <v/>
      </c>
      <c r="Z262" s="163" t="str">
        <f t="shared" si="46"/>
        <v/>
      </c>
      <c r="AA262" s="163" t="str">
        <f t="shared" si="46"/>
        <v/>
      </c>
      <c r="AB262" s="163" t="str">
        <f t="shared" si="46"/>
        <v/>
      </c>
      <c r="AC262" s="163" t="str">
        <f t="shared" si="46"/>
        <v/>
      </c>
      <c r="AD262" s="163" t="str">
        <f t="shared" si="46"/>
        <v/>
      </c>
      <c r="AE262" s="163" t="str">
        <f t="shared" si="46"/>
        <v/>
      </c>
      <c r="AF262" s="163" t="str">
        <f t="shared" si="46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47">IF(B230&lt;100,"",B230-1500)</f>
        <v/>
      </c>
      <c r="C263" s="163" t="str">
        <f t="shared" si="47"/>
        <v/>
      </c>
      <c r="D263" s="163" t="str">
        <f t="shared" si="47"/>
        <v/>
      </c>
      <c r="E263" s="163" t="str">
        <f t="shared" si="47"/>
        <v/>
      </c>
      <c r="F263" s="163" t="str">
        <f t="shared" si="47"/>
        <v/>
      </c>
      <c r="G263" s="163" t="str">
        <f t="shared" si="47"/>
        <v/>
      </c>
      <c r="H263" s="163" t="str">
        <f t="shared" si="47"/>
        <v/>
      </c>
      <c r="I263" s="163" t="str">
        <f t="shared" si="47"/>
        <v/>
      </c>
      <c r="J263" s="163" t="str">
        <f t="shared" si="47"/>
        <v/>
      </c>
      <c r="K263" s="163" t="str">
        <f t="shared" si="47"/>
        <v/>
      </c>
      <c r="L263" s="163" t="str">
        <f t="shared" si="47"/>
        <v/>
      </c>
      <c r="M263" s="163" t="str">
        <f t="shared" si="47"/>
        <v/>
      </c>
      <c r="N263" s="163" t="str">
        <f t="shared" si="47"/>
        <v/>
      </c>
      <c r="O263" s="163" t="str">
        <f t="shared" si="47"/>
        <v/>
      </c>
      <c r="P263" s="163" t="str">
        <f t="shared" si="47"/>
        <v/>
      </c>
      <c r="Q263" s="163" t="str">
        <f t="shared" si="47"/>
        <v/>
      </c>
      <c r="R263" s="163" t="str">
        <f t="shared" si="47"/>
        <v/>
      </c>
      <c r="S263" s="163" t="str">
        <f t="shared" si="47"/>
        <v/>
      </c>
      <c r="T263" s="163" t="str">
        <f t="shared" si="47"/>
        <v/>
      </c>
      <c r="U263" s="163" t="str">
        <f t="shared" si="47"/>
        <v/>
      </c>
      <c r="V263" s="163" t="str">
        <f t="shared" si="47"/>
        <v/>
      </c>
      <c r="W263" s="163" t="str">
        <f t="shared" si="47"/>
        <v/>
      </c>
      <c r="X263" s="163" t="str">
        <f t="shared" si="47"/>
        <v/>
      </c>
      <c r="Y263" s="163" t="str">
        <f t="shared" si="47"/>
        <v/>
      </c>
      <c r="Z263" s="163" t="str">
        <f t="shared" si="47"/>
        <v/>
      </c>
      <c r="AA263" s="163" t="str">
        <f t="shared" si="47"/>
        <v/>
      </c>
      <c r="AB263" s="163" t="str">
        <f t="shared" si="47"/>
        <v/>
      </c>
      <c r="AC263" s="163" t="str">
        <f t="shared" si="47"/>
        <v/>
      </c>
      <c r="AD263" s="163" t="str">
        <f t="shared" si="47"/>
        <v/>
      </c>
      <c r="AE263" s="163" t="str">
        <f t="shared" si="47"/>
        <v/>
      </c>
      <c r="AF263" s="163" t="str">
        <f t="shared" si="47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A11:A225">
    <cfRule type="expression" dxfId="655" priority="205">
      <formula>$AH11=0</formula>
    </cfRule>
  </conditionalFormatting>
  <conditionalFormatting sqref="B8 M8 S8 AB8">
    <cfRule type="expression" dxfId="654" priority="435">
      <formula>AND(C$9&gt;=14/24,C$9&lt;20/24)</formula>
    </cfRule>
    <cfRule type="expression" dxfId="653" priority="436">
      <formula>AND(C$9&gt;=8/24,C$9&lt;14/24)</formula>
    </cfRule>
    <cfRule type="expression" dxfId="652" priority="437">
      <formula>C$9&lt;8/24</formula>
    </cfRule>
  </conditionalFormatting>
  <conditionalFormatting sqref="B39">
    <cfRule type="expression" dxfId="651" priority="183">
      <formula>AND(B$9&gt;=14/24,B$9&lt;20/24)</formula>
    </cfRule>
    <cfRule type="expression" dxfId="650" priority="182">
      <formula>B$9&gt;=20/24</formula>
    </cfRule>
    <cfRule type="expression" dxfId="649" priority="185">
      <formula>B$9&lt;8/24</formula>
    </cfRule>
    <cfRule type="expression" dxfId="648" priority="184">
      <formula>AND(B$9&gt;=8/24,B$9&lt;14/24)</formula>
    </cfRule>
  </conditionalFormatting>
  <conditionalFormatting sqref="B41:B43">
    <cfRule type="expression" dxfId="647" priority="102">
      <formula>AND(B$9&gt;=14/24,B$9&lt;20/24)</formula>
    </cfRule>
    <cfRule type="expression" dxfId="646" priority="104">
      <formula>B$9&lt;8/24</formula>
    </cfRule>
    <cfRule type="expression" dxfId="645" priority="103">
      <formula>AND(B$9&gt;=8/24,B$9&lt;14/24)</formula>
    </cfRule>
    <cfRule type="expression" dxfId="644" priority="101">
      <formula>B$9&gt;=20/24</formula>
    </cfRule>
  </conditionalFormatting>
  <conditionalFormatting sqref="B44">
    <cfRule type="expression" dxfId="643" priority="99">
      <formula>B$9&lt;8/24</formula>
    </cfRule>
    <cfRule type="expression" dxfId="642" priority="98">
      <formula>AND(B$9&gt;=8/24,B$9&lt;14/24)</formula>
    </cfRule>
    <cfRule type="expression" dxfId="641" priority="97">
      <formula>AND(B$9&gt;=14/24,B$9&lt;20/24)</formula>
    </cfRule>
    <cfRule type="expression" dxfId="640" priority="96">
      <formula>B$9&gt;=20/24</formula>
    </cfRule>
  </conditionalFormatting>
  <conditionalFormatting sqref="B63 B46:C47">
    <cfRule type="expression" dxfId="639" priority="176">
      <formula>B$9&lt;8/24</formula>
    </cfRule>
  </conditionalFormatting>
  <conditionalFormatting sqref="B74">
    <cfRule type="expression" dxfId="638" priority="112">
      <formula>B$9&lt;8/24</formula>
    </cfRule>
  </conditionalFormatting>
  <conditionalFormatting sqref="B74:B81">
    <cfRule type="expression" dxfId="637" priority="111">
      <formula>AND(B$9&gt;=8/24,B$9&lt;14/24)</formula>
    </cfRule>
    <cfRule type="expression" dxfId="636" priority="110">
      <formula>AND(B$9&gt;=14/24,B$9&lt;20/24)</formula>
    </cfRule>
    <cfRule type="expression" dxfId="635" priority="109">
      <formula>B$9&gt;=20/24</formula>
    </cfRule>
  </conditionalFormatting>
  <conditionalFormatting sqref="B80 B89">
    <cfRule type="expression" dxfId="634" priority="148">
      <formula>B$9&lt;8/24</formula>
    </cfRule>
  </conditionalFormatting>
  <conditionalFormatting sqref="B81 B62 B79 B90 B29:W29 B32:W34 B26:W27">
    <cfRule type="expression" dxfId="633" priority="139">
      <formula>B$9&lt;8/24</formula>
    </cfRule>
  </conditionalFormatting>
  <conditionalFormatting sqref="B83:B87">
    <cfRule type="expression" dxfId="628" priority="108">
      <formula>B$9&lt;8/24</formula>
    </cfRule>
  </conditionalFormatting>
  <conditionalFormatting sqref="B83:B99">
    <cfRule type="expression" dxfId="627" priority="93">
      <formula>AND(B$9&gt;=8/24,B$9&lt;14/24)</formula>
    </cfRule>
  </conditionalFormatting>
  <conditionalFormatting sqref="B88 B92:B98 B59:B61 B75:B78 B64:B73 C75:R77 B11:R14 B25:R25 B18:R18">
    <cfRule type="expression" dxfId="626" priority="167">
      <formula>B$9&lt;8/24</formula>
    </cfRule>
  </conditionalFormatting>
  <conditionalFormatting sqref="B91">
    <cfRule type="expression" dxfId="625" priority="180">
      <formula>B$9&lt;8/24</formula>
    </cfRule>
  </conditionalFormatting>
  <conditionalFormatting sqref="B99">
    <cfRule type="expression" dxfId="624" priority="94">
      <formula>B$9&lt;8/24</formula>
    </cfRule>
  </conditionalFormatting>
  <conditionalFormatting sqref="B101:B108">
    <cfRule type="expression" dxfId="623" priority="80">
      <formula>AND(B$9&gt;=14/24,B$9&lt;20/24)</formula>
    </cfRule>
    <cfRule type="expression" dxfId="622" priority="81">
      <formula>AND(B$9&gt;=8/24,B$9&lt;14/24)</formula>
    </cfRule>
  </conditionalFormatting>
  <conditionalFormatting sqref="B102">
    <cfRule type="expression" dxfId="621" priority="82">
      <formula>B$9&lt;8/24</formula>
    </cfRule>
  </conditionalFormatting>
  <conditionalFormatting sqref="B45:C45">
    <cfRule type="expression" dxfId="616" priority="172">
      <formula>B$9&lt;8/24</formula>
    </cfRule>
  </conditionalFormatting>
  <conditionalFormatting sqref="B45:C47">
    <cfRule type="expression" dxfId="615" priority="169">
      <formula>B$9&gt;=20/24</formula>
    </cfRule>
    <cfRule type="expression" dxfId="614" priority="171">
      <formula>AND(B$9&gt;=8/24,B$9&lt;14/24)</formula>
    </cfRule>
    <cfRule type="expression" dxfId="613" priority="170">
      <formula>AND(B$9&gt;=14/24,B$9&lt;20/24)</formula>
    </cfRule>
  </conditionalFormatting>
  <conditionalFormatting sqref="B50:C56">
    <cfRule type="expression" dxfId="612" priority="155">
      <formula>B$9&gt;=20/24</formula>
    </cfRule>
    <cfRule type="expression" dxfId="611" priority="156">
      <formula>AND(B$9&gt;=14/24,B$9&lt;20/24)</formula>
    </cfRule>
    <cfRule type="expression" dxfId="610" priority="157">
      <formula>AND(B$9&gt;=8/24,B$9&lt;14/24)</formula>
    </cfRule>
    <cfRule type="expression" dxfId="609" priority="158">
      <formula>B$9&lt;8/24</formula>
    </cfRule>
  </conditionalFormatting>
  <conditionalFormatting sqref="B38:I38">
    <cfRule type="expression" dxfId="608" priority="141">
      <formula>B$9&gt;=20/24</formula>
    </cfRule>
    <cfRule type="expression" dxfId="607" priority="142">
      <formula>AND(B$9&gt;=14/24,B$9&lt;20/24)</formula>
    </cfRule>
    <cfRule type="expression" dxfId="606" priority="143">
      <formula>AND(B$9&gt;=8/24,B$9&lt;14/24)</formula>
    </cfRule>
    <cfRule type="expression" dxfId="605" priority="144">
      <formula>B$9&lt;8/24</formula>
    </cfRule>
  </conditionalFormatting>
  <conditionalFormatting sqref="B19:P19">
    <cfRule type="expression" dxfId="604" priority="68">
      <formula>B$9&lt;8/24</formula>
    </cfRule>
    <cfRule type="expression" dxfId="603" priority="67">
      <formula>AND(B$9&gt;=8/24,B$9&lt;14/24)</formula>
    </cfRule>
    <cfRule type="expression" dxfId="602" priority="65">
      <formula>B$9&gt;=20/24</formula>
    </cfRule>
    <cfRule type="expression" dxfId="601" priority="66">
      <formula>AND(B$9&gt;=14/24,B$9&lt;20/24)</formula>
    </cfRule>
  </conditionalFormatting>
  <conditionalFormatting sqref="B11:R11 B16:R16 B20:R23 B101 B103:B108">
    <cfRule type="expression" dxfId="600" priority="189">
      <formula>B$9&lt;8/24</formula>
    </cfRule>
  </conditionalFormatting>
  <conditionalFormatting sqref="B11:R11 B16:R16 B20:R23">
    <cfRule type="expression" dxfId="599" priority="188">
      <formula>AND(B$9&gt;=8/24,B$9&lt;14/24)</formula>
    </cfRule>
    <cfRule type="expression" dxfId="598" priority="186">
      <formula>B$9&gt;=20/24</formula>
    </cfRule>
    <cfRule type="expression" dxfId="597" priority="187">
      <formula>AND(B$9&gt;=14/24,B$9&lt;20/24)</formula>
    </cfRule>
  </conditionalFormatting>
  <conditionalFormatting sqref="B11:R14 B25:R25 B59:B61 C74:AF78">
    <cfRule type="expression" dxfId="596" priority="166">
      <formula>AND(B$9&gt;=8/24,B$9&lt;14/24)</formula>
    </cfRule>
    <cfRule type="expression" dxfId="595" priority="165">
      <formula>AND(B$9&gt;=14/24,B$9&lt;20/24)</formula>
    </cfRule>
    <cfRule type="expression" dxfId="594" priority="164">
      <formula>B$9&gt;=20/24</formula>
    </cfRule>
  </conditionalFormatting>
  <conditionalFormatting sqref="B11:R16 B18:R18 B37:W37">
    <cfRule type="expression" dxfId="593" priority="181">
      <formula>B11&gt;$AG11</formula>
    </cfRule>
  </conditionalFormatting>
  <conditionalFormatting sqref="B15:R15">
    <cfRule type="expression" dxfId="592" priority="162">
      <formula>B$9&lt;8/24</formula>
    </cfRule>
  </conditionalFormatting>
  <conditionalFormatting sqref="B17:R17">
    <cfRule type="expression" dxfId="591" priority="77">
      <formula>B$9&lt;8/24</formula>
    </cfRule>
    <cfRule type="expression" dxfId="590" priority="78">
      <formula>B17&gt;$AG17</formula>
    </cfRule>
  </conditionalFormatting>
  <conditionalFormatting sqref="B24:R24">
    <cfRule type="expression" dxfId="589" priority="114">
      <formula>B$9&gt;=20/24</formula>
    </cfRule>
    <cfRule type="expression" dxfId="588" priority="115">
      <formula>AND(B$9&gt;=14/24,B$9&lt;20/24)</formula>
    </cfRule>
    <cfRule type="expression" dxfId="587" priority="116">
      <formula>AND(B$9&gt;=8/24,B$9&lt;14/24)</formula>
    </cfRule>
    <cfRule type="expression" dxfId="586" priority="117">
      <formula>B$9&lt;8/24</formula>
    </cfRule>
  </conditionalFormatting>
  <conditionalFormatting sqref="B50:U56">
    <cfRule type="expression" dxfId="585" priority="154">
      <formula>B50&gt;$AG50</formula>
    </cfRule>
  </conditionalFormatting>
  <conditionalFormatting sqref="B11:V11 B45:L49 B59:AF61">
    <cfRule type="expression" dxfId="584" priority="163">
      <formula>B11&gt;$AG11</formula>
    </cfRule>
  </conditionalFormatting>
  <conditionalFormatting sqref="B24:W25">
    <cfRule type="expression" dxfId="583" priority="113">
      <formula>B24&gt;$AG24</formula>
    </cfRule>
  </conditionalFormatting>
  <conditionalFormatting sqref="B26:W27 B29:W29 B62">
    <cfRule type="expression" dxfId="582" priority="136">
      <formula>B$9&gt;=20/24</formula>
    </cfRule>
    <cfRule type="expression" dxfId="581" priority="137">
      <formula>AND(B$9&gt;=14/24,B$9&lt;20/24)</formula>
    </cfRule>
    <cfRule type="expression" dxfId="580" priority="138">
      <formula>AND(B$9&gt;=8/24,B$9&lt;14/24)</formula>
    </cfRule>
  </conditionalFormatting>
  <conditionalFormatting sqref="B26:W29 B40:AG40 B57:AG58 B62:AG62">
    <cfRule type="expression" dxfId="579" priority="131">
      <formula>B26&gt;$AG26</formula>
    </cfRule>
  </conditionalFormatting>
  <conditionalFormatting sqref="B28:W28">
    <cfRule type="expression" dxfId="578" priority="121">
      <formula>B$9&lt;8/24</formula>
    </cfRule>
  </conditionalFormatting>
  <conditionalFormatting sqref="B30:W30">
    <cfRule type="expression" dxfId="577" priority="70">
      <formula>B$9&gt;=20/24</formula>
    </cfRule>
    <cfRule type="expression" dxfId="576" priority="71">
      <formula>AND(B$9&gt;=14/24,B$9&lt;20/24)</formula>
    </cfRule>
    <cfRule type="expression" dxfId="575" priority="72">
      <formula>AND(B$9&gt;=8/24,B$9&lt;14/24)</formula>
    </cfRule>
    <cfRule type="expression" dxfId="574" priority="73">
      <formula>B$9&lt;8/24</formula>
    </cfRule>
  </conditionalFormatting>
  <conditionalFormatting sqref="B31:W31">
    <cfRule type="expression" dxfId="573" priority="153">
      <formula>B$9&lt;8/24</formula>
    </cfRule>
    <cfRule type="expression" dxfId="572" priority="152">
      <formula>AND(B$9&gt;=8/24,B$9&lt;14/24)</formula>
    </cfRule>
    <cfRule type="expression" dxfId="571" priority="151">
      <formula>AND(B$9&gt;=14/24,B$9&lt;20/24)</formula>
    </cfRule>
    <cfRule type="expression" dxfId="570" priority="150">
      <formula>B$9&gt;=20/24</formula>
    </cfRule>
  </conditionalFormatting>
  <conditionalFormatting sqref="B32:W35">
    <cfRule type="expression" dxfId="569" priority="132">
      <formula>B$9&gt;=20/24</formula>
    </cfRule>
    <cfRule type="expression" dxfId="568" priority="134">
      <formula>AND(B$9&gt;=8/24,B$9&lt;14/24)</formula>
    </cfRule>
    <cfRule type="expression" dxfId="567" priority="133">
      <formula>AND(B$9&gt;=14/24,B$9&lt;20/24)</formula>
    </cfRule>
  </conditionalFormatting>
  <conditionalFormatting sqref="B35:W35">
    <cfRule type="expression" dxfId="566" priority="135">
      <formula>B$9&lt;8/24</formula>
    </cfRule>
  </conditionalFormatting>
  <conditionalFormatting sqref="B36:W36">
    <cfRule type="expression" dxfId="565" priority="126">
      <formula>B$9&lt;8/24</formula>
    </cfRule>
  </conditionalFormatting>
  <conditionalFormatting sqref="B36:W37">
    <cfRule type="expression" dxfId="564" priority="123">
      <formula>B$9&gt;=20/24</formula>
    </cfRule>
    <cfRule type="expression" dxfId="563" priority="124">
      <formula>AND(B$9&gt;=14/24,B$9&lt;20/24)</formula>
    </cfRule>
    <cfRule type="expression" dxfId="562" priority="125">
      <formula>AND(B$9&gt;=8/24,B$9&lt;14/24)</formula>
    </cfRule>
  </conditionalFormatting>
  <conditionalFormatting sqref="B37:W37">
    <cfRule type="expression" dxfId="561" priority="130">
      <formula>B$9&lt;8/24</formula>
    </cfRule>
  </conditionalFormatting>
  <conditionalFormatting sqref="B17:Y18">
    <cfRule type="expression" dxfId="560" priority="75">
      <formula>AND(B$9&gt;=14/24,B$9&lt;20/24)</formula>
    </cfRule>
    <cfRule type="expression" dxfId="559" priority="74">
      <formula>B$9&gt;=20/24</formula>
    </cfRule>
    <cfRule type="expression" dxfId="558" priority="76">
      <formula>AND(B$9&gt;=8/24,B$9&lt;14/24)</formula>
    </cfRule>
  </conditionalFormatting>
  <conditionalFormatting sqref="B19:Y23">
    <cfRule type="expression" dxfId="557" priority="64">
      <formula>B19&gt;$AG19</formula>
    </cfRule>
  </conditionalFormatting>
  <conditionalFormatting sqref="B9:AF10 W11:Y11 S16:Y16 S20:Y23 C101:AF101 C103:AF108 B216:AF216 B218:B224 D218:AF224 U237:AF237">
    <cfRule type="expression" dxfId="556" priority="429">
      <formula>AND(B$9&gt;=14/24,B$9&lt;20/24)</formula>
    </cfRule>
    <cfRule type="expression" dxfId="555" priority="431">
      <formula>B$9&lt;8/24</formula>
    </cfRule>
    <cfRule type="expression" dxfId="554" priority="430">
      <formula>AND(B$9&gt;=8/24,B$9&lt;14/24)</formula>
    </cfRule>
  </conditionalFormatting>
  <conditionalFormatting sqref="B15:AF15">
    <cfRule type="expression" dxfId="553" priority="34">
      <formula>AND(B$9&gt;=14/24,B$9&lt;20/24)</formula>
    </cfRule>
    <cfRule type="expression" dxfId="552" priority="35">
      <formula>AND(B$9&gt;=8/24,B$9&lt;14/24)</formula>
    </cfRule>
    <cfRule type="expression" dxfId="551" priority="33">
      <formula>B$9&gt;=20/24</formula>
    </cfRule>
  </conditionalFormatting>
  <conditionalFormatting sqref="B28:AF28">
    <cfRule type="expression" dxfId="550" priority="25">
      <formula>AND(B$9&gt;=14/24,B$9&lt;20/24)</formula>
    </cfRule>
    <cfRule type="expression" dxfId="549" priority="26">
      <formula>AND(B$9&gt;=8/24,B$9&lt;14/24)</formula>
    </cfRule>
    <cfRule type="expression" dxfId="548" priority="24">
      <formula>B$9&gt;=20/24</formula>
    </cfRule>
  </conditionalFormatting>
  <conditionalFormatting sqref="B30:AF36">
    <cfRule type="expression" dxfId="547" priority="9">
      <formula>B30&gt;$AG30</formula>
    </cfRule>
  </conditionalFormatting>
  <conditionalFormatting sqref="B38:AF39">
    <cfRule type="expression" dxfId="546" priority="140">
      <formula>B38&gt;$AG38</formula>
    </cfRule>
  </conditionalFormatting>
  <conditionalFormatting sqref="B41:AF43">
    <cfRule type="expression" dxfId="545" priority="100">
      <formula>B41&gt;$AG41</formula>
    </cfRule>
  </conditionalFormatting>
  <conditionalFormatting sqref="B63:AF73">
    <cfRule type="expression" dxfId="544" priority="3">
      <formula>AND(B$9&gt;=8/24,B$9&lt;14/24)</formula>
    </cfRule>
    <cfRule type="expression" dxfId="543" priority="1">
      <formula>B$9&gt;=20/24</formula>
    </cfRule>
    <cfRule type="expression" dxfId="542" priority="2">
      <formula>AND(B$9&gt;=14/24,B$9&lt;20/24)</formula>
    </cfRule>
  </conditionalFormatting>
  <conditionalFormatting sqref="B83:AF99">
    <cfRule type="expression" dxfId="541" priority="91">
      <formula>B$9&gt;=20/24</formula>
    </cfRule>
    <cfRule type="expression" dxfId="540" priority="92">
      <formula>AND(B$9&gt;=14/24,B$9&lt;20/24)</formula>
    </cfRule>
  </conditionalFormatting>
  <conditionalFormatting sqref="B101:AF108">
    <cfRule type="expression" dxfId="539" priority="79">
      <formula>B$9&gt;=20/24</formula>
    </cfRule>
  </conditionalFormatting>
  <conditionalFormatting sqref="B44:AG44">
    <cfRule type="expression" dxfId="538" priority="95">
      <formula>B44&gt;$AG44</formula>
    </cfRule>
  </conditionalFormatting>
  <conditionalFormatting sqref="C39:K39">
    <cfRule type="expression" dxfId="537" priority="329">
      <formula>C$9&lt;8/24</formula>
    </cfRule>
    <cfRule type="expression" dxfId="536" priority="328">
      <formula>AND(C$9&gt;=8/24,C$9&lt;14/24)</formula>
    </cfRule>
    <cfRule type="expression" dxfId="535" priority="327">
      <formula>AND(C$9&gt;=14/24,C$9&lt;20/24)</formula>
    </cfRule>
    <cfRule type="expression" dxfId="534" priority="326">
      <formula>C$9&gt;=20/24</formula>
    </cfRule>
  </conditionalFormatting>
  <conditionalFormatting sqref="C41:AF43">
    <cfRule type="expression" dxfId="533" priority="265">
      <formula>AND(C$9&gt;=8/24,C$9&lt;14/24)</formula>
    </cfRule>
    <cfRule type="expression" dxfId="532" priority="264">
      <formula>AND(C$9&gt;=14/24,C$9&lt;20/24)</formula>
    </cfRule>
    <cfRule type="expression" dxfId="531" priority="266">
      <formula>C$9&lt;8/24</formula>
    </cfRule>
    <cfRule type="expression" dxfId="530" priority="263">
      <formula>C$9&gt;=20/24</formula>
    </cfRule>
  </conditionalFormatting>
  <conditionalFormatting sqref="C74:AF74">
    <cfRule type="expression" dxfId="529" priority="274">
      <formula>C$9&lt;8/24</formula>
    </cfRule>
  </conditionalFormatting>
  <conditionalFormatting sqref="C83:AF90">
    <cfRule type="expression" dxfId="524" priority="269">
      <formula>AND(C$9&gt;=8/24,C$9&lt;14/24)</formula>
    </cfRule>
    <cfRule type="expression" dxfId="523" priority="270">
      <formula>C$9&lt;8/24</formula>
    </cfRule>
  </conditionalFormatting>
  <conditionalFormatting sqref="C91:AF91">
    <cfRule type="expression" dxfId="522" priority="411">
      <formula>C$9&lt;8/24</formula>
    </cfRule>
    <cfRule type="expression" dxfId="521" priority="410">
      <formula>AND(C$9&gt;=8/24,C$9&lt;14/24)</formula>
    </cfRule>
  </conditionalFormatting>
  <conditionalFormatting sqref="C92:AF99">
    <cfRule type="expression" dxfId="520" priority="255">
      <formula>AND(C$9&gt;=8/24,C$9&lt;14/24)</formula>
    </cfRule>
    <cfRule type="expression" dxfId="519" priority="256">
      <formula>C$9&lt;8/24</formula>
    </cfRule>
  </conditionalFormatting>
  <conditionalFormatting sqref="C102:AF102">
    <cfRule type="expression" dxfId="518" priority="229">
      <formula>AND(C$9&gt;=14/24,C$9&lt;20/24)</formula>
    </cfRule>
    <cfRule type="expression" dxfId="517" priority="230">
      <formula>AND(C$9&gt;=8/24,C$9&lt;14/24)</formula>
    </cfRule>
    <cfRule type="expression" dxfId="516" priority="231">
      <formula>C$9&lt;8/24</formula>
    </cfRule>
  </conditionalFormatting>
  <conditionalFormatting sqref="C44:AG44">
    <cfRule type="expression" dxfId="511" priority="258">
      <formula>C$9&gt;=20/24</formula>
    </cfRule>
    <cfRule type="expression" dxfId="510" priority="260">
      <formula>AND(C$9&gt;=8/24,C$9&lt;14/24)</formula>
    </cfRule>
    <cfRule type="expression" dxfId="509" priority="261">
      <formula>C$9&lt;8/24</formula>
    </cfRule>
    <cfRule type="expression" dxfId="508" priority="259">
      <formula>AND(C$9&gt;=14/24,C$9&lt;20/24)</formula>
    </cfRule>
  </conditionalFormatting>
  <conditionalFormatting sqref="D45">
    <cfRule type="expression" dxfId="507" priority="344">
      <formula>D$9&gt;=20/24</formula>
    </cfRule>
    <cfRule type="expression" dxfId="506" priority="347">
      <formula>D$9&lt;8/24</formula>
    </cfRule>
    <cfRule type="expression" dxfId="505" priority="346">
      <formula>AND(D$9&gt;=8/24,D$9&lt;14/24)</formula>
    </cfRule>
    <cfRule type="expression" dxfId="504" priority="345">
      <formula>AND(D$9&gt;=14/24,D$9&lt;20/24)</formula>
    </cfRule>
  </conditionalFormatting>
  <conditionalFormatting sqref="D50:U56 V52:W56">
    <cfRule type="expression" dxfId="503" priority="286">
      <formula>D$9&gt;=20/24</formula>
    </cfRule>
    <cfRule type="expression" dxfId="502" priority="287">
      <formula>AND(D$9&gt;=14/24,D$9&lt;20/24)</formula>
    </cfRule>
    <cfRule type="expression" dxfId="501" priority="288">
      <formula>AND(D$9&gt;=8/24,D$9&lt;14/24)</formula>
    </cfRule>
    <cfRule type="expression" dxfId="500" priority="289">
      <formula>D$9&lt;8/24</formula>
    </cfRule>
  </conditionalFormatting>
  <conditionalFormatting sqref="E45:L45 V45:W45 AE45:AF45">
    <cfRule type="expression" dxfId="499" priority="393">
      <formula>E$9&lt;8/24</formula>
    </cfRule>
  </conditionalFormatting>
  <conditionalFormatting sqref="E45:L47 V45:W47 AE45:AF47">
    <cfRule type="expression" dxfId="498" priority="390">
      <formula>E$9&gt;=20/24</formula>
    </cfRule>
    <cfRule type="expression" dxfId="497" priority="391">
      <formula>AND(E$9&gt;=14/24,E$9&lt;20/24)</formula>
    </cfRule>
    <cfRule type="expression" dxfId="496" priority="392">
      <formula>AND(E$9&gt;=8/24,E$9&lt;14/24)</formula>
    </cfRule>
  </conditionalFormatting>
  <conditionalFormatting sqref="E46:L47 V46:W47 AE46:AF47 E63:Y63">
    <cfRule type="expression" dxfId="495" priority="397">
      <formula>E$9&lt;8/24</formula>
    </cfRule>
  </conditionalFormatting>
  <conditionalFormatting sqref="J38:S38 D46:D47">
    <cfRule type="expression" dxfId="494" priority="319">
      <formula>AND(D$9&gt;=8/24,D$9&lt;14/24)</formula>
    </cfRule>
    <cfRule type="expression" dxfId="493" priority="320">
      <formula>D$9&lt;8/24</formula>
    </cfRule>
    <cfRule type="expression" dxfId="492" priority="317">
      <formula>D$9&gt;=20/24</formula>
    </cfRule>
    <cfRule type="expression" dxfId="491" priority="318">
      <formula>AND(D$9&gt;=14/24,D$9&lt;20/24)</formula>
    </cfRule>
  </conditionalFormatting>
  <conditionalFormatting sqref="M46:Q49 R48:U49">
    <cfRule type="expression" dxfId="490" priority="59">
      <formula>M46&gt;$AG46</formula>
    </cfRule>
    <cfRule type="expression" dxfId="489" priority="62">
      <formula>AND(M$9&gt;=8/24,M$9&lt;14/24)</formula>
    </cfRule>
    <cfRule type="expression" dxfId="488" priority="63">
      <formula>M$9&lt;8/24</formula>
    </cfRule>
    <cfRule type="expression" dxfId="487" priority="60">
      <formula>M$9&gt;=20/24</formula>
    </cfRule>
    <cfRule type="expression" dxfId="486" priority="61">
      <formula>AND(M$9&gt;=14/24,M$9&lt;20/24)</formula>
    </cfRule>
  </conditionalFormatting>
  <conditionalFormatting sqref="M45:R45 R46:R47">
    <cfRule type="expression" dxfId="485" priority="357">
      <formula>M45&gt;$AG45</formula>
    </cfRule>
  </conditionalFormatting>
  <conditionalFormatting sqref="M45:R45 S45:U47 R46:R47 V50:AD51">
    <cfRule type="expression" dxfId="484" priority="361">
      <formula>M$9&lt;8/24</formula>
    </cfRule>
    <cfRule type="expression" dxfId="483" priority="360">
      <formula>AND(M$9&gt;=8/24,M$9&lt;14/24)</formula>
    </cfRule>
    <cfRule type="expression" dxfId="482" priority="359">
      <formula>AND(M$9&gt;=14/24,M$9&lt;20/24)</formula>
    </cfRule>
    <cfRule type="expression" dxfId="481" priority="358">
      <formula>M$9&gt;=20/24</formula>
    </cfRule>
  </conditionalFormatting>
  <conditionalFormatting sqref="O3:P3">
    <cfRule type="iconSet" priority="432">
      <iconSet iconSet="3TrafficLights2" reverse="1">
        <cfvo type="percent" val="0"/>
        <cfvo type="num" val="1"/>
        <cfvo type="num" val="1"/>
      </iconSet>
    </cfRule>
  </conditionalFormatting>
  <conditionalFormatting sqref="Q19:W19 S24:W24">
    <cfRule type="expression" dxfId="480" priority="277">
      <formula>Q$9&gt;=20/24</formula>
    </cfRule>
    <cfRule type="expression" dxfId="479" priority="278">
      <formula>AND(Q$9&gt;=14/24,Q$9&lt;20/24)</formula>
    </cfRule>
    <cfRule type="expression" dxfId="478" priority="279">
      <formula>AND(Q$9&gt;=8/24,Q$9&lt;14/24)</formula>
    </cfRule>
    <cfRule type="expression" dxfId="477" priority="280">
      <formula>Q$9&lt;8/24</formula>
    </cfRule>
  </conditionalFormatting>
  <conditionalFormatting sqref="S8 AB8 B8 M8">
    <cfRule type="expression" dxfId="476" priority="434">
      <formula>C$9&gt;=20/24</formula>
    </cfRule>
  </conditionalFormatting>
  <conditionalFormatting sqref="S8">
    <cfRule type="expression" dxfId="475" priority="403">
      <formula>U$9&gt;=20/24</formula>
    </cfRule>
    <cfRule type="expression" dxfId="474" priority="405">
      <formula>AND(U$9&gt;=8/24,U$9&lt;14/24)</formula>
    </cfRule>
    <cfRule type="expression" dxfId="473" priority="406">
      <formula>U$9&lt;8/24</formula>
    </cfRule>
    <cfRule type="expression" dxfId="472" priority="404">
      <formula>AND(U$9&gt;=14/24,U$9&lt;20/24)</formula>
    </cfRule>
  </conditionalFormatting>
  <conditionalFormatting sqref="S11:V14 X25:Y27 X29:Y29 T38:AF38 L39:R39 T59:AF61 W12:Y14 S75:AF77 C78:AF78">
    <cfRule type="expression" dxfId="471" priority="388">
      <formula>C$9&lt;8/24</formula>
    </cfRule>
  </conditionalFormatting>
  <conditionalFormatting sqref="S11:V14 X25:Y27 X29:Y29 T38:AF38 L39:R39 T59:AF61">
    <cfRule type="expression" dxfId="470" priority="386">
      <formula>AND(L$9&gt;=14/24,L$9&lt;20/24)</formula>
    </cfRule>
    <cfRule type="expression" dxfId="469" priority="385">
      <formula>L$9&gt;=20/24</formula>
    </cfRule>
    <cfRule type="expression" dxfId="468" priority="387">
      <formula>AND(L$9&gt;=8/24,L$9&lt;14/24)</formula>
    </cfRule>
  </conditionalFormatting>
  <conditionalFormatting sqref="S25:W25 C59:S61 C62:AG62 C79:AG79 C80:AF81 C63:D73 E64:Y73">
    <cfRule type="expression" dxfId="467" priority="311">
      <formula>C$9&lt;8/24</formula>
    </cfRule>
  </conditionalFormatting>
  <conditionalFormatting sqref="S25:W25 C59:S61 C62:AG62 C79:AG79 C80:AF81">
    <cfRule type="expression" dxfId="466" priority="308">
      <formula>C$9&gt;=20/24</formula>
    </cfRule>
    <cfRule type="expression" dxfId="465" priority="310">
      <formula>AND(C$9&gt;=8/24,C$9&lt;14/24)</formula>
    </cfRule>
    <cfRule type="expression" dxfId="464" priority="309">
      <formula>AND(C$9&gt;=14/24,C$9&lt;20/24)</formula>
    </cfRule>
  </conditionalFormatting>
  <conditionalFormatting sqref="S11:Y16 S18:Y18 X37:Y37">
    <cfRule type="expression" dxfId="463" priority="422">
      <formula>S11&gt;$AG11</formula>
    </cfRule>
  </conditionalFormatting>
  <conditionalFormatting sqref="S15:Y15">
    <cfRule type="expression" dxfId="462" priority="375">
      <formula>S$9&lt;8/24</formula>
    </cfRule>
  </conditionalFormatting>
  <conditionalFormatting sqref="S17:Y17">
    <cfRule type="expression" dxfId="461" priority="216">
      <formula>S17&gt;$AG17</formula>
    </cfRule>
  </conditionalFormatting>
  <conditionalFormatting sqref="S17:Y18">
    <cfRule type="expression" dxfId="460" priority="214">
      <formula>S$9&lt;8/24</formula>
    </cfRule>
  </conditionalFormatting>
  <conditionalFormatting sqref="S45:AD47">
    <cfRule type="expression" dxfId="459" priority="334">
      <formula>S45&gt;$AG45</formula>
    </cfRule>
  </conditionalFormatting>
  <conditionalFormatting sqref="S39:AF39">
    <cfRule type="expression" dxfId="458" priority="424">
      <formula>AND(S$9&gt;=14/24,S$9&lt;20/24)</formula>
    </cfRule>
    <cfRule type="expression" dxfId="457" priority="423">
      <formula>S$9&gt;=20/24</formula>
    </cfRule>
    <cfRule type="expression" dxfId="456" priority="425">
      <formula>AND(S$9&gt;=8/24,S$9&lt;14/24)</formula>
    </cfRule>
    <cfRule type="expression" dxfId="455" priority="426">
      <formula>S$9&lt;8/24</formula>
    </cfRule>
  </conditionalFormatting>
  <conditionalFormatting sqref="T237">
    <cfRule type="expression" dxfId="454" priority="450">
      <formula>AX$9&lt;8/24</formula>
    </cfRule>
    <cfRule type="expression" dxfId="453" priority="449">
      <formula>AND(AX$9&gt;=8/24,AX$9&lt;14/24)</formula>
    </cfRule>
    <cfRule type="expression" dxfId="452" priority="447">
      <formula>AX$9&gt;=20/24</formula>
    </cfRule>
    <cfRule type="expression" dxfId="451" priority="448">
      <formula>AND(AX$9&gt;=14/24,AX$9&lt;20/24)</formula>
    </cfRule>
  </conditionalFormatting>
  <conditionalFormatting sqref="V3 AB3">
    <cfRule type="iconSet" priority="433">
      <iconSet iconSet="3TrafficLights2" reverse="1">
        <cfvo type="percent" val="0"/>
        <cfvo type="num" val="1"/>
        <cfvo type="num" val="1"/>
      </iconSet>
    </cfRule>
  </conditionalFormatting>
  <conditionalFormatting sqref="V48:AD49 AE50:AF56">
    <cfRule type="expression" dxfId="450" priority="364">
      <formula>AND(V$9&gt;=14/24,V$9&lt;20/24)</formula>
    </cfRule>
    <cfRule type="expression" dxfId="449" priority="363">
      <formula>V$9&gt;=20/24</formula>
    </cfRule>
    <cfRule type="expression" dxfId="448" priority="366">
      <formula>V$9&lt;8/24</formula>
    </cfRule>
    <cfRule type="expression" dxfId="447" priority="365">
      <formula>AND(V$9&gt;=8/24,V$9&lt;14/24)</formula>
    </cfRule>
  </conditionalFormatting>
  <conditionalFormatting sqref="V48:AD56">
    <cfRule type="expression" dxfId="446" priority="218">
      <formula>V48&gt;$AG48</formula>
    </cfRule>
  </conditionalFormatting>
  <conditionalFormatting sqref="W11:Y11 S16:Y16 S20:Y23 B9:AF10 B216:AF216 B218:B224 D218:AF224 U237:AF237">
    <cfRule type="expression" dxfId="445" priority="428">
      <formula>B$9&gt;=20/24</formula>
    </cfRule>
  </conditionalFormatting>
  <conditionalFormatting sqref="W12:AF14 Z25:AF27 Z29:AF29">
    <cfRule type="expression" dxfId="444" priority="48">
      <formula>AND(W$9&gt;=8/24,W$9&lt;14/24)</formula>
    </cfRule>
    <cfRule type="expression" dxfId="443" priority="47">
      <formula>AND(W$9&gt;=14/24,W$9&lt;20/24)</formula>
    </cfRule>
  </conditionalFormatting>
  <conditionalFormatting sqref="X103">
    <cfRule type="expression" dxfId="442" priority="58">
      <formula>X$9&lt;8/24</formula>
    </cfRule>
    <cfRule type="expression" dxfId="441" priority="57">
      <formula>AND(X$9&gt;=8/24,X$9&lt;14/24)</formula>
    </cfRule>
    <cfRule type="expression" dxfId="440" priority="56">
      <formula>AND(X$9&gt;=14/24,X$9&lt;20/24)</formula>
    </cfRule>
    <cfRule type="expression" dxfId="439" priority="55">
      <formula>X$9&gt;=20/24</formula>
    </cfRule>
  </conditionalFormatting>
  <conditionalFormatting sqref="X19:Y19 X24:Y24">
    <cfRule type="expression" dxfId="438" priority="351">
      <formula>AND(X$9&gt;=8/24,X$9&lt;14/24)</formula>
    </cfRule>
    <cfRule type="expression" dxfId="437" priority="350">
      <formula>AND(X$9&gt;=14/24,X$9&lt;20/24)</formula>
    </cfRule>
    <cfRule type="expression" dxfId="436" priority="349">
      <formula>X$9&gt;=20/24</formula>
    </cfRule>
    <cfRule type="expression" dxfId="435" priority="352">
      <formula>X$9&lt;8/24</formula>
    </cfRule>
  </conditionalFormatting>
  <conditionalFormatting sqref="X24:Y24">
    <cfRule type="expression" dxfId="434" priority="348">
      <formula>X24&gt;$AG24</formula>
    </cfRule>
  </conditionalFormatting>
  <conditionalFormatting sqref="X25:Y29">
    <cfRule type="expression" dxfId="433" priority="380">
      <formula>X25&gt;$AG25</formula>
    </cfRule>
  </conditionalFormatting>
  <conditionalFormatting sqref="X28:Y28">
    <cfRule type="expression" dxfId="432" priority="356">
      <formula>X$9&lt;8/24</formula>
    </cfRule>
  </conditionalFormatting>
  <conditionalFormatting sqref="X30:Y30">
    <cfRule type="expression" dxfId="431" priority="201">
      <formula>X$9&gt;=20/24</formula>
    </cfRule>
    <cfRule type="expression" dxfId="430" priority="202">
      <formula>AND(X$9&gt;=14/24,X$9&lt;20/24)</formula>
    </cfRule>
    <cfRule type="expression" dxfId="429" priority="203">
      <formula>AND(X$9&gt;=8/24,X$9&lt;14/24)</formula>
    </cfRule>
    <cfRule type="expression" dxfId="428" priority="204">
      <formula>X$9&lt;8/24</formula>
    </cfRule>
  </conditionalFormatting>
  <conditionalFormatting sqref="X31:Y35">
    <cfRule type="expression" dxfId="427" priority="381">
      <formula>X$9&gt;=20/24</formula>
    </cfRule>
    <cfRule type="expression" dxfId="426" priority="383">
      <formula>AND(X$9&gt;=8/24,X$9&lt;14/24)</formula>
    </cfRule>
    <cfRule type="expression" dxfId="425" priority="384">
      <formula>X$9&lt;8/24</formula>
    </cfRule>
    <cfRule type="expression" dxfId="424" priority="382">
      <formula>AND(X$9&gt;=14/24,X$9&lt;20/24)</formula>
    </cfRule>
  </conditionalFormatting>
  <conditionalFormatting sqref="X36:Y37">
    <cfRule type="expression" dxfId="423" priority="371">
      <formula>X$9&lt;8/24</formula>
    </cfRule>
    <cfRule type="expression" dxfId="422" priority="370">
      <formula>AND(X$9&gt;=8/24,X$9&lt;14/24)</formula>
    </cfRule>
    <cfRule type="expression" dxfId="421" priority="369">
      <formula>AND(X$9&gt;=14/24,X$9&lt;20/24)</formula>
    </cfRule>
    <cfRule type="expression" dxfId="420" priority="368">
      <formula>X$9&gt;=20/24</formula>
    </cfRule>
  </conditionalFormatting>
  <conditionalFormatting sqref="X45:AD47">
    <cfRule type="expression" dxfId="419" priority="338">
      <formula>X$9&lt;8/24</formula>
    </cfRule>
    <cfRule type="expression" dxfId="418" priority="337">
      <formula>AND(X$9&gt;=8/24,X$9&lt;14/24)</formula>
    </cfRule>
    <cfRule type="expression" dxfId="417" priority="336">
      <formula>AND(X$9&gt;=14/24,X$9&lt;20/24)</formula>
    </cfRule>
    <cfRule type="expression" dxfId="416" priority="335">
      <formula>X$9&gt;=20/24</formula>
    </cfRule>
  </conditionalFormatting>
  <conditionalFormatting sqref="X52:AD56">
    <cfRule type="expression" dxfId="415" priority="220">
      <formula>AND(X$9&gt;=14/24,X$9&lt;20/24)</formula>
    </cfRule>
    <cfRule type="expression" dxfId="414" priority="219">
      <formula>X$9&gt;=20/24</formula>
    </cfRule>
    <cfRule type="expression" dxfId="413" priority="221">
      <formula>AND(X$9&gt;=8/24,X$9&lt;14/24)</formula>
    </cfRule>
    <cfRule type="expression" dxfId="412" priority="222">
      <formula>X$9&lt;8/24</formula>
    </cfRule>
  </conditionalFormatting>
  <conditionalFormatting sqref="Z11:AF11 Z16:AF16 Z20:AF23">
    <cfRule type="expression" dxfId="411" priority="54">
      <formula>Z$9&lt;8/24</formula>
    </cfRule>
    <cfRule type="expression" dxfId="410" priority="53">
      <formula>AND(Z$9&gt;=8/24,Z$9&lt;14/24)</formula>
    </cfRule>
    <cfRule type="expression" dxfId="409" priority="52">
      <formula>AND(Z$9&gt;=14/24,Z$9&lt;20/24)</formula>
    </cfRule>
    <cfRule type="expression" dxfId="408" priority="51">
      <formula>Z$9&gt;=20/24</formula>
    </cfRule>
  </conditionalFormatting>
  <conditionalFormatting sqref="Z11:AF16 Z18:AF18 Z37:AF37">
    <cfRule type="expression" dxfId="407" priority="50">
      <formula>Z11&gt;$AG11</formula>
    </cfRule>
  </conditionalFormatting>
  <conditionalFormatting sqref="Z15:AF15">
    <cfRule type="expression" dxfId="406" priority="36">
      <formula>Z$9&lt;8/24</formula>
    </cfRule>
  </conditionalFormatting>
  <conditionalFormatting sqref="Z17:AF17">
    <cfRule type="expression" dxfId="405" priority="15">
      <formula>AND(Z$9&gt;=14/24,Z$9&lt;20/24)</formula>
    </cfRule>
    <cfRule type="expression" dxfId="404" priority="14">
      <formula>Z$9&gt;=20/24</formula>
    </cfRule>
    <cfRule type="expression" dxfId="403" priority="18">
      <formula>Z17&gt;$AG17</formula>
    </cfRule>
    <cfRule type="expression" dxfId="402" priority="17">
      <formula>Z$9&lt;8/24</formula>
    </cfRule>
    <cfRule type="expression" dxfId="401" priority="16">
      <formula>AND(Z$9&gt;=8/24,Z$9&lt;14/24)</formula>
    </cfRule>
  </conditionalFormatting>
  <conditionalFormatting sqref="Z18:AF19 Z24:AF24">
    <cfRule type="expression" dxfId="400" priority="21">
      <formula>AND(Z$9&gt;=14/24,Z$9&lt;20/24)</formula>
    </cfRule>
    <cfRule type="expression" dxfId="399" priority="20">
      <formula>Z$9&gt;=20/24</formula>
    </cfRule>
    <cfRule type="expression" dxfId="398" priority="22">
      <formula>AND(Z$9&gt;=8/24,Z$9&lt;14/24)</formula>
    </cfRule>
  </conditionalFormatting>
  <conditionalFormatting sqref="Z19:AF19 Z24:AF24">
    <cfRule type="expression" dxfId="397" priority="23">
      <formula>Z$9&lt;8/24</formula>
    </cfRule>
  </conditionalFormatting>
  <conditionalFormatting sqref="Z19:AF24">
    <cfRule type="expression" dxfId="396" priority="19">
      <formula>Z19&gt;$AG19</formula>
    </cfRule>
  </conditionalFormatting>
  <conditionalFormatting sqref="Z25:AF27 Z29:AF29 W12:AF14">
    <cfRule type="expression" dxfId="395" priority="46">
      <formula>W$9&gt;=20/24</formula>
    </cfRule>
  </conditionalFormatting>
  <conditionalFormatting sqref="Z25:AF27 Z29:AF29 Z12:AF14 Z31:AF34 Z18:AF18">
    <cfRule type="expression" dxfId="394" priority="49">
      <formula>Z$9&lt;8/24</formula>
    </cfRule>
  </conditionalFormatting>
  <conditionalFormatting sqref="Z25:AF29">
    <cfRule type="expression" dxfId="393" priority="41">
      <formula>Z25&gt;$AG25</formula>
    </cfRule>
  </conditionalFormatting>
  <conditionalFormatting sqref="Z28:AF28">
    <cfRule type="expression" dxfId="392" priority="27">
      <formula>Z$9&lt;8/24</formula>
    </cfRule>
  </conditionalFormatting>
  <conditionalFormatting sqref="Z30:AF30">
    <cfRule type="expression" dxfId="391" priority="13">
      <formula>Z$9&lt;8/24</formula>
    </cfRule>
    <cfRule type="expression" dxfId="390" priority="12">
      <formula>AND(Z$9&gt;=8/24,Z$9&lt;14/24)</formula>
    </cfRule>
    <cfRule type="expression" dxfId="389" priority="11">
      <formula>AND(Z$9&gt;=14/24,Z$9&lt;20/24)</formula>
    </cfRule>
    <cfRule type="expression" dxfId="388" priority="10">
      <formula>Z$9&gt;=20/24</formula>
    </cfRule>
  </conditionalFormatting>
  <conditionalFormatting sqref="Z31:AF35">
    <cfRule type="expression" dxfId="387" priority="43">
      <formula>AND(Z$9&gt;=14/24,Z$9&lt;20/24)</formula>
    </cfRule>
    <cfRule type="expression" dxfId="386" priority="44">
      <formula>AND(Z$9&gt;=8/24,Z$9&lt;14/24)</formula>
    </cfRule>
    <cfRule type="expression" dxfId="385" priority="42">
      <formula>Z$9&gt;=20/24</formula>
    </cfRule>
  </conditionalFormatting>
  <conditionalFormatting sqref="Z35:AF35">
    <cfRule type="expression" dxfId="384" priority="45">
      <formula>Z$9&lt;8/24</formula>
    </cfRule>
  </conditionalFormatting>
  <conditionalFormatting sqref="Z36:AF36">
    <cfRule type="expression" dxfId="383" priority="32">
      <formula>Z$9&lt;8/24</formula>
    </cfRule>
  </conditionalFormatting>
  <conditionalFormatting sqref="Z36:AF37">
    <cfRule type="expression" dxfId="382" priority="31">
      <formula>AND(Z$9&gt;=8/24,Z$9&lt;14/24)</formula>
    </cfRule>
    <cfRule type="expression" dxfId="381" priority="30">
      <formula>AND(Z$9&gt;=14/24,Z$9&lt;20/24)</formula>
    </cfRule>
    <cfRule type="expression" dxfId="380" priority="29">
      <formula>Z$9&gt;=20/24</formula>
    </cfRule>
  </conditionalFormatting>
  <conditionalFormatting sqref="Z37:AF37">
    <cfRule type="expression" dxfId="379" priority="40">
      <formula>Z$9&lt;8/24</formula>
    </cfRule>
  </conditionalFormatting>
  <conditionalFormatting sqref="Z63:AF63">
    <cfRule type="expression" dxfId="378" priority="8">
      <formula>Z$9&lt;8/24</formula>
    </cfRule>
  </conditionalFormatting>
  <conditionalFormatting sqref="Z64:AF73">
    <cfRule type="expression" dxfId="377" priority="4">
      <formula>Z$9&lt;8/24</formula>
    </cfRule>
  </conditionalFormatting>
  <conditionalFormatting sqref="AB8">
    <cfRule type="expression" dxfId="376" priority="402">
      <formula>AD$9&lt;8/24</formula>
    </cfRule>
    <cfRule type="expression" dxfId="375" priority="399">
      <formula>AD$9&gt;=20/24</formula>
    </cfRule>
    <cfRule type="expression" dxfId="374" priority="400">
      <formula>AND(AD$9&gt;=14/24,AD$9&lt;20/24)</formula>
    </cfRule>
    <cfRule type="expression" dxfId="373" priority="401">
      <formula>AND(AD$9&gt;=8/24,AD$9&lt;14/24)</formula>
    </cfRule>
  </conditionalFormatting>
  <conditionalFormatting sqref="AE45:AF56">
    <cfRule type="expression" dxfId="372" priority="362">
      <formula>AE45&gt;$AG45</formula>
    </cfRule>
  </conditionalFormatting>
  <conditionalFormatting sqref="AG237">
    <cfRule type="expression" dxfId="371" priority="439">
      <formula>B$9&gt;=20/24</formula>
    </cfRule>
    <cfRule type="expression" dxfId="370" priority="440">
      <formula>AND(B$9&gt;=14/24,B$9&lt;20/24)</formula>
    </cfRule>
    <cfRule type="expression" dxfId="369" priority="441">
      <formula>AND(B$9&gt;=8/24,B$9&lt;14/24)</formula>
    </cfRule>
    <cfRule type="expression" dxfId="368" priority="442">
      <formula>B$9&lt;8/24</formula>
    </cfRule>
  </conditionalFormatting>
  <conditionalFormatting sqref="AH237:AX237">
    <cfRule type="expression" dxfId="367" priority="443">
      <formula>AG$9&gt;=20/24</formula>
    </cfRule>
    <cfRule type="expression" dxfId="366" priority="444">
      <formula>AND(AG$9&gt;=14/24,AG$9&lt;20/24)</formula>
    </cfRule>
    <cfRule type="expression" dxfId="365" priority="445">
      <formula>AND(AG$9&gt;=8/24,AG$9&lt;14/24)</formula>
    </cfRule>
    <cfRule type="expression" dxfId="364" priority="446">
      <formula>AG$9&lt;8/24</formula>
    </cfRule>
  </conditionalFormatting>
  <conditionalFormatting sqref="AL4:AL6">
    <cfRule type="iconSet" priority="427">
      <iconSet iconSet="3TrafficLights2" reverse="1">
        <cfvo type="percent" val="0"/>
        <cfvo type="num" val="1"/>
        <cfvo type="num" val="1"/>
      </iconSet>
    </cfRule>
  </conditionalFormatting>
  <conditionalFormatting sqref="AL17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AL30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419">
      <iconSet iconSet="3TrafficLights2" reverse="1">
        <cfvo type="percent" val="0"/>
        <cfvo type="num" val="1"/>
        <cfvo type="num" val="1"/>
      </iconSet>
    </cfRule>
  </conditionalFormatting>
  <conditionalFormatting sqref="AL36">
    <cfRule type="iconSet" priority="407">
      <iconSet iconSet="3TrafficLights2" reverse="1">
        <cfvo type="percent" val="0"/>
        <cfvo type="num" val="1"/>
        <cfvo type="num" val="1"/>
      </iconSet>
    </cfRule>
  </conditionalFormatting>
  <conditionalFormatting sqref="AL37 AL34 AL18:AL29 AL7:AL16 AL31:AL32">
    <cfRule type="iconSet" priority="451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0" id="{7C219A41-D673-4CC0-A55D-9D762D7462E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89" id="{532E3B92-D6BB-461C-AE5E-6BEAD2298CD4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8" id="{F7B8FDB3-799E-4606-9A15-67440C3665D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7" id="{78353A03-DD48-4542-B251-32F48274C84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m:sqref>B82</xm:sqref>
        </x14:conditionalFormatting>
        <x14:conditionalFormatting xmlns:xm="http://schemas.microsoft.com/office/excel/2006/main">
          <x14:cfRule type="expression" priority="86" id="{385F5DCF-25A9-487B-9BAE-A695A5471CE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85" id="{207D4712-2FF6-499A-AC4C-5017315D287B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4" id="{C415EDE7-C05F-4A93-865F-D3E22C52ED7F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3" id="{8E00E37A-B2CB-4FAE-8669-26AD29931642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  <x14:conditionalFormatting xmlns:xm="http://schemas.microsoft.com/office/excel/2006/main">
          <x14:cfRule type="expression" priority="247" id="{483F79DD-3274-427B-8FBA-DF21041944A7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245" id="{16D6AE54-8969-4C7A-AD70-AC4F1954845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44" id="{C7B46577-4248-4864-A4ED-B2BF476817EB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46" id="{918A9C9D-99B2-4EA9-9359-04C3A50F2115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C82:AF82</xm:sqref>
        </x14:conditionalFormatting>
        <x14:conditionalFormatting xmlns:xm="http://schemas.microsoft.com/office/excel/2006/main">
          <x14:cfRule type="expression" priority="237" id="{09B0C9A5-97F2-4F91-85D9-44D2BBA4B698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38" id="{D74A4AA8-EB03-4E2A-BC44-78F62813D83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39" id="{022C3F41-DA38-4C2D-B88C-3819178D39DA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40" id="{773E1764-E6F5-467D-AA53-EA79E6C0140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J270"/>
  <sheetViews>
    <sheetView zoomScale="90" zoomScaleNormal="9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AC27" sqref="AC2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2079/06/13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1197MW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Load=992</v>
      </c>
      <c r="B7" s="35">
        <f t="shared" ref="B7:AF7" si="1">B81</f>
        <v>1003.04</v>
      </c>
      <c r="C7" s="35">
        <f t="shared" si="1"/>
        <v>1003.04</v>
      </c>
      <c r="D7" s="35">
        <f t="shared" si="1"/>
        <v>993.04</v>
      </c>
      <c r="E7" s="35">
        <f t="shared" si="1"/>
        <v>994.04</v>
      </c>
      <c r="F7" s="35">
        <f t="shared" si="1"/>
        <v>991.94</v>
      </c>
      <c r="G7" s="35">
        <f t="shared" si="1"/>
        <v>1013.3399999999999</v>
      </c>
      <c r="H7" s="35">
        <f t="shared" si="1"/>
        <v>1046.2400000000002</v>
      </c>
      <c r="I7" s="35">
        <f t="shared" si="1"/>
        <v>1075.6399999999999</v>
      </c>
      <c r="J7" s="35">
        <f t="shared" si="1"/>
        <v>1120.6400000000001</v>
      </c>
      <c r="K7" s="35">
        <f t="shared" si="1"/>
        <v>1145.74</v>
      </c>
      <c r="L7" s="35">
        <f t="shared" si="1"/>
        <v>1182.44</v>
      </c>
      <c r="M7" s="35">
        <f t="shared" si="1"/>
        <v>1181.92</v>
      </c>
      <c r="N7" s="35">
        <f t="shared" si="1"/>
        <v>1196.93</v>
      </c>
      <c r="O7" s="35">
        <f t="shared" si="1"/>
        <v>1183.1400000000001</v>
      </c>
      <c r="P7" s="35">
        <f t="shared" si="1"/>
        <v>1172.79</v>
      </c>
      <c r="Q7" s="35">
        <f t="shared" si="1"/>
        <v>1155.47</v>
      </c>
      <c r="R7" s="35">
        <f t="shared" si="1"/>
        <v>1160.1400000000001</v>
      </c>
      <c r="S7" s="35">
        <f t="shared" si="1"/>
        <v>1119.8600000000001</v>
      </c>
      <c r="T7" s="35">
        <f t="shared" si="1"/>
        <v>1139.97</v>
      </c>
      <c r="U7" s="35">
        <f t="shared" si="1"/>
        <v>1136.77</v>
      </c>
      <c r="V7" s="35">
        <f t="shared" si="1"/>
        <v>1173.6400000000001</v>
      </c>
      <c r="W7" s="35">
        <f t="shared" si="1"/>
        <v>1219.44</v>
      </c>
      <c r="X7" s="35">
        <f t="shared" si="1"/>
        <v>1305.7399999999998</v>
      </c>
      <c r="Y7" s="35">
        <f t="shared" si="1"/>
        <v>1322.04</v>
      </c>
      <c r="Z7" s="35">
        <f t="shared" si="1"/>
        <v>1306.8399999999999</v>
      </c>
      <c r="AA7" s="35">
        <f t="shared" si="1"/>
        <v>1267.04</v>
      </c>
      <c r="AB7" s="35">
        <f t="shared" si="1"/>
        <v>1240.44</v>
      </c>
      <c r="AC7" s="35">
        <f t="shared" si="1"/>
        <v>1208.44</v>
      </c>
      <c r="AD7" s="35">
        <f t="shared" si="1"/>
        <v>1191.44</v>
      </c>
      <c r="AE7" s="35">
        <f t="shared" si="1"/>
        <v>1103.94</v>
      </c>
      <c r="AF7" s="35">
        <f t="shared" si="1"/>
        <v>1061.94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52.7</v>
      </c>
      <c r="C11" s="45">
        <v>52.7</v>
      </c>
      <c r="D11" s="45">
        <v>52.7</v>
      </c>
      <c r="E11" s="45">
        <v>52.7</v>
      </c>
      <c r="F11" s="45">
        <v>52.7</v>
      </c>
      <c r="G11" s="45">
        <v>52.7</v>
      </c>
      <c r="H11" s="45">
        <v>52.7</v>
      </c>
      <c r="I11" s="45">
        <v>52.7</v>
      </c>
      <c r="J11" s="45">
        <v>52.7</v>
      </c>
      <c r="K11" s="45">
        <v>52.7</v>
      </c>
      <c r="L11" s="45">
        <v>52.7</v>
      </c>
      <c r="M11" s="45">
        <v>52.7</v>
      </c>
      <c r="N11" s="45">
        <v>52.7</v>
      </c>
      <c r="O11" s="45">
        <v>52.7</v>
      </c>
      <c r="P11" s="45">
        <v>52.6</v>
      </c>
      <c r="Q11" s="45">
        <v>52.7</v>
      </c>
      <c r="R11" s="45">
        <v>52.7</v>
      </c>
      <c r="S11" s="45">
        <v>52.7</v>
      </c>
      <c r="T11" s="46">
        <v>52.7</v>
      </c>
      <c r="U11" s="46">
        <v>52.7</v>
      </c>
      <c r="V11" s="46">
        <v>52.7</v>
      </c>
      <c r="W11" s="46">
        <v>52.7</v>
      </c>
      <c r="X11" s="46">
        <v>52.7</v>
      </c>
      <c r="Y11" s="46">
        <v>52.7</v>
      </c>
      <c r="Z11" s="46">
        <v>52.7</v>
      </c>
      <c r="AA11" s="46">
        <v>52.7</v>
      </c>
      <c r="AB11" s="46">
        <v>52.7</v>
      </c>
      <c r="AC11" s="46">
        <v>52.7</v>
      </c>
      <c r="AD11" s="46">
        <v>52.7</v>
      </c>
      <c r="AE11" s="46">
        <v>52.7</v>
      </c>
      <c r="AF11" s="46">
        <v>52.7</v>
      </c>
      <c r="AG11" s="47">
        <v>52.4</v>
      </c>
      <c r="AH11" s="48">
        <f>MAX(B11:AF11)</f>
        <v>52.7</v>
      </c>
      <c r="AI11" s="49">
        <f>MIN(B11:AF11)</f>
        <v>52.6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50.7</v>
      </c>
      <c r="C12" s="45">
        <v>50.7</v>
      </c>
      <c r="D12" s="45">
        <v>50.7</v>
      </c>
      <c r="E12" s="45">
        <v>50.7</v>
      </c>
      <c r="F12" s="45">
        <v>50.7</v>
      </c>
      <c r="G12" s="45">
        <v>50.7</v>
      </c>
      <c r="H12" s="45">
        <v>50.7</v>
      </c>
      <c r="I12" s="45">
        <v>50.7</v>
      </c>
      <c r="J12" s="45">
        <v>50.7</v>
      </c>
      <c r="K12" s="45">
        <v>50.7</v>
      </c>
      <c r="L12" s="45">
        <v>50.7</v>
      </c>
      <c r="M12" s="45">
        <v>50.7</v>
      </c>
      <c r="N12" s="45">
        <v>50.7</v>
      </c>
      <c r="O12" s="45">
        <v>50.7</v>
      </c>
      <c r="P12" s="45">
        <v>50.2</v>
      </c>
      <c r="Q12" s="45">
        <v>50.2</v>
      </c>
      <c r="R12" s="45">
        <v>50.2</v>
      </c>
      <c r="S12" s="45">
        <v>50.2</v>
      </c>
      <c r="T12" s="45">
        <v>50.5</v>
      </c>
      <c r="U12" s="45">
        <v>50.5</v>
      </c>
      <c r="V12" s="45">
        <v>50.5</v>
      </c>
      <c r="W12" s="45">
        <v>50.5</v>
      </c>
      <c r="X12" s="45">
        <v>50.5</v>
      </c>
      <c r="Y12" s="45">
        <v>50.5</v>
      </c>
      <c r="Z12" s="45">
        <v>50.5</v>
      </c>
      <c r="AA12" s="45">
        <v>50.5</v>
      </c>
      <c r="AB12" s="45">
        <v>50.5</v>
      </c>
      <c r="AC12" s="45">
        <v>50.5</v>
      </c>
      <c r="AD12" s="45">
        <v>50.5</v>
      </c>
      <c r="AE12" s="45">
        <v>50.5</v>
      </c>
      <c r="AF12" s="45">
        <v>50.5</v>
      </c>
      <c r="AG12" s="51">
        <v>50</v>
      </c>
      <c r="AH12" s="48">
        <f t="shared" ref="AH12:AH75" si="2">MAX(B12:AF12)</f>
        <v>50.7</v>
      </c>
      <c r="AI12" s="49">
        <f t="shared" ref="AI12:AI75" si="3">MIN(B12:AF12)</f>
        <v>50.2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25</v>
      </c>
      <c r="C13" s="45">
        <v>25</v>
      </c>
      <c r="D13" s="45">
        <v>25</v>
      </c>
      <c r="E13" s="45">
        <v>25</v>
      </c>
      <c r="F13" s="45">
        <v>25</v>
      </c>
      <c r="G13" s="45">
        <v>25</v>
      </c>
      <c r="H13" s="45">
        <v>25</v>
      </c>
      <c r="I13" s="45">
        <v>25</v>
      </c>
      <c r="J13" s="45">
        <v>25</v>
      </c>
      <c r="K13" s="45">
        <v>25</v>
      </c>
      <c r="L13" s="45">
        <v>41.5</v>
      </c>
      <c r="M13" s="45">
        <v>42</v>
      </c>
      <c r="N13" s="45">
        <v>42</v>
      </c>
      <c r="O13" s="45">
        <v>42</v>
      </c>
      <c r="P13" s="45">
        <v>42</v>
      </c>
      <c r="Q13" s="45">
        <v>42</v>
      </c>
      <c r="R13" s="45">
        <v>42</v>
      </c>
      <c r="S13" s="45">
        <v>42</v>
      </c>
      <c r="T13" s="45">
        <v>41.6</v>
      </c>
      <c r="U13" s="45">
        <v>41.6</v>
      </c>
      <c r="V13" s="45">
        <v>41.6</v>
      </c>
      <c r="W13" s="45">
        <v>41.6</v>
      </c>
      <c r="X13" s="45">
        <v>46</v>
      </c>
      <c r="Y13" s="45">
        <v>46</v>
      </c>
      <c r="Z13" s="45">
        <v>46</v>
      </c>
      <c r="AA13" s="45">
        <v>46</v>
      </c>
      <c r="AB13" s="45">
        <v>41</v>
      </c>
      <c r="AC13" s="45">
        <v>41</v>
      </c>
      <c r="AD13" s="45">
        <v>41</v>
      </c>
      <c r="AE13" s="45">
        <v>30</v>
      </c>
      <c r="AF13" s="45">
        <v>30</v>
      </c>
      <c r="AG13" s="51">
        <v>45</v>
      </c>
      <c r="AH13" s="48">
        <f t="shared" si="2"/>
        <v>46</v>
      </c>
      <c r="AI13" s="49">
        <f t="shared" si="3"/>
        <v>25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15.5</v>
      </c>
      <c r="C14" s="45">
        <v>15.5</v>
      </c>
      <c r="D14" s="45">
        <v>15.5</v>
      </c>
      <c r="E14" s="45">
        <v>15.5</v>
      </c>
      <c r="F14" s="45">
        <v>15.5</v>
      </c>
      <c r="G14" s="45">
        <v>15.5</v>
      </c>
      <c r="H14" s="45">
        <v>15.5</v>
      </c>
      <c r="I14" s="45">
        <v>15.5</v>
      </c>
      <c r="J14" s="45">
        <v>15.5</v>
      </c>
      <c r="K14" s="45">
        <v>15.5</v>
      </c>
      <c r="L14" s="45">
        <v>15.5</v>
      </c>
      <c r="M14" s="45">
        <v>15.5</v>
      </c>
      <c r="N14" s="45">
        <v>20</v>
      </c>
      <c r="O14" s="45">
        <v>16</v>
      </c>
      <c r="P14" s="45">
        <v>16</v>
      </c>
      <c r="Q14" s="45">
        <v>16</v>
      </c>
      <c r="R14" s="45">
        <v>16</v>
      </c>
      <c r="S14" s="45">
        <v>16</v>
      </c>
      <c r="T14" s="45">
        <v>16</v>
      </c>
      <c r="U14" s="45">
        <v>16</v>
      </c>
      <c r="V14" s="45">
        <v>16</v>
      </c>
      <c r="W14" s="45">
        <v>16</v>
      </c>
      <c r="X14" s="45">
        <v>40</v>
      </c>
      <c r="Y14" s="45">
        <v>40</v>
      </c>
      <c r="Z14" s="45">
        <v>28</v>
      </c>
      <c r="AA14" s="45">
        <v>28</v>
      </c>
      <c r="AB14" s="45">
        <v>20</v>
      </c>
      <c r="AC14" s="45">
        <v>16</v>
      </c>
      <c r="AD14" s="45">
        <v>16</v>
      </c>
      <c r="AE14" s="45">
        <v>16</v>
      </c>
      <c r="AF14" s="45">
        <v>16</v>
      </c>
      <c r="AG14" s="51">
        <v>42</v>
      </c>
      <c r="AH14" s="48">
        <f t="shared" si="2"/>
        <v>40</v>
      </c>
      <c r="AI14" s="49">
        <f t="shared" si="3"/>
        <v>15.5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5</v>
      </c>
      <c r="W15" s="45">
        <v>5</v>
      </c>
      <c r="X15" s="45">
        <v>30</v>
      </c>
      <c r="Y15" s="45">
        <v>30</v>
      </c>
      <c r="Z15" s="45">
        <v>30</v>
      </c>
      <c r="AA15" s="45">
        <v>10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52">
        <v>30</v>
      </c>
      <c r="AH15" s="48">
        <f t="shared" si="2"/>
        <v>30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15.5</v>
      </c>
      <c r="C16" s="45">
        <v>15.5</v>
      </c>
      <c r="D16" s="45">
        <v>15.5</v>
      </c>
      <c r="E16" s="45">
        <v>15.5</v>
      </c>
      <c r="F16" s="45">
        <v>15.5</v>
      </c>
      <c r="G16" s="45">
        <v>15.5</v>
      </c>
      <c r="H16" s="45">
        <v>15.5</v>
      </c>
      <c r="I16" s="45">
        <v>15.5</v>
      </c>
      <c r="J16" s="45">
        <v>15.5</v>
      </c>
      <c r="K16" s="45">
        <v>15.5</v>
      </c>
      <c r="L16" s="45">
        <v>15.5</v>
      </c>
      <c r="M16" s="45">
        <v>15.5</v>
      </c>
      <c r="N16" s="45">
        <v>15.5</v>
      </c>
      <c r="O16" s="45">
        <v>15.5</v>
      </c>
      <c r="P16" s="45">
        <v>15.6</v>
      </c>
      <c r="Q16" s="45">
        <v>15.6</v>
      </c>
      <c r="R16" s="45">
        <v>15.6</v>
      </c>
      <c r="S16" s="45">
        <v>15.6</v>
      </c>
      <c r="T16" s="45">
        <v>15.6</v>
      </c>
      <c r="U16" s="45">
        <v>15.6</v>
      </c>
      <c r="V16" s="45">
        <v>15.6</v>
      </c>
      <c r="W16" s="45">
        <v>15.6</v>
      </c>
      <c r="X16" s="45">
        <v>15.6</v>
      </c>
      <c r="Y16" s="45">
        <v>15.6</v>
      </c>
      <c r="Z16" s="45">
        <v>15.6</v>
      </c>
      <c r="AA16" s="45">
        <v>15.6</v>
      </c>
      <c r="AB16" s="45">
        <v>15.6</v>
      </c>
      <c r="AC16" s="45">
        <v>15.6</v>
      </c>
      <c r="AD16" s="45">
        <v>15.6</v>
      </c>
      <c r="AE16" s="45">
        <v>15.6</v>
      </c>
      <c r="AF16" s="45">
        <v>15.6</v>
      </c>
      <c r="AG16" s="51">
        <v>24.2</v>
      </c>
      <c r="AH16" s="48">
        <f t="shared" si="2"/>
        <v>15.6</v>
      </c>
      <c r="AI16" s="49">
        <f t="shared" si="3"/>
        <v>15.5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4</v>
      </c>
      <c r="W17" s="45">
        <v>6</v>
      </c>
      <c r="X17" s="45">
        <v>27</v>
      </c>
      <c r="Y17" s="45">
        <v>27</v>
      </c>
      <c r="Z17" s="45">
        <v>27</v>
      </c>
      <c r="AA17" s="45">
        <v>5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52">
        <v>30</v>
      </c>
      <c r="AH17" s="48">
        <f t="shared" si="2"/>
        <v>27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17.5</v>
      </c>
      <c r="C18" s="45">
        <v>17.5</v>
      </c>
      <c r="D18" s="45">
        <v>17.5</v>
      </c>
      <c r="E18" s="45">
        <v>12.6</v>
      </c>
      <c r="F18" s="45">
        <v>12.6</v>
      </c>
      <c r="G18" s="45">
        <v>12.6</v>
      </c>
      <c r="H18" s="45">
        <v>12.6</v>
      </c>
      <c r="I18" s="45">
        <v>12.6</v>
      </c>
      <c r="J18" s="45">
        <v>12.6</v>
      </c>
      <c r="K18" s="45">
        <v>12.6</v>
      </c>
      <c r="L18" s="45">
        <v>12.6</v>
      </c>
      <c r="M18" s="45">
        <v>12.6</v>
      </c>
      <c r="N18" s="45">
        <v>12.6</v>
      </c>
      <c r="O18" s="45">
        <v>12.6</v>
      </c>
      <c r="P18" s="45">
        <v>13</v>
      </c>
      <c r="Q18" s="45">
        <v>13</v>
      </c>
      <c r="R18" s="45">
        <v>13</v>
      </c>
      <c r="S18" s="45">
        <v>13</v>
      </c>
      <c r="T18" s="45">
        <v>13.1</v>
      </c>
      <c r="U18" s="45">
        <v>13.1</v>
      </c>
      <c r="V18" s="45">
        <v>13.1</v>
      </c>
      <c r="W18" s="45">
        <v>25</v>
      </c>
      <c r="X18" s="45">
        <v>8.4</v>
      </c>
      <c r="Y18" s="45">
        <v>25</v>
      </c>
      <c r="Z18" s="45">
        <v>21.8</v>
      </c>
      <c r="AA18" s="45">
        <v>24</v>
      </c>
      <c r="AB18" s="45">
        <v>24</v>
      </c>
      <c r="AC18" s="45">
        <v>20</v>
      </c>
      <c r="AD18" s="45">
        <v>20</v>
      </c>
      <c r="AE18" s="45">
        <v>20</v>
      </c>
      <c r="AF18" s="45">
        <v>20</v>
      </c>
      <c r="AG18" s="51">
        <v>25</v>
      </c>
      <c r="AH18" s="48">
        <f t="shared" si="2"/>
        <v>25</v>
      </c>
      <c r="AI18" s="49">
        <f t="shared" si="3"/>
        <v>8.4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25</v>
      </c>
      <c r="C19" s="45">
        <v>25</v>
      </c>
      <c r="D19" s="45">
        <v>25</v>
      </c>
      <c r="E19" s="45">
        <v>25</v>
      </c>
      <c r="F19" s="45">
        <v>25</v>
      </c>
      <c r="G19" s="45">
        <v>25</v>
      </c>
      <c r="H19" s="45">
        <v>25</v>
      </c>
      <c r="I19" s="45">
        <v>25</v>
      </c>
      <c r="J19" s="45">
        <v>25</v>
      </c>
      <c r="K19" s="45">
        <v>25</v>
      </c>
      <c r="L19" s="45">
        <v>25</v>
      </c>
      <c r="M19" s="45">
        <v>25</v>
      </c>
      <c r="N19" s="45">
        <v>25</v>
      </c>
      <c r="O19" s="45">
        <v>25</v>
      </c>
      <c r="P19" s="45">
        <v>25</v>
      </c>
      <c r="Q19" s="45">
        <v>25</v>
      </c>
      <c r="R19" s="45">
        <v>25</v>
      </c>
      <c r="S19" s="45">
        <v>25</v>
      </c>
      <c r="T19" s="45">
        <v>25</v>
      </c>
      <c r="U19" s="45">
        <v>25</v>
      </c>
      <c r="V19" s="45">
        <v>25</v>
      </c>
      <c r="W19" s="45">
        <v>25</v>
      </c>
      <c r="X19" s="45">
        <v>25</v>
      </c>
      <c r="Y19" s="45">
        <v>25</v>
      </c>
      <c r="Z19" s="45">
        <v>25</v>
      </c>
      <c r="AA19" s="45">
        <v>25</v>
      </c>
      <c r="AB19" s="45">
        <v>25</v>
      </c>
      <c r="AC19" s="45">
        <v>25</v>
      </c>
      <c r="AD19" s="45">
        <v>25</v>
      </c>
      <c r="AE19" s="45">
        <v>25</v>
      </c>
      <c r="AF19" s="45">
        <v>25</v>
      </c>
      <c r="AG19" s="51">
        <v>25</v>
      </c>
      <c r="AH19" s="48">
        <f t="shared" si="2"/>
        <v>25</v>
      </c>
      <c r="AI19" s="49">
        <f t="shared" si="3"/>
        <v>25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17</v>
      </c>
      <c r="C20" s="45">
        <v>17</v>
      </c>
      <c r="D20" s="45">
        <v>17</v>
      </c>
      <c r="E20" s="45">
        <v>17</v>
      </c>
      <c r="F20" s="45">
        <v>17</v>
      </c>
      <c r="G20" s="45">
        <v>17</v>
      </c>
      <c r="H20" s="45">
        <v>17</v>
      </c>
      <c r="I20" s="45">
        <v>17</v>
      </c>
      <c r="J20" s="45">
        <v>17</v>
      </c>
      <c r="K20" s="45">
        <v>17</v>
      </c>
      <c r="L20" s="45">
        <v>17</v>
      </c>
      <c r="M20" s="45">
        <v>17</v>
      </c>
      <c r="N20" s="45">
        <v>17</v>
      </c>
      <c r="O20" s="45">
        <v>17</v>
      </c>
      <c r="P20" s="45">
        <v>17</v>
      </c>
      <c r="Q20" s="45">
        <v>17</v>
      </c>
      <c r="R20" s="45">
        <v>17</v>
      </c>
      <c r="S20" s="45">
        <v>17</v>
      </c>
      <c r="T20" s="45">
        <v>17</v>
      </c>
      <c r="U20" s="45">
        <v>17</v>
      </c>
      <c r="V20" s="45">
        <v>17</v>
      </c>
      <c r="W20" s="45">
        <v>17</v>
      </c>
      <c r="X20" s="45">
        <v>17</v>
      </c>
      <c r="Y20" s="45">
        <v>17</v>
      </c>
      <c r="Z20" s="45">
        <v>17</v>
      </c>
      <c r="AA20" s="45">
        <v>17</v>
      </c>
      <c r="AB20" s="45">
        <v>17</v>
      </c>
      <c r="AC20" s="45">
        <v>17</v>
      </c>
      <c r="AD20" s="45">
        <v>17</v>
      </c>
      <c r="AE20" s="45">
        <v>17</v>
      </c>
      <c r="AF20" s="45">
        <v>17</v>
      </c>
      <c r="AG20" s="51">
        <v>25</v>
      </c>
      <c r="AH20" s="48">
        <f t="shared" si="2"/>
        <v>17</v>
      </c>
      <c r="AI20" s="49">
        <f t="shared" si="3"/>
        <v>17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22.2</v>
      </c>
      <c r="C21" s="45">
        <v>22.2</v>
      </c>
      <c r="D21" s="45">
        <v>22.2</v>
      </c>
      <c r="E21" s="45">
        <v>22.2</v>
      </c>
      <c r="F21" s="45">
        <v>22.2</v>
      </c>
      <c r="G21" s="45">
        <v>22.2</v>
      </c>
      <c r="H21" s="45">
        <v>22.2</v>
      </c>
      <c r="I21" s="45">
        <v>22.2</v>
      </c>
      <c r="J21" s="45">
        <v>22.2</v>
      </c>
      <c r="K21" s="45">
        <v>22.2</v>
      </c>
      <c r="L21" s="45">
        <v>22.2</v>
      </c>
      <c r="M21" s="45">
        <v>22.2</v>
      </c>
      <c r="N21" s="45">
        <v>22.2</v>
      </c>
      <c r="O21" s="45">
        <v>22.2</v>
      </c>
      <c r="P21" s="45">
        <v>20.2</v>
      </c>
      <c r="Q21" s="45">
        <v>20.2</v>
      </c>
      <c r="R21" s="45">
        <v>20.2</v>
      </c>
      <c r="S21" s="45">
        <v>20.2</v>
      </c>
      <c r="T21" s="45">
        <v>21.6</v>
      </c>
      <c r="U21" s="45">
        <v>21.6</v>
      </c>
      <c r="V21" s="45">
        <v>21.6</v>
      </c>
      <c r="W21" s="45">
        <v>21.6</v>
      </c>
      <c r="X21" s="45">
        <v>21.6</v>
      </c>
      <c r="Y21" s="45">
        <v>21.6</v>
      </c>
      <c r="Z21" s="45">
        <v>21.6</v>
      </c>
      <c r="AA21" s="45">
        <v>21.6</v>
      </c>
      <c r="AB21" s="45">
        <v>21.6</v>
      </c>
      <c r="AC21" s="45">
        <v>21.6</v>
      </c>
      <c r="AD21" s="45">
        <v>21.6</v>
      </c>
      <c r="AE21" s="45">
        <v>21.6</v>
      </c>
      <c r="AF21" s="45">
        <v>21.6</v>
      </c>
      <c r="AG21" s="51">
        <v>23.5</v>
      </c>
      <c r="AH21" s="48">
        <f t="shared" si="2"/>
        <v>22.2</v>
      </c>
      <c r="AI21" s="49">
        <f t="shared" si="3"/>
        <v>20.2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14</v>
      </c>
      <c r="C22" s="45">
        <v>14</v>
      </c>
      <c r="D22" s="45">
        <v>14</v>
      </c>
      <c r="E22" s="45">
        <v>10</v>
      </c>
      <c r="F22" s="45">
        <v>10</v>
      </c>
      <c r="G22" s="45">
        <v>10</v>
      </c>
      <c r="H22" s="45">
        <v>10</v>
      </c>
      <c r="I22" s="45">
        <v>10</v>
      </c>
      <c r="J22" s="45">
        <v>10</v>
      </c>
      <c r="K22" s="45">
        <v>10</v>
      </c>
      <c r="L22" s="45">
        <v>10</v>
      </c>
      <c r="M22" s="45">
        <v>10</v>
      </c>
      <c r="N22" s="45">
        <v>10</v>
      </c>
      <c r="O22" s="45">
        <v>10</v>
      </c>
      <c r="P22" s="45">
        <v>10</v>
      </c>
      <c r="Q22" s="45">
        <v>10</v>
      </c>
      <c r="R22" s="45">
        <v>10</v>
      </c>
      <c r="S22" s="45">
        <v>10</v>
      </c>
      <c r="T22" s="45">
        <v>10</v>
      </c>
      <c r="U22" s="45">
        <v>10</v>
      </c>
      <c r="V22" s="45">
        <v>10</v>
      </c>
      <c r="W22" s="45">
        <v>10</v>
      </c>
      <c r="X22" s="45">
        <v>10</v>
      </c>
      <c r="Y22" s="45">
        <v>10</v>
      </c>
      <c r="Z22" s="45">
        <v>10</v>
      </c>
      <c r="AA22" s="45">
        <v>10</v>
      </c>
      <c r="AB22" s="45">
        <v>10</v>
      </c>
      <c r="AC22" s="45">
        <v>10</v>
      </c>
      <c r="AD22" s="45">
        <v>10</v>
      </c>
      <c r="AE22" s="45">
        <v>10</v>
      </c>
      <c r="AF22" s="45">
        <v>10</v>
      </c>
      <c r="AG22" s="51">
        <v>22.2</v>
      </c>
      <c r="AH22" s="48">
        <f t="shared" si="2"/>
        <v>14</v>
      </c>
      <c r="AI22" s="49">
        <f t="shared" si="3"/>
        <v>10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22</v>
      </c>
      <c r="C23" s="45">
        <v>22</v>
      </c>
      <c r="D23" s="45">
        <v>22</v>
      </c>
      <c r="E23" s="45">
        <v>22</v>
      </c>
      <c r="F23" s="45">
        <v>22</v>
      </c>
      <c r="G23" s="45">
        <v>22</v>
      </c>
      <c r="H23" s="45">
        <v>22</v>
      </c>
      <c r="I23" s="45">
        <v>22</v>
      </c>
      <c r="J23" s="45">
        <v>22</v>
      </c>
      <c r="K23" s="45">
        <v>22</v>
      </c>
      <c r="L23" s="45">
        <v>22</v>
      </c>
      <c r="M23" s="45">
        <v>22</v>
      </c>
      <c r="N23" s="45">
        <v>22</v>
      </c>
      <c r="O23" s="45">
        <v>22</v>
      </c>
      <c r="P23" s="45">
        <v>22</v>
      </c>
      <c r="Q23" s="45">
        <v>22</v>
      </c>
      <c r="R23" s="45">
        <v>22</v>
      </c>
      <c r="S23" s="45">
        <v>22</v>
      </c>
      <c r="T23" s="45">
        <v>22</v>
      </c>
      <c r="U23" s="45">
        <v>22</v>
      </c>
      <c r="V23" s="45">
        <v>22</v>
      </c>
      <c r="W23" s="45">
        <v>22</v>
      </c>
      <c r="X23" s="45">
        <v>22</v>
      </c>
      <c r="Y23" s="45">
        <v>22</v>
      </c>
      <c r="Z23" s="45">
        <v>22</v>
      </c>
      <c r="AA23" s="45">
        <v>22</v>
      </c>
      <c r="AB23" s="45">
        <v>22</v>
      </c>
      <c r="AC23" s="45">
        <v>22</v>
      </c>
      <c r="AD23" s="45">
        <v>22</v>
      </c>
      <c r="AE23" s="45">
        <v>22</v>
      </c>
      <c r="AF23" s="45">
        <v>22</v>
      </c>
      <c r="AG23" s="51">
        <v>22.1</v>
      </c>
      <c r="AH23" s="48">
        <f t="shared" si="2"/>
        <v>22</v>
      </c>
      <c r="AI23" s="49">
        <f t="shared" si="3"/>
        <v>22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22</v>
      </c>
      <c r="C24" s="45">
        <v>22</v>
      </c>
      <c r="D24" s="45">
        <v>22</v>
      </c>
      <c r="E24" s="45">
        <v>22</v>
      </c>
      <c r="F24" s="45">
        <v>22</v>
      </c>
      <c r="G24" s="45">
        <v>22</v>
      </c>
      <c r="H24" s="45">
        <v>22</v>
      </c>
      <c r="I24" s="45">
        <v>22</v>
      </c>
      <c r="J24" s="45">
        <v>22</v>
      </c>
      <c r="K24" s="45">
        <v>22</v>
      </c>
      <c r="L24" s="45">
        <v>22</v>
      </c>
      <c r="M24" s="45">
        <v>22</v>
      </c>
      <c r="N24" s="45">
        <v>22</v>
      </c>
      <c r="O24" s="45">
        <v>22</v>
      </c>
      <c r="P24" s="45">
        <v>22</v>
      </c>
      <c r="Q24" s="45">
        <v>22</v>
      </c>
      <c r="R24" s="45">
        <v>22</v>
      </c>
      <c r="S24" s="45">
        <v>22</v>
      </c>
      <c r="T24" s="45">
        <v>22</v>
      </c>
      <c r="U24" s="45">
        <v>22</v>
      </c>
      <c r="V24" s="45">
        <v>22</v>
      </c>
      <c r="W24" s="45">
        <v>22</v>
      </c>
      <c r="X24" s="45">
        <v>22</v>
      </c>
      <c r="Y24" s="45">
        <v>22</v>
      </c>
      <c r="Z24" s="45">
        <v>22</v>
      </c>
      <c r="AA24" s="45">
        <v>22</v>
      </c>
      <c r="AB24" s="45">
        <v>22</v>
      </c>
      <c r="AC24" s="45">
        <v>22</v>
      </c>
      <c r="AD24" s="45">
        <v>22</v>
      </c>
      <c r="AE24" s="45">
        <v>22</v>
      </c>
      <c r="AF24" s="45">
        <v>22</v>
      </c>
      <c r="AG24" s="51">
        <v>22</v>
      </c>
      <c r="AH24" s="48">
        <f t="shared" si="2"/>
        <v>22</v>
      </c>
      <c r="AI24" s="49">
        <f t="shared" si="3"/>
        <v>22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12</v>
      </c>
      <c r="C25" s="45">
        <v>12</v>
      </c>
      <c r="D25" s="45">
        <v>12</v>
      </c>
      <c r="E25" s="45">
        <v>12</v>
      </c>
      <c r="F25" s="45">
        <v>12</v>
      </c>
      <c r="G25" s="45">
        <v>12</v>
      </c>
      <c r="H25" s="45">
        <v>12</v>
      </c>
      <c r="I25" s="45">
        <v>12</v>
      </c>
      <c r="J25" s="45">
        <v>12</v>
      </c>
      <c r="K25" s="45">
        <v>12</v>
      </c>
      <c r="L25" s="45">
        <v>12</v>
      </c>
      <c r="M25" s="45">
        <v>16</v>
      </c>
      <c r="N25" s="45">
        <v>20</v>
      </c>
      <c r="O25" s="45">
        <v>20</v>
      </c>
      <c r="P25" s="45">
        <v>20</v>
      </c>
      <c r="Q25" s="45">
        <v>20</v>
      </c>
      <c r="R25" s="45">
        <v>20</v>
      </c>
      <c r="S25" s="45">
        <v>20</v>
      </c>
      <c r="T25" s="45">
        <v>20</v>
      </c>
      <c r="U25" s="45">
        <v>20</v>
      </c>
      <c r="V25" s="45">
        <v>20</v>
      </c>
      <c r="W25" s="45">
        <v>20</v>
      </c>
      <c r="X25" s="45">
        <v>22</v>
      </c>
      <c r="Y25" s="45">
        <v>22</v>
      </c>
      <c r="Z25" s="45">
        <v>22</v>
      </c>
      <c r="AA25" s="45">
        <v>22</v>
      </c>
      <c r="AB25" s="45">
        <v>22</v>
      </c>
      <c r="AC25" s="45">
        <v>22</v>
      </c>
      <c r="AD25" s="45">
        <v>22</v>
      </c>
      <c r="AE25" s="45">
        <v>22</v>
      </c>
      <c r="AF25" s="45">
        <v>22</v>
      </c>
      <c r="AG25" s="51">
        <v>22</v>
      </c>
      <c r="AH25" s="48">
        <f t="shared" si="2"/>
        <v>22</v>
      </c>
      <c r="AI25" s="49">
        <f t="shared" si="3"/>
        <v>12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10</v>
      </c>
      <c r="Y26" s="45">
        <v>10</v>
      </c>
      <c r="Z26" s="45">
        <v>10</v>
      </c>
      <c r="AA26" s="45">
        <v>10</v>
      </c>
      <c r="AB26" s="45">
        <v>10</v>
      </c>
      <c r="AC26" s="45">
        <v>10</v>
      </c>
      <c r="AD26" s="45">
        <v>10</v>
      </c>
      <c r="AE26" s="45">
        <v>10</v>
      </c>
      <c r="AF26" s="45">
        <v>10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>
        <v>14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14.9</v>
      </c>
      <c r="AH27" s="48">
        <f t="shared" si="2"/>
        <v>14</v>
      </c>
      <c r="AI27" s="49">
        <f t="shared" si="3"/>
        <v>14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51">
        <v>13.6</v>
      </c>
      <c r="AH28" s="48">
        <f t="shared" si="2"/>
        <v>6</v>
      </c>
      <c r="AI28" s="49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6</v>
      </c>
      <c r="C29" s="45">
        <v>6</v>
      </c>
      <c r="D29" s="45">
        <v>6</v>
      </c>
      <c r="E29" s="45">
        <v>6</v>
      </c>
      <c r="F29" s="45">
        <v>6</v>
      </c>
      <c r="G29" s="45">
        <v>6</v>
      </c>
      <c r="H29" s="45">
        <v>6</v>
      </c>
      <c r="I29" s="45">
        <v>6</v>
      </c>
      <c r="J29" s="45">
        <v>6</v>
      </c>
      <c r="K29" s="45">
        <v>6</v>
      </c>
      <c r="L29" s="45">
        <v>6</v>
      </c>
      <c r="M29" s="45">
        <v>6</v>
      </c>
      <c r="N29" s="45">
        <v>6</v>
      </c>
      <c r="O29" s="45">
        <v>6</v>
      </c>
      <c r="P29" s="45">
        <v>6</v>
      </c>
      <c r="Q29" s="45">
        <v>6</v>
      </c>
      <c r="R29" s="45">
        <v>6</v>
      </c>
      <c r="S29" s="45">
        <v>6</v>
      </c>
      <c r="T29" s="45">
        <v>6</v>
      </c>
      <c r="U29" s="45">
        <v>6</v>
      </c>
      <c r="V29" s="45">
        <v>6</v>
      </c>
      <c r="W29" s="45">
        <v>6</v>
      </c>
      <c r="X29" s="45">
        <v>6</v>
      </c>
      <c r="Y29" s="45">
        <v>6</v>
      </c>
      <c r="Z29" s="45">
        <v>6</v>
      </c>
      <c r="AA29" s="45">
        <v>6</v>
      </c>
      <c r="AB29" s="45">
        <v>6</v>
      </c>
      <c r="AC29" s="45">
        <v>6</v>
      </c>
      <c r="AD29" s="45">
        <v>6</v>
      </c>
      <c r="AE29" s="45">
        <v>6</v>
      </c>
      <c r="AF29" s="45">
        <v>6</v>
      </c>
      <c r="AG29" s="51">
        <v>13</v>
      </c>
      <c r="AH29" s="48">
        <f t="shared" si="2"/>
        <v>6</v>
      </c>
      <c r="AI29" s="49">
        <f t="shared" si="3"/>
        <v>6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12</v>
      </c>
      <c r="Y30" s="45">
        <v>12</v>
      </c>
      <c r="Z30" s="45">
        <v>12</v>
      </c>
      <c r="AA30" s="45">
        <v>12</v>
      </c>
      <c r="AB30" s="45">
        <v>12</v>
      </c>
      <c r="AC30" s="45">
        <v>12</v>
      </c>
      <c r="AD30" s="45">
        <v>12</v>
      </c>
      <c r="AE30" s="45">
        <v>12</v>
      </c>
      <c r="AF30" s="45">
        <v>12</v>
      </c>
      <c r="AG30" s="51">
        <v>12</v>
      </c>
      <c r="AH30" s="48">
        <f t="shared" si="2"/>
        <v>12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8</v>
      </c>
      <c r="C31" s="45">
        <v>8</v>
      </c>
      <c r="D31" s="45">
        <v>8</v>
      </c>
      <c r="E31" s="45">
        <v>8</v>
      </c>
      <c r="F31" s="45">
        <v>8</v>
      </c>
      <c r="G31" s="45">
        <v>8</v>
      </c>
      <c r="H31" s="45">
        <v>8</v>
      </c>
      <c r="I31" s="45">
        <v>8</v>
      </c>
      <c r="J31" s="45">
        <v>8</v>
      </c>
      <c r="K31" s="45">
        <v>8</v>
      </c>
      <c r="L31" s="45">
        <v>8</v>
      </c>
      <c r="M31" s="45">
        <v>8</v>
      </c>
      <c r="N31" s="45">
        <v>8</v>
      </c>
      <c r="O31" s="45">
        <v>8</v>
      </c>
      <c r="P31" s="45">
        <v>8</v>
      </c>
      <c r="Q31" s="45">
        <v>8</v>
      </c>
      <c r="R31" s="45">
        <v>8</v>
      </c>
      <c r="S31" s="45">
        <v>8</v>
      </c>
      <c r="T31" s="45">
        <v>8</v>
      </c>
      <c r="U31" s="45">
        <v>8</v>
      </c>
      <c r="V31" s="45">
        <v>8</v>
      </c>
      <c r="W31" s="45">
        <v>8</v>
      </c>
      <c r="X31" s="45">
        <v>8</v>
      </c>
      <c r="Y31" s="45">
        <v>8</v>
      </c>
      <c r="Z31" s="45">
        <v>8</v>
      </c>
      <c r="AA31" s="45">
        <v>8</v>
      </c>
      <c r="AB31" s="45">
        <v>8</v>
      </c>
      <c r="AC31" s="45">
        <v>8</v>
      </c>
      <c r="AD31" s="45">
        <v>8</v>
      </c>
      <c r="AE31" s="45">
        <v>8</v>
      </c>
      <c r="AF31" s="45">
        <v>8</v>
      </c>
      <c r="AG31" s="51">
        <v>12</v>
      </c>
      <c r="AH31" s="48">
        <f t="shared" si="2"/>
        <v>8</v>
      </c>
      <c r="AI31" s="49">
        <f t="shared" si="3"/>
        <v>8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</v>
      </c>
      <c r="C32" s="45">
        <v>2</v>
      </c>
      <c r="D32" s="45">
        <v>2</v>
      </c>
      <c r="E32" s="45">
        <v>2</v>
      </c>
      <c r="F32" s="45">
        <v>2</v>
      </c>
      <c r="G32" s="45">
        <v>2</v>
      </c>
      <c r="H32" s="45">
        <v>2</v>
      </c>
      <c r="I32" s="45">
        <v>2</v>
      </c>
      <c r="J32" s="45">
        <v>2</v>
      </c>
      <c r="K32" s="45">
        <v>2</v>
      </c>
      <c r="L32" s="45">
        <v>2</v>
      </c>
      <c r="M32" s="45">
        <v>2</v>
      </c>
      <c r="N32" s="45">
        <v>2</v>
      </c>
      <c r="O32" s="45">
        <v>2</v>
      </c>
      <c r="P32" s="45">
        <v>2</v>
      </c>
      <c r="Q32" s="45">
        <v>2</v>
      </c>
      <c r="R32" s="45">
        <v>2</v>
      </c>
      <c r="S32" s="45">
        <v>2</v>
      </c>
      <c r="T32" s="45">
        <v>2</v>
      </c>
      <c r="U32" s="45">
        <v>2</v>
      </c>
      <c r="V32" s="45">
        <v>2</v>
      </c>
      <c r="W32" s="45">
        <v>2</v>
      </c>
      <c r="X32" s="45">
        <v>2</v>
      </c>
      <c r="Y32" s="45">
        <v>2</v>
      </c>
      <c r="Z32" s="45">
        <v>2</v>
      </c>
      <c r="AA32" s="45">
        <v>2</v>
      </c>
      <c r="AB32" s="45">
        <v>2</v>
      </c>
      <c r="AC32" s="45">
        <v>2</v>
      </c>
      <c r="AD32" s="45">
        <v>2</v>
      </c>
      <c r="AE32" s="45">
        <v>2</v>
      </c>
      <c r="AF32" s="45">
        <v>2</v>
      </c>
      <c r="AG32" s="51">
        <v>12</v>
      </c>
      <c r="AH32" s="48">
        <f t="shared" si="2"/>
        <v>2</v>
      </c>
      <c r="AI32" s="49">
        <f t="shared" si="3"/>
        <v>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8</v>
      </c>
      <c r="C33" s="45">
        <v>8</v>
      </c>
      <c r="D33" s="45">
        <v>8</v>
      </c>
      <c r="E33" s="45">
        <v>8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3">
        <v>22</v>
      </c>
      <c r="AH33" s="48">
        <f t="shared" si="2"/>
        <v>8</v>
      </c>
      <c r="AI33" s="49">
        <f t="shared" si="3"/>
        <v>8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32.25" customHeight="1" x14ac:dyDescent="0.25">
      <c r="A34" s="44" t="s">
        <v>42</v>
      </c>
      <c r="B34" s="45">
        <v>5</v>
      </c>
      <c r="C34" s="45">
        <v>5</v>
      </c>
      <c r="D34" s="45">
        <v>5</v>
      </c>
      <c r="E34" s="45">
        <v>5</v>
      </c>
      <c r="F34" s="45">
        <v>5</v>
      </c>
      <c r="G34" s="45">
        <v>5</v>
      </c>
      <c r="H34" s="45">
        <v>5</v>
      </c>
      <c r="I34" s="45">
        <v>5</v>
      </c>
      <c r="J34" s="45">
        <v>5</v>
      </c>
      <c r="K34" s="45">
        <v>5</v>
      </c>
      <c r="L34" s="45">
        <v>5</v>
      </c>
      <c r="M34" s="45">
        <v>5</v>
      </c>
      <c r="N34" s="45">
        <v>5</v>
      </c>
      <c r="O34" s="45">
        <v>5</v>
      </c>
      <c r="P34" s="45">
        <v>5</v>
      </c>
      <c r="Q34" s="45">
        <v>5</v>
      </c>
      <c r="R34" s="45">
        <v>5</v>
      </c>
      <c r="S34" s="45">
        <v>5</v>
      </c>
      <c r="T34" s="45">
        <v>5</v>
      </c>
      <c r="U34" s="45">
        <v>5</v>
      </c>
      <c r="V34" s="45">
        <v>5</v>
      </c>
      <c r="W34" s="45">
        <v>5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6</v>
      </c>
      <c r="AD34" s="45">
        <v>6</v>
      </c>
      <c r="AE34" s="45">
        <v>6</v>
      </c>
      <c r="AF34" s="45">
        <v>6</v>
      </c>
      <c r="AG34" s="52">
        <v>11.88</v>
      </c>
      <c r="AH34" s="48">
        <f t="shared" si="2"/>
        <v>6</v>
      </c>
      <c r="AI34" s="49">
        <f t="shared" si="3"/>
        <v>0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7</v>
      </c>
      <c r="C35" s="45">
        <v>7</v>
      </c>
      <c r="D35" s="45">
        <v>7</v>
      </c>
      <c r="E35" s="45">
        <v>5</v>
      </c>
      <c r="F35" s="45">
        <v>5</v>
      </c>
      <c r="G35" s="45">
        <v>5</v>
      </c>
      <c r="H35" s="45">
        <v>5</v>
      </c>
      <c r="I35" s="45">
        <v>5</v>
      </c>
      <c r="J35" s="45">
        <v>5</v>
      </c>
      <c r="K35" s="45">
        <v>5</v>
      </c>
      <c r="L35" s="45">
        <v>5</v>
      </c>
      <c r="M35" s="45">
        <v>5</v>
      </c>
      <c r="N35" s="45">
        <v>5</v>
      </c>
      <c r="O35" s="45">
        <v>5</v>
      </c>
      <c r="P35" s="45">
        <v>5</v>
      </c>
      <c r="Q35" s="45">
        <v>5</v>
      </c>
      <c r="R35" s="45">
        <v>5</v>
      </c>
      <c r="S35" s="45">
        <v>5</v>
      </c>
      <c r="T35" s="45">
        <v>5</v>
      </c>
      <c r="U35" s="45">
        <v>5</v>
      </c>
      <c r="V35" s="45">
        <v>5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5">
        <v>11</v>
      </c>
      <c r="AH35" s="48">
        <f t="shared" si="2"/>
        <v>10</v>
      </c>
      <c r="AI35" s="49">
        <f t="shared" si="3"/>
        <v>5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5</v>
      </c>
      <c r="G36" s="45">
        <v>5</v>
      </c>
      <c r="H36" s="45">
        <v>5</v>
      </c>
      <c r="I36" s="45">
        <v>5</v>
      </c>
      <c r="J36" s="45">
        <v>5</v>
      </c>
      <c r="K36" s="45">
        <v>5</v>
      </c>
      <c r="L36" s="45">
        <v>5</v>
      </c>
      <c r="M36" s="45">
        <v>5</v>
      </c>
      <c r="N36" s="45">
        <v>5</v>
      </c>
      <c r="O36" s="45">
        <v>5</v>
      </c>
      <c r="P36" s="45">
        <v>5</v>
      </c>
      <c r="Q36" s="45">
        <v>5</v>
      </c>
      <c r="R36" s="45">
        <v>5</v>
      </c>
      <c r="S36" s="45">
        <v>5</v>
      </c>
      <c r="T36" s="45">
        <v>5</v>
      </c>
      <c r="U36" s="45">
        <v>5</v>
      </c>
      <c r="V36" s="45">
        <v>5</v>
      </c>
      <c r="W36" s="45">
        <v>5</v>
      </c>
      <c r="X36" s="45">
        <v>5</v>
      </c>
      <c r="Y36" s="45">
        <v>8</v>
      </c>
      <c r="Z36" s="45">
        <v>8</v>
      </c>
      <c r="AA36" s="45">
        <v>8</v>
      </c>
      <c r="AB36" s="45">
        <v>8</v>
      </c>
      <c r="AC36" s="45">
        <v>8</v>
      </c>
      <c r="AD36" s="45">
        <v>8</v>
      </c>
      <c r="AE36" s="45">
        <v>8</v>
      </c>
      <c r="AF36" s="45">
        <v>8</v>
      </c>
      <c r="AG36" s="55">
        <v>10</v>
      </c>
      <c r="AH36" s="48">
        <f t="shared" si="2"/>
        <v>8</v>
      </c>
      <c r="AI36" s="49">
        <f t="shared" si="3"/>
        <v>5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0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300</v>
      </c>
      <c r="C38" s="57">
        <v>300</v>
      </c>
      <c r="D38" s="57">
        <v>300</v>
      </c>
      <c r="E38" s="57">
        <v>300</v>
      </c>
      <c r="F38" s="57">
        <v>300</v>
      </c>
      <c r="G38" s="57">
        <v>300</v>
      </c>
      <c r="H38" s="57">
        <v>300</v>
      </c>
      <c r="I38" s="57">
        <v>300</v>
      </c>
      <c r="J38" s="57">
        <v>300</v>
      </c>
      <c r="K38" s="57">
        <v>300</v>
      </c>
      <c r="L38" s="57">
        <v>300</v>
      </c>
      <c r="M38" s="57">
        <v>300</v>
      </c>
      <c r="N38" s="57">
        <v>300</v>
      </c>
      <c r="O38" s="57">
        <v>300</v>
      </c>
      <c r="P38" s="57">
        <v>300</v>
      </c>
      <c r="Q38" s="57">
        <v>300</v>
      </c>
      <c r="R38" s="57">
        <v>300</v>
      </c>
      <c r="S38" s="57">
        <v>300</v>
      </c>
      <c r="T38" s="57">
        <v>300</v>
      </c>
      <c r="U38" s="57">
        <v>300</v>
      </c>
      <c r="V38" s="57">
        <v>300</v>
      </c>
      <c r="W38" s="57">
        <v>300</v>
      </c>
      <c r="X38" s="57">
        <v>300</v>
      </c>
      <c r="Y38" s="57">
        <v>300</v>
      </c>
      <c r="Z38" s="57">
        <v>300</v>
      </c>
      <c r="AA38" s="57">
        <v>300</v>
      </c>
      <c r="AB38" s="57">
        <v>300</v>
      </c>
      <c r="AC38" s="57">
        <v>300</v>
      </c>
      <c r="AD38" s="57">
        <v>300</v>
      </c>
      <c r="AE38" s="57">
        <v>300</v>
      </c>
      <c r="AF38" s="57">
        <v>300</v>
      </c>
      <c r="AG38" s="55">
        <v>85</v>
      </c>
      <c r="AH38" s="48">
        <f t="shared" si="2"/>
        <v>300</v>
      </c>
      <c r="AI38" s="49">
        <f t="shared" si="3"/>
        <v>300</v>
      </c>
      <c r="AK38" s="50"/>
    </row>
    <row r="39" spans="1:88" ht="15.75" thickBot="1" x14ac:dyDescent="0.3">
      <c r="A39" s="58" t="s">
        <v>47</v>
      </c>
      <c r="B39" s="59">
        <f>66.4+85.8</f>
        <v>152.19999999999999</v>
      </c>
      <c r="C39" s="59">
        <f t="shared" ref="C39:D39" si="4">66.4+85.8</f>
        <v>152.19999999999999</v>
      </c>
      <c r="D39" s="59">
        <f t="shared" si="4"/>
        <v>152.19999999999999</v>
      </c>
      <c r="E39" s="59">
        <f>66.9+85.9</f>
        <v>152.80000000000001</v>
      </c>
      <c r="F39" s="59">
        <f>67.8+87.6</f>
        <v>155.39999999999998</v>
      </c>
      <c r="G39" s="59">
        <f>69.2+88.1</f>
        <v>157.30000000000001</v>
      </c>
      <c r="H39" s="59">
        <f>68.9+87.8</f>
        <v>156.69999999999999</v>
      </c>
      <c r="I39" s="59">
        <f>68.7+87.6</f>
        <v>156.30000000000001</v>
      </c>
      <c r="J39" s="59">
        <f>68.6+87.5</f>
        <v>156.1</v>
      </c>
      <c r="K39" s="59">
        <f>68.5+87.7</f>
        <v>156.19999999999999</v>
      </c>
      <c r="L39" s="57">
        <f>68.7+87.8</f>
        <v>156.5</v>
      </c>
      <c r="M39" s="57">
        <f>69+89</f>
        <v>158</v>
      </c>
      <c r="N39" s="57">
        <f>69+89</f>
        <v>158</v>
      </c>
      <c r="O39" s="57">
        <f>69+89</f>
        <v>158</v>
      </c>
      <c r="P39" s="57">
        <f>68.8+87.2</f>
        <v>156</v>
      </c>
      <c r="Q39" s="57">
        <f>69.3+88.9</f>
        <v>158.19999999999999</v>
      </c>
      <c r="R39" s="57">
        <f>69.3+88.9</f>
        <v>158.19999999999999</v>
      </c>
      <c r="S39" s="59">
        <f>68.8+82.9</f>
        <v>151.69999999999999</v>
      </c>
      <c r="T39" s="59">
        <f>86.6+67.1</f>
        <v>153.69999999999999</v>
      </c>
      <c r="U39" s="59">
        <f>82.7+66.2</f>
        <v>148.9</v>
      </c>
      <c r="V39" s="59">
        <f>84.8+64.2</f>
        <v>149</v>
      </c>
      <c r="W39" s="59">
        <f>81.7+64.4</f>
        <v>146.10000000000002</v>
      </c>
      <c r="X39" s="59">
        <f>80.6+63</f>
        <v>143.6</v>
      </c>
      <c r="Y39" s="59">
        <v>144.30000000000001</v>
      </c>
      <c r="Z39" s="59">
        <f>81.4+64.2</f>
        <v>145.60000000000002</v>
      </c>
      <c r="AA39" s="59">
        <f t="shared" ref="AA39:AF39" si="5">81.4+59.5</f>
        <v>140.9</v>
      </c>
      <c r="AB39" s="59">
        <f t="shared" si="5"/>
        <v>140.9</v>
      </c>
      <c r="AC39" s="59">
        <f t="shared" si="5"/>
        <v>140.9</v>
      </c>
      <c r="AD39" s="59">
        <f t="shared" si="5"/>
        <v>140.9</v>
      </c>
      <c r="AE39" s="59">
        <f t="shared" si="5"/>
        <v>140.9</v>
      </c>
      <c r="AF39" s="59">
        <f t="shared" si="5"/>
        <v>140.9</v>
      </c>
      <c r="AG39" s="55">
        <v>240</v>
      </c>
      <c r="AH39" s="48">
        <f t="shared" si="2"/>
        <v>158.19999999999999</v>
      </c>
      <c r="AI39" s="49">
        <f t="shared" si="3"/>
        <v>140.9</v>
      </c>
      <c r="AK39" s="50"/>
    </row>
    <row r="40" spans="1:88" ht="15.75" thickBot="1" x14ac:dyDescent="0.3">
      <c r="A40" s="60" t="s">
        <v>48</v>
      </c>
      <c r="B40" s="61">
        <f t="shared" ref="B40:AG40" si="6">SUM(B11:B38)</f>
        <v>674.1</v>
      </c>
      <c r="C40" s="61">
        <f t="shared" si="6"/>
        <v>674.1</v>
      </c>
      <c r="D40" s="61">
        <f t="shared" si="6"/>
        <v>674.1</v>
      </c>
      <c r="E40" s="61">
        <f t="shared" si="6"/>
        <v>663.2</v>
      </c>
      <c r="F40" s="61">
        <f t="shared" si="6"/>
        <v>661.2</v>
      </c>
      <c r="G40" s="61">
        <f t="shared" si="6"/>
        <v>661.2</v>
      </c>
      <c r="H40" s="61">
        <f t="shared" si="6"/>
        <v>661.2</v>
      </c>
      <c r="I40" s="61">
        <f t="shared" si="6"/>
        <v>661.2</v>
      </c>
      <c r="J40" s="61">
        <f t="shared" si="6"/>
        <v>661.2</v>
      </c>
      <c r="K40" s="61">
        <f t="shared" si="6"/>
        <v>661.2</v>
      </c>
      <c r="L40" s="61">
        <f t="shared" si="6"/>
        <v>677.7</v>
      </c>
      <c r="M40" s="61">
        <f t="shared" si="6"/>
        <v>682.2</v>
      </c>
      <c r="N40" s="61">
        <f t="shared" si="6"/>
        <v>690.7</v>
      </c>
      <c r="O40" s="61">
        <f t="shared" si="6"/>
        <v>686.7</v>
      </c>
      <c r="P40" s="61">
        <f t="shared" si="6"/>
        <v>684.6</v>
      </c>
      <c r="Q40" s="61">
        <f t="shared" si="6"/>
        <v>684.7</v>
      </c>
      <c r="R40" s="61">
        <f t="shared" si="6"/>
        <v>684.7</v>
      </c>
      <c r="S40" s="61">
        <f t="shared" si="6"/>
        <v>684.7</v>
      </c>
      <c r="T40" s="61">
        <f t="shared" si="6"/>
        <v>686.1</v>
      </c>
      <c r="U40" s="61">
        <f t="shared" si="6"/>
        <v>686.1</v>
      </c>
      <c r="V40" s="61">
        <f t="shared" si="6"/>
        <v>695.1</v>
      </c>
      <c r="W40" s="61">
        <f t="shared" si="6"/>
        <v>714</v>
      </c>
      <c r="X40" s="61">
        <f t="shared" si="6"/>
        <v>790.8</v>
      </c>
      <c r="Y40" s="61">
        <f t="shared" si="6"/>
        <v>810.4</v>
      </c>
      <c r="Z40" s="61">
        <f t="shared" si="6"/>
        <v>795.2</v>
      </c>
      <c r="AA40" s="61">
        <f t="shared" si="6"/>
        <v>755.4</v>
      </c>
      <c r="AB40" s="61">
        <f t="shared" si="6"/>
        <v>727.4</v>
      </c>
      <c r="AC40" s="61">
        <f t="shared" si="6"/>
        <v>725.4</v>
      </c>
      <c r="AD40" s="61">
        <f t="shared" si="6"/>
        <v>725.4</v>
      </c>
      <c r="AE40" s="61">
        <f t="shared" si="6"/>
        <v>714.4</v>
      </c>
      <c r="AF40" s="61">
        <f t="shared" si="6"/>
        <v>714.4</v>
      </c>
      <c r="AG40" s="62">
        <f t="shared" si="6"/>
        <v>707.78000000000009</v>
      </c>
      <c r="AH40" s="48">
        <f t="shared" si="2"/>
        <v>810.4</v>
      </c>
      <c r="AI40" s="49">
        <f t="shared" si="3"/>
        <v>661.2</v>
      </c>
      <c r="AK40" s="50"/>
    </row>
    <row r="41" spans="1:88" x14ac:dyDescent="0.25">
      <c r="A41" s="6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2">
        <v>456</v>
      </c>
      <c r="AH41" s="48">
        <f t="shared" si="2"/>
        <v>0</v>
      </c>
      <c r="AI41" s="49">
        <f t="shared" si="3"/>
        <v>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18.3</v>
      </c>
      <c r="C43" s="67">
        <v>18.3</v>
      </c>
      <c r="D43" s="67">
        <v>18.3</v>
      </c>
      <c r="E43" s="67">
        <v>18.3</v>
      </c>
      <c r="F43" s="67">
        <v>18.3</v>
      </c>
      <c r="G43" s="67">
        <v>18.3</v>
      </c>
      <c r="H43" s="67">
        <v>18.2</v>
      </c>
      <c r="I43" s="67">
        <v>18.3</v>
      </c>
      <c r="J43" s="67">
        <v>18.399999999999999</v>
      </c>
      <c r="K43" s="67">
        <v>22.4</v>
      </c>
      <c r="L43" s="67">
        <v>22.5</v>
      </c>
      <c r="M43" s="67">
        <v>22.4</v>
      </c>
      <c r="N43" s="67">
        <v>22.4</v>
      </c>
      <c r="O43" s="67">
        <v>22.4</v>
      </c>
      <c r="P43" s="67">
        <v>22.4</v>
      </c>
      <c r="Q43" s="67">
        <v>22.4</v>
      </c>
      <c r="R43" s="67">
        <v>22.4</v>
      </c>
      <c r="S43" s="67">
        <v>22.5</v>
      </c>
      <c r="T43" s="67">
        <v>22.5</v>
      </c>
      <c r="U43" s="67">
        <v>22.5</v>
      </c>
      <c r="V43" s="67">
        <v>22.5</v>
      </c>
      <c r="W43" s="67">
        <v>22.5</v>
      </c>
      <c r="X43" s="67">
        <v>22.5</v>
      </c>
      <c r="Y43" s="67">
        <v>22.5</v>
      </c>
      <c r="Z43" s="67">
        <v>22.5</v>
      </c>
      <c r="AA43" s="67">
        <v>22.5</v>
      </c>
      <c r="AB43" s="67">
        <v>22.5</v>
      </c>
      <c r="AC43" s="67">
        <v>22.5</v>
      </c>
      <c r="AD43" s="67">
        <v>22.5</v>
      </c>
      <c r="AE43" s="67">
        <v>19</v>
      </c>
      <c r="AF43" s="67">
        <v>19</v>
      </c>
      <c r="AG43" s="68">
        <v>22.1</v>
      </c>
      <c r="AH43" s="48">
        <f t="shared" si="2"/>
        <v>22.5</v>
      </c>
      <c r="AI43" s="49">
        <f t="shared" si="3"/>
        <v>18.2</v>
      </c>
      <c r="AK43" s="50"/>
    </row>
    <row r="44" spans="1:88" ht="15.75" thickBot="1" x14ac:dyDescent="0.3">
      <c r="A44" s="69" t="s">
        <v>52</v>
      </c>
      <c r="B44" s="61">
        <f t="shared" ref="B44:AG44" si="7">SUM(B41:B43)</f>
        <v>78.3</v>
      </c>
      <c r="C44" s="61">
        <f t="shared" si="7"/>
        <v>78.3</v>
      </c>
      <c r="D44" s="61">
        <f t="shared" si="7"/>
        <v>78.3</v>
      </c>
      <c r="E44" s="61">
        <f t="shared" si="7"/>
        <v>78.3</v>
      </c>
      <c r="F44" s="61">
        <f t="shared" si="7"/>
        <v>78.3</v>
      </c>
      <c r="G44" s="61">
        <f t="shared" si="7"/>
        <v>78.3</v>
      </c>
      <c r="H44" s="61">
        <f t="shared" si="7"/>
        <v>78.2</v>
      </c>
      <c r="I44" s="61">
        <f t="shared" si="7"/>
        <v>78.3</v>
      </c>
      <c r="J44" s="61">
        <f t="shared" si="7"/>
        <v>78.400000000000006</v>
      </c>
      <c r="K44" s="61">
        <f t="shared" si="7"/>
        <v>82.4</v>
      </c>
      <c r="L44" s="61">
        <f t="shared" si="7"/>
        <v>82.5</v>
      </c>
      <c r="M44" s="61">
        <f t="shared" si="7"/>
        <v>82.4</v>
      </c>
      <c r="N44" s="61">
        <f t="shared" si="7"/>
        <v>82.4</v>
      </c>
      <c r="O44" s="61">
        <f t="shared" si="7"/>
        <v>82.4</v>
      </c>
      <c r="P44" s="61">
        <f t="shared" si="7"/>
        <v>82.4</v>
      </c>
      <c r="Q44" s="61">
        <f t="shared" si="7"/>
        <v>82.4</v>
      </c>
      <c r="R44" s="61">
        <f t="shared" si="7"/>
        <v>82.4</v>
      </c>
      <c r="S44" s="61">
        <f t="shared" si="7"/>
        <v>82.5</v>
      </c>
      <c r="T44" s="61">
        <f t="shared" si="7"/>
        <v>82.5</v>
      </c>
      <c r="U44" s="61">
        <f t="shared" si="7"/>
        <v>82.5</v>
      </c>
      <c r="V44" s="61">
        <f t="shared" si="7"/>
        <v>82.5</v>
      </c>
      <c r="W44" s="61">
        <f t="shared" si="7"/>
        <v>82.5</v>
      </c>
      <c r="X44" s="61">
        <f t="shared" si="7"/>
        <v>82.5</v>
      </c>
      <c r="Y44" s="61">
        <f t="shared" si="7"/>
        <v>82.5</v>
      </c>
      <c r="Z44" s="61">
        <f t="shared" si="7"/>
        <v>82.5</v>
      </c>
      <c r="AA44" s="61">
        <f t="shared" si="7"/>
        <v>82.5</v>
      </c>
      <c r="AB44" s="61">
        <f t="shared" si="7"/>
        <v>82.5</v>
      </c>
      <c r="AC44" s="61">
        <f t="shared" si="7"/>
        <v>82.5</v>
      </c>
      <c r="AD44" s="61">
        <f t="shared" si="7"/>
        <v>82.5</v>
      </c>
      <c r="AE44" s="61">
        <f t="shared" si="7"/>
        <v>79</v>
      </c>
      <c r="AF44" s="61">
        <f t="shared" si="7"/>
        <v>79</v>
      </c>
      <c r="AG44" s="62">
        <f t="shared" si="7"/>
        <v>538.1</v>
      </c>
      <c r="AH44" s="48">
        <f t="shared" si="2"/>
        <v>82.5</v>
      </c>
      <c r="AI44" s="49">
        <f t="shared" si="3"/>
        <v>78.2</v>
      </c>
      <c r="AK44" s="50"/>
    </row>
    <row r="45" spans="1:88" x14ac:dyDescent="0.25">
      <c r="A45" s="44" t="s">
        <v>53</v>
      </c>
      <c r="B45" s="45">
        <v>80.8</v>
      </c>
      <c r="C45" s="45">
        <v>80.8</v>
      </c>
      <c r="D45" s="45">
        <v>80.8</v>
      </c>
      <c r="E45" s="45">
        <v>80.8</v>
      </c>
      <c r="F45" s="45">
        <v>80.8</v>
      </c>
      <c r="G45" s="45">
        <v>91</v>
      </c>
      <c r="H45" s="45">
        <v>105</v>
      </c>
      <c r="I45" s="45">
        <v>113</v>
      </c>
      <c r="J45" s="45">
        <v>125.4</v>
      </c>
      <c r="K45" s="45">
        <v>125.2</v>
      </c>
      <c r="L45" s="45">
        <v>143.69999999999999</v>
      </c>
      <c r="M45" s="45">
        <v>136</v>
      </c>
      <c r="N45" s="45">
        <v>141</v>
      </c>
      <c r="O45" s="45">
        <v>130</v>
      </c>
      <c r="P45" s="45">
        <v>121.3</v>
      </c>
      <c r="Q45" s="45">
        <v>121.2</v>
      </c>
      <c r="R45" s="45">
        <v>142</v>
      </c>
      <c r="S45" s="45">
        <v>121.2</v>
      </c>
      <c r="T45" s="45">
        <v>121.4</v>
      </c>
      <c r="U45" s="45">
        <v>121.4</v>
      </c>
      <c r="V45" s="45">
        <v>130</v>
      </c>
      <c r="W45" s="45">
        <v>140.4</v>
      </c>
      <c r="X45" s="45">
        <v>140.4</v>
      </c>
      <c r="Y45" s="45">
        <v>140.4</v>
      </c>
      <c r="Z45" s="45">
        <v>140.4</v>
      </c>
      <c r="AA45" s="45">
        <v>140.4</v>
      </c>
      <c r="AB45" s="45">
        <v>140</v>
      </c>
      <c r="AC45" s="45">
        <v>140</v>
      </c>
      <c r="AD45" s="45">
        <v>130</v>
      </c>
      <c r="AE45" s="45">
        <v>110</v>
      </c>
      <c r="AF45" s="45">
        <v>91</v>
      </c>
      <c r="AG45" s="52">
        <v>144</v>
      </c>
      <c r="AH45" s="48">
        <f t="shared" si="2"/>
        <v>143.69999999999999</v>
      </c>
      <c r="AI45" s="49">
        <f t="shared" si="3"/>
        <v>80.8</v>
      </c>
      <c r="AK45" s="50"/>
    </row>
    <row r="46" spans="1:88" x14ac:dyDescent="0.25">
      <c r="A46" s="54" t="s">
        <v>54</v>
      </c>
      <c r="B46" s="65">
        <v>45.9</v>
      </c>
      <c r="C46" s="65">
        <v>45.9</v>
      </c>
      <c r="D46" s="65">
        <v>45.9</v>
      </c>
      <c r="E46" s="65">
        <v>50</v>
      </c>
      <c r="F46" s="65">
        <v>49.5</v>
      </c>
      <c r="G46" s="65">
        <v>60</v>
      </c>
      <c r="H46" s="65">
        <v>59.8</v>
      </c>
      <c r="I46" s="65">
        <v>60.2</v>
      </c>
      <c r="J46" s="65">
        <v>62.2</v>
      </c>
      <c r="K46" s="65">
        <v>70.5</v>
      </c>
      <c r="L46" s="65">
        <v>72.7</v>
      </c>
      <c r="M46" s="65">
        <v>72</v>
      </c>
      <c r="N46" s="45">
        <v>71</v>
      </c>
      <c r="O46" s="45">
        <v>72</v>
      </c>
      <c r="P46" s="45">
        <v>72.599999999999994</v>
      </c>
      <c r="Q46" s="45">
        <v>66.2</v>
      </c>
      <c r="R46" s="45">
        <v>70</v>
      </c>
      <c r="S46" s="65">
        <v>59.3</v>
      </c>
      <c r="T46" s="65">
        <v>65.099999999999994</v>
      </c>
      <c r="U46" s="65">
        <v>65.099999999999994</v>
      </c>
      <c r="V46" s="65">
        <v>70</v>
      </c>
      <c r="W46" s="65">
        <v>70</v>
      </c>
      <c r="X46" s="65">
        <v>72.3</v>
      </c>
      <c r="Y46" s="65">
        <v>69</v>
      </c>
      <c r="Z46" s="65">
        <v>69</v>
      </c>
      <c r="AA46" s="65">
        <v>69</v>
      </c>
      <c r="AB46" s="65">
        <v>72</v>
      </c>
      <c r="AC46" s="65">
        <v>72</v>
      </c>
      <c r="AD46" s="65">
        <v>72</v>
      </c>
      <c r="AE46" s="65">
        <v>45</v>
      </c>
      <c r="AF46" s="65">
        <v>45</v>
      </c>
      <c r="AG46" s="55">
        <v>70</v>
      </c>
      <c r="AH46" s="48">
        <f t="shared" si="2"/>
        <v>72.7</v>
      </c>
      <c r="AI46" s="49">
        <f t="shared" si="3"/>
        <v>45</v>
      </c>
      <c r="AK46" s="50"/>
    </row>
    <row r="47" spans="1:88" x14ac:dyDescent="0.25">
      <c r="A47" s="54" t="s">
        <v>55</v>
      </c>
      <c r="B47" s="65">
        <v>34.299999999999997</v>
      </c>
      <c r="C47" s="65">
        <v>34.299999999999997</v>
      </c>
      <c r="D47" s="65">
        <v>34.299999999999997</v>
      </c>
      <c r="E47" s="65">
        <v>44.4</v>
      </c>
      <c r="F47" s="65">
        <v>44.8</v>
      </c>
      <c r="G47" s="65">
        <v>45.5</v>
      </c>
      <c r="H47" s="65">
        <v>50.9</v>
      </c>
      <c r="I47" s="65">
        <v>62.8</v>
      </c>
      <c r="J47" s="65">
        <v>70</v>
      </c>
      <c r="K47" s="65">
        <v>69.7</v>
      </c>
      <c r="L47" s="65">
        <v>66.099999999999994</v>
      </c>
      <c r="M47" s="65">
        <v>69</v>
      </c>
      <c r="N47" s="45">
        <v>70</v>
      </c>
      <c r="O47" s="45">
        <v>70</v>
      </c>
      <c r="P47" s="45">
        <v>65.599999999999994</v>
      </c>
      <c r="Q47" s="45">
        <v>66.8</v>
      </c>
      <c r="R47" s="45">
        <v>39</v>
      </c>
      <c r="S47" s="65">
        <v>55.5</v>
      </c>
      <c r="T47" s="65">
        <v>66.2</v>
      </c>
      <c r="U47" s="65">
        <v>63</v>
      </c>
      <c r="V47" s="65">
        <v>70</v>
      </c>
      <c r="W47" s="65">
        <v>70</v>
      </c>
      <c r="X47" s="65">
        <v>70</v>
      </c>
      <c r="Y47" s="65">
        <v>70</v>
      </c>
      <c r="Z47" s="65">
        <v>70</v>
      </c>
      <c r="AA47" s="65">
        <v>70</v>
      </c>
      <c r="AB47" s="65">
        <v>70</v>
      </c>
      <c r="AC47" s="65">
        <v>70</v>
      </c>
      <c r="AD47" s="65">
        <v>63</v>
      </c>
      <c r="AE47" s="65">
        <v>52</v>
      </c>
      <c r="AF47" s="65">
        <v>52</v>
      </c>
      <c r="AG47" s="55">
        <v>69</v>
      </c>
      <c r="AH47" s="48">
        <f t="shared" si="2"/>
        <v>70</v>
      </c>
      <c r="AI47" s="49">
        <f t="shared" si="3"/>
        <v>34.299999999999997</v>
      </c>
      <c r="AK47" s="50"/>
    </row>
    <row r="48" spans="1:88" x14ac:dyDescent="0.25">
      <c r="A48" s="54" t="s">
        <v>56</v>
      </c>
      <c r="B48" s="57">
        <v>40.6</v>
      </c>
      <c r="C48" s="57">
        <v>40.6</v>
      </c>
      <c r="D48" s="57">
        <v>40.6</v>
      </c>
      <c r="E48" s="57">
        <v>40.6</v>
      </c>
      <c r="F48" s="57">
        <v>40.6</v>
      </c>
      <c r="G48" s="57">
        <v>40.6</v>
      </c>
      <c r="H48" s="57">
        <v>40.6</v>
      </c>
      <c r="I48" s="57">
        <v>50</v>
      </c>
      <c r="J48" s="57">
        <v>61.4</v>
      </c>
      <c r="K48" s="57">
        <v>61.4</v>
      </c>
      <c r="L48" s="57">
        <v>61.4</v>
      </c>
      <c r="M48" s="65">
        <v>61</v>
      </c>
      <c r="N48" s="45">
        <v>61.4</v>
      </c>
      <c r="O48" s="45">
        <v>55</v>
      </c>
      <c r="P48" s="45">
        <v>61.2</v>
      </c>
      <c r="Q48" s="45">
        <v>51.9</v>
      </c>
      <c r="R48" s="45">
        <v>61</v>
      </c>
      <c r="S48" s="45">
        <v>45.6</v>
      </c>
      <c r="T48" s="45">
        <v>51.1</v>
      </c>
      <c r="U48" s="45">
        <v>51.1</v>
      </c>
      <c r="V48" s="45">
        <v>46.6</v>
      </c>
      <c r="W48" s="45">
        <v>61.2</v>
      </c>
      <c r="X48" s="45">
        <v>61.2</v>
      </c>
      <c r="Y48" s="65">
        <v>61.2</v>
      </c>
      <c r="Z48" s="65">
        <v>61.2</v>
      </c>
      <c r="AA48" s="65">
        <v>61.2</v>
      </c>
      <c r="AB48" s="57">
        <v>60</v>
      </c>
      <c r="AC48" s="57">
        <v>45</v>
      </c>
      <c r="AD48" s="57">
        <v>45</v>
      </c>
      <c r="AE48" s="57">
        <v>30</v>
      </c>
      <c r="AF48" s="57">
        <v>22</v>
      </c>
      <c r="AG48" s="55">
        <v>60</v>
      </c>
      <c r="AH48" s="48">
        <f t="shared" si="2"/>
        <v>61.4</v>
      </c>
      <c r="AI48" s="49">
        <f t="shared" si="3"/>
        <v>22</v>
      </c>
      <c r="AK48" s="50"/>
    </row>
    <row r="49" spans="1:41" x14ac:dyDescent="0.25">
      <c r="A49" s="54" t="s">
        <v>57</v>
      </c>
      <c r="B49" s="57">
        <v>0</v>
      </c>
      <c r="C49" s="57">
        <v>0</v>
      </c>
      <c r="D49" s="57">
        <v>0</v>
      </c>
      <c r="E49" s="57">
        <v>0</v>
      </c>
      <c r="F49" s="57">
        <v>0</v>
      </c>
      <c r="G49" s="57">
        <v>0</v>
      </c>
      <c r="H49" s="57">
        <v>13.8</v>
      </c>
      <c r="I49" s="57">
        <v>13.4</v>
      </c>
      <c r="J49" s="57">
        <v>13.4</v>
      </c>
      <c r="K49" s="57">
        <v>26.4</v>
      </c>
      <c r="L49" s="57">
        <v>29.5</v>
      </c>
      <c r="M49" s="65">
        <v>29</v>
      </c>
      <c r="N49" s="45">
        <v>29</v>
      </c>
      <c r="O49" s="45">
        <v>29</v>
      </c>
      <c r="P49" s="45">
        <v>15</v>
      </c>
      <c r="Q49" s="45">
        <v>13.1</v>
      </c>
      <c r="R49" s="45">
        <v>13</v>
      </c>
      <c r="S49" s="45">
        <v>13.4</v>
      </c>
      <c r="T49" s="45">
        <v>13.6</v>
      </c>
      <c r="U49" s="45">
        <v>13.6</v>
      </c>
      <c r="V49" s="45">
        <v>28.1</v>
      </c>
      <c r="W49" s="45">
        <v>30</v>
      </c>
      <c r="X49" s="45">
        <v>30</v>
      </c>
      <c r="Y49" s="65">
        <v>30</v>
      </c>
      <c r="Z49" s="65">
        <v>30</v>
      </c>
      <c r="AA49" s="65">
        <v>30</v>
      </c>
      <c r="AB49" s="65">
        <v>30</v>
      </c>
      <c r="AC49" s="65">
        <v>15</v>
      </c>
      <c r="AD49" s="65">
        <v>15</v>
      </c>
      <c r="AE49" s="65">
        <v>15</v>
      </c>
      <c r="AF49" s="57">
        <v>0</v>
      </c>
      <c r="AG49" s="55">
        <v>30</v>
      </c>
      <c r="AH49" s="48">
        <f t="shared" si="2"/>
        <v>30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1.48</v>
      </c>
      <c r="N50" s="65">
        <v>2.59</v>
      </c>
      <c r="O50" s="65">
        <v>9.1999999999999993</v>
      </c>
      <c r="P50" s="65">
        <v>16.149999999999999</v>
      </c>
      <c r="Q50" s="65">
        <v>16.43</v>
      </c>
      <c r="R50" s="45">
        <v>15.3</v>
      </c>
      <c r="S50" s="45">
        <v>12.12</v>
      </c>
      <c r="T50" s="45">
        <v>8.43</v>
      </c>
      <c r="U50" s="45">
        <v>8.43</v>
      </c>
      <c r="V50" s="45">
        <v>0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45">
        <v>0</v>
      </c>
      <c r="AC50" s="45">
        <v>0</v>
      </c>
      <c r="AD50" s="45">
        <v>0</v>
      </c>
      <c r="AE50" s="45">
        <v>0</v>
      </c>
      <c r="AF50" s="45">
        <v>0</v>
      </c>
      <c r="AG50" s="55">
        <v>25</v>
      </c>
      <c r="AH50" s="48">
        <f t="shared" si="2"/>
        <v>16.43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11.1</v>
      </c>
      <c r="C51" s="65">
        <v>11.1</v>
      </c>
      <c r="D51" s="65">
        <v>11.1</v>
      </c>
      <c r="E51" s="65">
        <v>11</v>
      </c>
      <c r="F51" s="65">
        <v>11</v>
      </c>
      <c r="G51" s="65">
        <v>11</v>
      </c>
      <c r="H51" s="65">
        <v>11</v>
      </c>
      <c r="I51" s="65">
        <v>11</v>
      </c>
      <c r="J51" s="65">
        <v>14.6</v>
      </c>
      <c r="K51" s="65">
        <v>14.6</v>
      </c>
      <c r="L51" s="65">
        <v>14.5</v>
      </c>
      <c r="M51" s="65">
        <v>14.5</v>
      </c>
      <c r="N51" s="65">
        <v>14.5</v>
      </c>
      <c r="O51" s="65">
        <v>14.5</v>
      </c>
      <c r="P51" s="65">
        <v>14.4</v>
      </c>
      <c r="Q51" s="65">
        <v>14.5</v>
      </c>
      <c r="R51" s="65">
        <v>14.5</v>
      </c>
      <c r="S51" s="65">
        <v>14.5</v>
      </c>
      <c r="T51" s="65">
        <v>14.5</v>
      </c>
      <c r="U51" s="65">
        <v>14.5</v>
      </c>
      <c r="V51" s="65">
        <v>14.5</v>
      </c>
      <c r="W51" s="65">
        <v>14.5</v>
      </c>
      <c r="X51" s="65">
        <v>14.5</v>
      </c>
      <c r="Y51" s="45">
        <v>14.5</v>
      </c>
      <c r="Z51" s="45">
        <v>14.5</v>
      </c>
      <c r="AA51" s="45">
        <v>14.5</v>
      </c>
      <c r="AB51" s="45">
        <v>14.5</v>
      </c>
      <c r="AC51" s="45">
        <v>14.5</v>
      </c>
      <c r="AD51" s="45">
        <v>14.5</v>
      </c>
      <c r="AE51" s="45">
        <v>14.5</v>
      </c>
      <c r="AF51" s="45">
        <v>14.5</v>
      </c>
      <c r="AG51" s="55">
        <v>24</v>
      </c>
      <c r="AH51" s="48">
        <f t="shared" si="2"/>
        <v>14.6</v>
      </c>
      <c r="AI51" s="49">
        <f t="shared" si="3"/>
        <v>11</v>
      </c>
      <c r="AK51" s="50"/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11.5</v>
      </c>
      <c r="C53" s="65">
        <v>11.5</v>
      </c>
      <c r="D53" s="65">
        <v>11.5</v>
      </c>
      <c r="E53" s="65">
        <v>9.3000000000000007</v>
      </c>
      <c r="F53" s="65">
        <v>9.3000000000000007</v>
      </c>
      <c r="G53" s="65">
        <v>9.3000000000000007</v>
      </c>
      <c r="H53" s="65">
        <v>9.3000000000000007</v>
      </c>
      <c r="I53" s="65">
        <v>9.3000000000000007</v>
      </c>
      <c r="J53" s="65">
        <v>10.5</v>
      </c>
      <c r="K53" s="65">
        <v>10.8</v>
      </c>
      <c r="L53" s="65">
        <v>10.8</v>
      </c>
      <c r="M53" s="65">
        <v>10.8</v>
      </c>
      <c r="N53" s="65">
        <v>10.8</v>
      </c>
      <c r="O53" s="65">
        <v>10.8</v>
      </c>
      <c r="P53" s="65">
        <v>11.8</v>
      </c>
      <c r="Q53" s="65">
        <v>12.3</v>
      </c>
      <c r="R53" s="65">
        <v>12.3</v>
      </c>
      <c r="S53" s="65">
        <v>12.3</v>
      </c>
      <c r="T53" s="65">
        <v>12.3</v>
      </c>
      <c r="U53" s="65">
        <v>12.3</v>
      </c>
      <c r="V53" s="65">
        <v>10.9</v>
      </c>
      <c r="W53" s="65">
        <v>10.9</v>
      </c>
      <c r="X53" s="65">
        <v>10.9</v>
      </c>
      <c r="Y53" s="65">
        <v>10.9</v>
      </c>
      <c r="Z53" s="65">
        <v>10.9</v>
      </c>
      <c r="AA53" s="65">
        <v>10.9</v>
      </c>
      <c r="AB53" s="65">
        <v>10.9</v>
      </c>
      <c r="AC53" s="65">
        <v>10.9</v>
      </c>
      <c r="AD53" s="65">
        <v>10.9</v>
      </c>
      <c r="AE53" s="65">
        <v>10.9</v>
      </c>
      <c r="AF53" s="65">
        <v>10.9</v>
      </c>
      <c r="AG53" s="55">
        <v>14.1</v>
      </c>
      <c r="AH53" s="48">
        <f t="shared" si="2"/>
        <v>12.3</v>
      </c>
      <c r="AI53" s="49">
        <f t="shared" si="3"/>
        <v>9.3000000000000007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10</v>
      </c>
      <c r="C54" s="65">
        <v>10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7.1</v>
      </c>
      <c r="K54" s="65">
        <v>7.1</v>
      </c>
      <c r="L54" s="65">
        <v>7.1</v>
      </c>
      <c r="M54" s="65">
        <v>7.1</v>
      </c>
      <c r="N54" s="65">
        <v>7.1</v>
      </c>
      <c r="O54" s="65">
        <v>7.1</v>
      </c>
      <c r="P54" s="65">
        <v>9</v>
      </c>
      <c r="Q54" s="65">
        <v>7.2</v>
      </c>
      <c r="R54" s="65">
        <v>7.2</v>
      </c>
      <c r="S54" s="65">
        <v>0</v>
      </c>
      <c r="T54" s="65">
        <v>0</v>
      </c>
      <c r="U54" s="65">
        <v>0</v>
      </c>
      <c r="V54" s="65">
        <v>7.2</v>
      </c>
      <c r="W54" s="65">
        <v>7.2</v>
      </c>
      <c r="X54" s="65">
        <v>14.4</v>
      </c>
      <c r="Y54" s="65">
        <v>14.4</v>
      </c>
      <c r="Z54" s="65">
        <v>14.4</v>
      </c>
      <c r="AA54" s="65">
        <v>14.4</v>
      </c>
      <c r="AB54" s="65">
        <v>14.4</v>
      </c>
      <c r="AC54" s="65">
        <v>14.4</v>
      </c>
      <c r="AD54" s="65">
        <v>14.4</v>
      </c>
      <c r="AE54" s="65">
        <v>14.4</v>
      </c>
      <c r="AF54" s="65">
        <v>14.4</v>
      </c>
      <c r="AG54" s="55">
        <v>14</v>
      </c>
      <c r="AH54" s="48">
        <f t="shared" si="2"/>
        <v>14.4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6.7</v>
      </c>
      <c r="C55" s="65">
        <v>6.7</v>
      </c>
      <c r="D55" s="65">
        <v>6.7</v>
      </c>
      <c r="E55" s="65">
        <v>6.7</v>
      </c>
      <c r="F55" s="65">
        <v>6.7</v>
      </c>
      <c r="G55" s="65">
        <v>6.7</v>
      </c>
      <c r="H55" s="65">
        <v>6.7</v>
      </c>
      <c r="I55" s="65">
        <v>6.7</v>
      </c>
      <c r="J55" s="65">
        <v>6.7</v>
      </c>
      <c r="K55" s="65">
        <v>6.7</v>
      </c>
      <c r="L55" s="65">
        <v>6.7</v>
      </c>
      <c r="M55" s="65">
        <v>6.7</v>
      </c>
      <c r="N55" s="65">
        <v>6.7</v>
      </c>
      <c r="O55" s="65">
        <v>6.7</v>
      </c>
      <c r="P55" s="65">
        <v>9</v>
      </c>
      <c r="Q55" s="65">
        <v>9</v>
      </c>
      <c r="R55" s="65">
        <v>9</v>
      </c>
      <c r="S55" s="65">
        <v>9</v>
      </c>
      <c r="T55" s="65">
        <v>9</v>
      </c>
      <c r="U55" s="65">
        <v>9</v>
      </c>
      <c r="V55" s="65">
        <v>9</v>
      </c>
      <c r="W55" s="65">
        <v>9</v>
      </c>
      <c r="X55" s="65">
        <v>9</v>
      </c>
      <c r="Y55" s="65">
        <v>9</v>
      </c>
      <c r="Z55" s="65">
        <v>9</v>
      </c>
      <c r="AA55" s="65">
        <v>9</v>
      </c>
      <c r="AB55" s="65">
        <v>9</v>
      </c>
      <c r="AC55" s="65">
        <v>9</v>
      </c>
      <c r="AD55" s="65">
        <v>9</v>
      </c>
      <c r="AE55" s="65">
        <v>9</v>
      </c>
      <c r="AF55" s="65">
        <v>9</v>
      </c>
      <c r="AG55" s="55">
        <v>10.050000000000001</v>
      </c>
      <c r="AH55" s="48">
        <f t="shared" si="2"/>
        <v>9</v>
      </c>
      <c r="AI55" s="49">
        <f t="shared" si="3"/>
        <v>6.7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:AG58" si="8">SUM(B45:B57)</f>
        <v>250.63999999999996</v>
      </c>
      <c r="C58" s="61">
        <f t="shared" si="8"/>
        <v>250.63999999999996</v>
      </c>
      <c r="D58" s="61">
        <f t="shared" si="8"/>
        <v>240.63999999999996</v>
      </c>
      <c r="E58" s="61">
        <f t="shared" si="8"/>
        <v>252.54</v>
      </c>
      <c r="F58" s="61">
        <f t="shared" si="8"/>
        <v>252.44</v>
      </c>
      <c r="G58" s="61">
        <f t="shared" si="8"/>
        <v>273.83999999999997</v>
      </c>
      <c r="H58" s="61">
        <f t="shared" si="8"/>
        <v>306.84000000000003</v>
      </c>
      <c r="I58" s="61">
        <f t="shared" si="8"/>
        <v>336.14</v>
      </c>
      <c r="J58" s="61">
        <f t="shared" si="8"/>
        <v>381.04</v>
      </c>
      <c r="K58" s="61">
        <f t="shared" si="8"/>
        <v>402.14</v>
      </c>
      <c r="L58" s="61">
        <f t="shared" si="8"/>
        <v>422.24</v>
      </c>
      <c r="M58" s="61">
        <f t="shared" si="8"/>
        <v>417.32000000000005</v>
      </c>
      <c r="N58" s="61">
        <f t="shared" si="8"/>
        <v>423.83</v>
      </c>
      <c r="O58" s="61">
        <f t="shared" si="8"/>
        <v>414.04</v>
      </c>
      <c r="P58" s="61">
        <f t="shared" si="8"/>
        <v>405.78999999999996</v>
      </c>
      <c r="Q58" s="61">
        <f t="shared" si="8"/>
        <v>388.37</v>
      </c>
      <c r="R58" s="61">
        <f t="shared" si="8"/>
        <v>393.04</v>
      </c>
      <c r="S58" s="61">
        <f t="shared" si="8"/>
        <v>352.66</v>
      </c>
      <c r="T58" s="61">
        <f t="shared" si="8"/>
        <v>371.37000000000006</v>
      </c>
      <c r="U58" s="61">
        <f t="shared" si="8"/>
        <v>368.17000000000007</v>
      </c>
      <c r="V58" s="61">
        <f t="shared" si="8"/>
        <v>396.04</v>
      </c>
      <c r="W58" s="61">
        <f t="shared" si="8"/>
        <v>422.93999999999994</v>
      </c>
      <c r="X58" s="61">
        <f t="shared" si="8"/>
        <v>432.43999999999994</v>
      </c>
      <c r="Y58" s="61">
        <f t="shared" si="8"/>
        <v>429.13999999999993</v>
      </c>
      <c r="Z58" s="61">
        <f t="shared" si="8"/>
        <v>429.13999999999993</v>
      </c>
      <c r="AA58" s="61">
        <f t="shared" si="8"/>
        <v>429.13999999999993</v>
      </c>
      <c r="AB58" s="61">
        <f t="shared" si="8"/>
        <v>430.53999999999996</v>
      </c>
      <c r="AC58" s="61">
        <f t="shared" si="8"/>
        <v>400.53999999999996</v>
      </c>
      <c r="AD58" s="61">
        <f t="shared" si="8"/>
        <v>383.53999999999996</v>
      </c>
      <c r="AE58" s="61">
        <f t="shared" si="8"/>
        <v>310.53999999999996</v>
      </c>
      <c r="AF58" s="61">
        <f t="shared" si="8"/>
        <v>268.54000000000002</v>
      </c>
      <c r="AG58" s="62">
        <f t="shared" si="8"/>
        <v>489.91</v>
      </c>
      <c r="AH58" s="48">
        <f t="shared" si="2"/>
        <v>432.43999999999994</v>
      </c>
      <c r="AI58" s="49">
        <f t="shared" si="3"/>
        <v>240.63999999999996</v>
      </c>
      <c r="AK58" s="50"/>
    </row>
    <row r="59" spans="1:41" x14ac:dyDescent="0.25">
      <c r="A59" s="44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v>0</v>
      </c>
      <c r="C62" s="61">
        <f t="shared" ref="C62:AG62" si="9">SUM(C59:C61)</f>
        <v>0</v>
      </c>
      <c r="D62" s="61">
        <f t="shared" si="9"/>
        <v>0</v>
      </c>
      <c r="E62" s="61">
        <f t="shared" si="9"/>
        <v>0</v>
      </c>
      <c r="F62" s="61">
        <f t="shared" si="9"/>
        <v>0</v>
      </c>
      <c r="G62" s="61">
        <f t="shared" si="9"/>
        <v>0</v>
      </c>
      <c r="H62" s="61">
        <f t="shared" si="9"/>
        <v>0</v>
      </c>
      <c r="I62" s="61">
        <f t="shared" si="9"/>
        <v>0</v>
      </c>
      <c r="J62" s="61">
        <f t="shared" si="9"/>
        <v>0</v>
      </c>
      <c r="K62" s="61">
        <f t="shared" si="9"/>
        <v>0</v>
      </c>
      <c r="L62" s="61">
        <f t="shared" si="9"/>
        <v>0</v>
      </c>
      <c r="M62" s="61">
        <f t="shared" si="9"/>
        <v>0</v>
      </c>
      <c r="N62" s="61">
        <f t="shared" si="9"/>
        <v>0</v>
      </c>
      <c r="O62" s="61">
        <f t="shared" si="9"/>
        <v>0</v>
      </c>
      <c r="P62" s="61">
        <f t="shared" si="9"/>
        <v>0</v>
      </c>
      <c r="Q62" s="61">
        <f t="shared" si="9"/>
        <v>0</v>
      </c>
      <c r="R62" s="61">
        <f t="shared" si="9"/>
        <v>0</v>
      </c>
      <c r="S62" s="61">
        <f t="shared" si="9"/>
        <v>0</v>
      </c>
      <c r="T62" s="61">
        <f t="shared" si="9"/>
        <v>0</v>
      </c>
      <c r="U62" s="61">
        <f t="shared" si="9"/>
        <v>0</v>
      </c>
      <c r="V62" s="61">
        <f t="shared" si="9"/>
        <v>0</v>
      </c>
      <c r="W62" s="61">
        <f t="shared" si="9"/>
        <v>0</v>
      </c>
      <c r="X62" s="61">
        <f t="shared" si="9"/>
        <v>0</v>
      </c>
      <c r="Y62" s="61">
        <f t="shared" si="9"/>
        <v>0</v>
      </c>
      <c r="Z62" s="61">
        <f t="shared" si="9"/>
        <v>0</v>
      </c>
      <c r="AA62" s="61">
        <f t="shared" si="9"/>
        <v>0</v>
      </c>
      <c r="AB62" s="61">
        <f t="shared" si="9"/>
        <v>0</v>
      </c>
      <c r="AC62" s="61">
        <f t="shared" si="9"/>
        <v>0</v>
      </c>
      <c r="AD62" s="61">
        <f t="shared" si="9"/>
        <v>0</v>
      </c>
      <c r="AE62" s="61">
        <f t="shared" si="9"/>
        <v>0</v>
      </c>
      <c r="AF62" s="61">
        <f t="shared" si="9"/>
        <v>0</v>
      </c>
      <c r="AG62" s="62">
        <f t="shared" si="9"/>
        <v>106</v>
      </c>
      <c r="AH62" s="48">
        <f t="shared" si="2"/>
        <v>0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/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/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-242.6</v>
      </c>
      <c r="C65" s="65">
        <v>-255</v>
      </c>
      <c r="D65" s="65">
        <v>-242.6</v>
      </c>
      <c r="E65" s="65">
        <v>-267.5</v>
      </c>
      <c r="F65" s="65">
        <v>-265.60000000000002</v>
      </c>
      <c r="G65" s="65">
        <v>-262</v>
      </c>
      <c r="H65" s="65">
        <v>-257</v>
      </c>
      <c r="I65" s="65">
        <v>-265.89999999999998</v>
      </c>
      <c r="J65" s="65">
        <v>-280.10000000000002</v>
      </c>
      <c r="K65" s="65">
        <v>-283</v>
      </c>
      <c r="L65" s="65">
        <v>-274.10000000000002</v>
      </c>
      <c r="M65" s="65">
        <v>-266</v>
      </c>
      <c r="N65" s="65">
        <v>-290</v>
      </c>
      <c r="O65" s="65">
        <v>-290</v>
      </c>
      <c r="P65" s="65">
        <v>-301.60000000000002</v>
      </c>
      <c r="Q65" s="65">
        <v>-312.39999999999998</v>
      </c>
      <c r="R65" s="65">
        <v>-302</v>
      </c>
      <c r="S65" s="65">
        <v>-273</v>
      </c>
      <c r="T65" s="65">
        <v>-287</v>
      </c>
      <c r="U65" s="65">
        <v>-270</v>
      </c>
      <c r="V65" s="65">
        <v>-284</v>
      </c>
      <c r="W65" s="65">
        <v>-225</v>
      </c>
      <c r="X65" s="65">
        <v>-127</v>
      </c>
      <c r="Y65" s="65">
        <v>-129</v>
      </c>
      <c r="Z65" s="65">
        <v>-152</v>
      </c>
      <c r="AA65" s="65">
        <v>-164</v>
      </c>
      <c r="AB65" s="65">
        <v>-200</v>
      </c>
      <c r="AC65" s="65">
        <v>-215</v>
      </c>
      <c r="AD65" s="65">
        <v>-230</v>
      </c>
      <c r="AE65" s="65">
        <v>-254</v>
      </c>
      <c r="AF65" s="65"/>
      <c r="AG65" s="75"/>
      <c r="AH65" s="48">
        <f t="shared" si="2"/>
        <v>-127</v>
      </c>
      <c r="AI65" s="49">
        <f t="shared" si="3"/>
        <v>-312.39999999999998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/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/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>
        <v>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/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/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7">
        <v>0</v>
      </c>
      <c r="R70" s="77">
        <v>0</v>
      </c>
      <c r="S70" s="77">
        <v>0</v>
      </c>
      <c r="T70" s="77">
        <v>0</v>
      </c>
      <c r="U70" s="77">
        <v>0</v>
      </c>
      <c r="V70" s="77">
        <v>0</v>
      </c>
      <c r="W70" s="77">
        <v>0</v>
      </c>
      <c r="X70" s="77">
        <v>0</v>
      </c>
      <c r="Y70" s="77">
        <v>0</v>
      </c>
      <c r="Z70" s="77">
        <v>0</v>
      </c>
      <c r="AA70" s="77">
        <v>0</v>
      </c>
      <c r="AB70" s="77">
        <v>0</v>
      </c>
      <c r="AC70" s="77">
        <v>0</v>
      </c>
      <c r="AD70" s="77">
        <v>0</v>
      </c>
      <c r="AE70" s="77">
        <v>0</v>
      </c>
      <c r="AF70" s="76"/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7">
        <v>0</v>
      </c>
      <c r="R71" s="77">
        <v>0</v>
      </c>
      <c r="S71" s="77">
        <v>0</v>
      </c>
      <c r="T71" s="77">
        <v>0</v>
      </c>
      <c r="U71" s="77">
        <v>0</v>
      </c>
      <c r="V71" s="77">
        <v>0</v>
      </c>
      <c r="W71" s="77">
        <v>0</v>
      </c>
      <c r="X71" s="77">
        <v>0</v>
      </c>
      <c r="Y71" s="77">
        <v>0</v>
      </c>
      <c r="Z71" s="77">
        <v>0</v>
      </c>
      <c r="AA71" s="77">
        <v>0</v>
      </c>
      <c r="AB71" s="77">
        <v>0</v>
      </c>
      <c r="AC71" s="77">
        <v>0</v>
      </c>
      <c r="AD71" s="77">
        <v>0</v>
      </c>
      <c r="AE71" s="77">
        <v>0</v>
      </c>
      <c r="AF71" s="76"/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9">
        <v>0</v>
      </c>
      <c r="C72" s="79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9"/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9">
        <v>0</v>
      </c>
      <c r="C73" s="79">
        <v>0</v>
      </c>
      <c r="D73" s="79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9"/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:AF74" si="10">SUMIF(B63:B73,"&gt;0")</f>
        <v>0</v>
      </c>
      <c r="C74" s="61">
        <f t="shared" si="10"/>
        <v>0</v>
      </c>
      <c r="D74" s="61">
        <f t="shared" si="10"/>
        <v>0</v>
      </c>
      <c r="E74" s="61">
        <f t="shared" si="10"/>
        <v>0</v>
      </c>
      <c r="F74" s="61">
        <f t="shared" si="10"/>
        <v>0</v>
      </c>
      <c r="G74" s="61">
        <f t="shared" si="10"/>
        <v>0</v>
      </c>
      <c r="H74" s="61">
        <f t="shared" si="10"/>
        <v>0</v>
      </c>
      <c r="I74" s="61">
        <f t="shared" si="10"/>
        <v>0</v>
      </c>
      <c r="J74" s="61">
        <f t="shared" si="10"/>
        <v>0</v>
      </c>
      <c r="K74" s="61">
        <f t="shared" si="10"/>
        <v>0</v>
      </c>
      <c r="L74" s="61">
        <f t="shared" si="10"/>
        <v>0</v>
      </c>
      <c r="M74" s="61">
        <f t="shared" si="10"/>
        <v>0</v>
      </c>
      <c r="N74" s="61">
        <f t="shared" si="10"/>
        <v>0</v>
      </c>
      <c r="O74" s="61">
        <f t="shared" si="10"/>
        <v>0</v>
      </c>
      <c r="P74" s="61">
        <f t="shared" si="10"/>
        <v>0</v>
      </c>
      <c r="Q74" s="61">
        <f t="shared" si="10"/>
        <v>0</v>
      </c>
      <c r="R74" s="61">
        <f t="shared" si="10"/>
        <v>0</v>
      </c>
      <c r="S74" s="61">
        <f t="shared" si="10"/>
        <v>0</v>
      </c>
      <c r="T74" s="61">
        <f t="shared" si="10"/>
        <v>0</v>
      </c>
      <c r="U74" s="61">
        <f t="shared" si="10"/>
        <v>0</v>
      </c>
      <c r="V74" s="61">
        <f t="shared" si="10"/>
        <v>0</v>
      </c>
      <c r="W74" s="61">
        <f t="shared" si="10"/>
        <v>0</v>
      </c>
      <c r="X74" s="61">
        <f t="shared" si="10"/>
        <v>0</v>
      </c>
      <c r="Y74" s="61">
        <f t="shared" si="10"/>
        <v>0</v>
      </c>
      <c r="Z74" s="61">
        <f t="shared" si="10"/>
        <v>0</v>
      </c>
      <c r="AA74" s="61">
        <f t="shared" si="10"/>
        <v>0</v>
      </c>
      <c r="AB74" s="61">
        <f t="shared" si="10"/>
        <v>0</v>
      </c>
      <c r="AC74" s="61">
        <f t="shared" si="10"/>
        <v>0</v>
      </c>
      <c r="AD74" s="61">
        <f t="shared" si="10"/>
        <v>0</v>
      </c>
      <c r="AE74" s="61">
        <f t="shared" si="10"/>
        <v>0</v>
      </c>
      <c r="AF74" s="61">
        <f t="shared" si="10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44" t="s">
        <v>83</v>
      </c>
      <c r="B75" s="76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/>
      <c r="S75" s="76">
        <v>0</v>
      </c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/>
      <c r="S76" s="77">
        <v>0</v>
      </c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5">
        <v>14.4</v>
      </c>
      <c r="AH76" s="48">
        <f t="shared" ref="AH76:AH109" si="11">MAX(B76:AF76)</f>
        <v>0</v>
      </c>
      <c r="AI76" s="49">
        <f t="shared" ref="AI76:AI109" si="12">MIN(B76:AF76)</f>
        <v>0</v>
      </c>
      <c r="AK76" s="50"/>
    </row>
    <row r="77" spans="1:37" ht="15.75" thickBot="1" x14ac:dyDescent="0.3">
      <c r="A77" s="78" t="s">
        <v>85</v>
      </c>
      <c r="B77" s="79">
        <v>0</v>
      </c>
      <c r="C77" s="79">
        <v>0</v>
      </c>
      <c r="D77" s="79">
        <v>0</v>
      </c>
      <c r="E77" s="79">
        <v>0</v>
      </c>
      <c r="F77" s="79">
        <v>0</v>
      </c>
      <c r="G77" s="79">
        <v>0</v>
      </c>
      <c r="H77" s="79">
        <v>0</v>
      </c>
      <c r="I77" s="79">
        <v>0</v>
      </c>
      <c r="J77" s="79">
        <v>0</v>
      </c>
      <c r="K77" s="79">
        <v>0</v>
      </c>
      <c r="L77" s="79">
        <v>0</v>
      </c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/>
      <c r="S77" s="79">
        <v>0</v>
      </c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80">
        <v>2</v>
      </c>
      <c r="AH77" s="48">
        <f t="shared" si="11"/>
        <v>0</v>
      </c>
      <c r="AI77" s="49">
        <f t="shared" si="12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11"/>
        <v>0</v>
      </c>
      <c r="AI78" s="49">
        <f t="shared" si="12"/>
        <v>0</v>
      </c>
    </row>
    <row r="79" spans="1:37" ht="15.75" thickBot="1" x14ac:dyDescent="0.3">
      <c r="A79" s="74" t="s">
        <v>87</v>
      </c>
      <c r="B79" s="83">
        <f t="shared" ref="B79:AG79" si="13">B40+B44+B62+B58+B74+B78</f>
        <v>1003.04</v>
      </c>
      <c r="C79" s="83">
        <f t="shared" si="13"/>
        <v>1003.04</v>
      </c>
      <c r="D79" s="83">
        <f t="shared" si="13"/>
        <v>993.04</v>
      </c>
      <c r="E79" s="83">
        <f t="shared" si="13"/>
        <v>994.04</v>
      </c>
      <c r="F79" s="83">
        <f t="shared" si="13"/>
        <v>991.94</v>
      </c>
      <c r="G79" s="83">
        <f t="shared" si="13"/>
        <v>1013.3399999999999</v>
      </c>
      <c r="H79" s="83">
        <f t="shared" si="13"/>
        <v>1046.2400000000002</v>
      </c>
      <c r="I79" s="83">
        <f t="shared" si="13"/>
        <v>1075.6399999999999</v>
      </c>
      <c r="J79" s="83">
        <f t="shared" si="13"/>
        <v>1120.6400000000001</v>
      </c>
      <c r="K79" s="83">
        <f t="shared" si="13"/>
        <v>1145.74</v>
      </c>
      <c r="L79" s="83">
        <f t="shared" si="13"/>
        <v>1182.44</v>
      </c>
      <c r="M79" s="83">
        <f t="shared" si="13"/>
        <v>1181.92</v>
      </c>
      <c r="N79" s="83">
        <f t="shared" si="13"/>
        <v>1196.93</v>
      </c>
      <c r="O79" s="83">
        <f t="shared" si="13"/>
        <v>1183.1400000000001</v>
      </c>
      <c r="P79" s="83">
        <f t="shared" si="13"/>
        <v>1172.79</v>
      </c>
      <c r="Q79" s="83">
        <f t="shared" si="13"/>
        <v>1155.47</v>
      </c>
      <c r="R79" s="83">
        <f t="shared" si="13"/>
        <v>1160.1400000000001</v>
      </c>
      <c r="S79" s="83">
        <f t="shared" si="13"/>
        <v>1119.8600000000001</v>
      </c>
      <c r="T79" s="83">
        <f t="shared" si="13"/>
        <v>1139.97</v>
      </c>
      <c r="U79" s="83">
        <f t="shared" si="13"/>
        <v>1136.77</v>
      </c>
      <c r="V79" s="83">
        <f t="shared" si="13"/>
        <v>1173.6400000000001</v>
      </c>
      <c r="W79" s="83">
        <f t="shared" si="13"/>
        <v>1219.44</v>
      </c>
      <c r="X79" s="83">
        <f t="shared" si="13"/>
        <v>1305.7399999999998</v>
      </c>
      <c r="Y79" s="83">
        <f t="shared" si="13"/>
        <v>1322.04</v>
      </c>
      <c r="Z79" s="83">
        <f t="shared" si="13"/>
        <v>1306.8399999999999</v>
      </c>
      <c r="AA79" s="83">
        <f t="shared" si="13"/>
        <v>1267.04</v>
      </c>
      <c r="AB79" s="83">
        <f t="shared" si="13"/>
        <v>1240.44</v>
      </c>
      <c r="AC79" s="83">
        <f t="shared" si="13"/>
        <v>1208.44</v>
      </c>
      <c r="AD79" s="83">
        <f t="shared" si="13"/>
        <v>1191.44</v>
      </c>
      <c r="AE79" s="83">
        <f t="shared" si="13"/>
        <v>1103.94</v>
      </c>
      <c r="AF79" s="83">
        <f t="shared" si="13"/>
        <v>1061.94</v>
      </c>
      <c r="AG79" s="62">
        <f t="shared" si="13"/>
        <v>1897.1900000000003</v>
      </c>
      <c r="AH79" s="48">
        <f t="shared" si="11"/>
        <v>1322.04</v>
      </c>
      <c r="AI79" s="49">
        <f t="shared" si="12"/>
        <v>991.94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11"/>
        <v>0</v>
      </c>
      <c r="AI80" s="49">
        <f t="shared" si="12"/>
        <v>0</v>
      </c>
    </row>
    <row r="81" spans="1:37" ht="15.75" thickBot="1" x14ac:dyDescent="0.3">
      <c r="A81" s="74" t="s">
        <v>89</v>
      </c>
      <c r="B81" s="83">
        <f t="shared" ref="B81:AF81" si="14">B79+B80</f>
        <v>1003.04</v>
      </c>
      <c r="C81" s="83">
        <f t="shared" si="14"/>
        <v>1003.04</v>
      </c>
      <c r="D81" s="83">
        <f t="shared" si="14"/>
        <v>993.04</v>
      </c>
      <c r="E81" s="83">
        <f t="shared" si="14"/>
        <v>994.04</v>
      </c>
      <c r="F81" s="83">
        <f t="shared" si="14"/>
        <v>991.94</v>
      </c>
      <c r="G81" s="83">
        <f t="shared" si="14"/>
        <v>1013.3399999999999</v>
      </c>
      <c r="H81" s="83">
        <f t="shared" si="14"/>
        <v>1046.2400000000002</v>
      </c>
      <c r="I81" s="83">
        <f t="shared" si="14"/>
        <v>1075.6399999999999</v>
      </c>
      <c r="J81" s="83">
        <f t="shared" si="14"/>
        <v>1120.6400000000001</v>
      </c>
      <c r="K81" s="83">
        <f t="shared" si="14"/>
        <v>1145.74</v>
      </c>
      <c r="L81" s="83">
        <f t="shared" si="14"/>
        <v>1182.44</v>
      </c>
      <c r="M81" s="83">
        <f t="shared" si="14"/>
        <v>1181.92</v>
      </c>
      <c r="N81" s="83">
        <f t="shared" si="14"/>
        <v>1196.93</v>
      </c>
      <c r="O81" s="83">
        <f t="shared" si="14"/>
        <v>1183.1400000000001</v>
      </c>
      <c r="P81" s="83">
        <f t="shared" si="14"/>
        <v>1172.79</v>
      </c>
      <c r="Q81" s="83">
        <f t="shared" si="14"/>
        <v>1155.47</v>
      </c>
      <c r="R81" s="83">
        <f t="shared" si="14"/>
        <v>1160.1400000000001</v>
      </c>
      <c r="S81" s="83">
        <f t="shared" si="14"/>
        <v>1119.8600000000001</v>
      </c>
      <c r="T81" s="83">
        <f t="shared" si="14"/>
        <v>1139.97</v>
      </c>
      <c r="U81" s="83">
        <f t="shared" si="14"/>
        <v>1136.77</v>
      </c>
      <c r="V81" s="83">
        <f t="shared" si="14"/>
        <v>1173.6400000000001</v>
      </c>
      <c r="W81" s="83">
        <f t="shared" si="14"/>
        <v>1219.44</v>
      </c>
      <c r="X81" s="83">
        <f t="shared" si="14"/>
        <v>1305.7399999999998</v>
      </c>
      <c r="Y81" s="83">
        <f t="shared" si="14"/>
        <v>1322.04</v>
      </c>
      <c r="Z81" s="83">
        <f t="shared" si="14"/>
        <v>1306.8399999999999</v>
      </c>
      <c r="AA81" s="83">
        <f t="shared" si="14"/>
        <v>1267.04</v>
      </c>
      <c r="AB81" s="83">
        <f t="shared" si="14"/>
        <v>1240.44</v>
      </c>
      <c r="AC81" s="83">
        <f t="shared" si="14"/>
        <v>1208.44</v>
      </c>
      <c r="AD81" s="83">
        <f t="shared" si="14"/>
        <v>1191.44</v>
      </c>
      <c r="AE81" s="83">
        <f t="shared" si="14"/>
        <v>1103.94</v>
      </c>
      <c r="AF81" s="83">
        <f t="shared" si="14"/>
        <v>1061.94</v>
      </c>
      <c r="AG81" s="81">
        <f>AG78+AG74+AG62+AG58+AG40+AG80</f>
        <v>1359.0900000000001</v>
      </c>
      <c r="AH81" s="48">
        <f t="shared" si="11"/>
        <v>1322.04</v>
      </c>
      <c r="AI81" s="49">
        <f t="shared" si="12"/>
        <v>991.94</v>
      </c>
    </row>
    <row r="82" spans="1:37" ht="15.75" thickBot="1" x14ac:dyDescent="0.3">
      <c r="A82" s="74" t="s">
        <v>90</v>
      </c>
      <c r="B82" s="83">
        <f t="shared" ref="B82:AF82" si="15">B81-B89</f>
        <v>760.43999999999994</v>
      </c>
      <c r="C82" s="83">
        <f t="shared" si="15"/>
        <v>748.04</v>
      </c>
      <c r="D82" s="83">
        <f t="shared" si="15"/>
        <v>750.43999999999994</v>
      </c>
      <c r="E82" s="83">
        <f t="shared" si="15"/>
        <v>726.54</v>
      </c>
      <c r="F82" s="83">
        <f t="shared" si="15"/>
        <v>726.34</v>
      </c>
      <c r="G82" s="83">
        <f t="shared" si="15"/>
        <v>751.33999999999992</v>
      </c>
      <c r="H82" s="83">
        <f t="shared" si="15"/>
        <v>789.24000000000024</v>
      </c>
      <c r="I82" s="83">
        <f t="shared" si="15"/>
        <v>809.7399999999999</v>
      </c>
      <c r="J82" s="83">
        <f t="shared" si="15"/>
        <v>840.54000000000008</v>
      </c>
      <c r="K82" s="83">
        <f t="shared" si="15"/>
        <v>862.74</v>
      </c>
      <c r="L82" s="83">
        <f t="shared" si="15"/>
        <v>908.34</v>
      </c>
      <c r="M82" s="83">
        <f t="shared" si="15"/>
        <v>915.92000000000007</v>
      </c>
      <c r="N82" s="83">
        <f t="shared" si="15"/>
        <v>906.93000000000006</v>
      </c>
      <c r="O82" s="83">
        <f t="shared" si="15"/>
        <v>893.1400000000001</v>
      </c>
      <c r="P82" s="83">
        <f t="shared" si="15"/>
        <v>871.18999999999994</v>
      </c>
      <c r="Q82" s="83">
        <f t="shared" si="15"/>
        <v>843.07</v>
      </c>
      <c r="R82" s="83">
        <f t="shared" si="15"/>
        <v>858.1400000000001</v>
      </c>
      <c r="S82" s="83">
        <f t="shared" si="15"/>
        <v>846.86000000000013</v>
      </c>
      <c r="T82" s="83">
        <f t="shared" si="15"/>
        <v>852.97</v>
      </c>
      <c r="U82" s="83">
        <f t="shared" si="15"/>
        <v>866.77</v>
      </c>
      <c r="V82" s="83">
        <f t="shared" si="15"/>
        <v>889.6400000000001</v>
      </c>
      <c r="W82" s="83">
        <f t="shared" si="15"/>
        <v>994.44</v>
      </c>
      <c r="X82" s="83">
        <f t="shared" si="15"/>
        <v>1178.7399999999998</v>
      </c>
      <c r="Y82" s="83">
        <f t="shared" si="15"/>
        <v>1193.04</v>
      </c>
      <c r="Z82" s="83">
        <f t="shared" si="15"/>
        <v>1154.8399999999999</v>
      </c>
      <c r="AA82" s="83">
        <f t="shared" si="15"/>
        <v>1103.04</v>
      </c>
      <c r="AB82" s="83">
        <f t="shared" si="15"/>
        <v>1040.44</v>
      </c>
      <c r="AC82" s="83">
        <f t="shared" si="15"/>
        <v>993.44</v>
      </c>
      <c r="AD82" s="83">
        <f t="shared" si="15"/>
        <v>961.44</v>
      </c>
      <c r="AE82" s="83">
        <f t="shared" si="15"/>
        <v>849.94</v>
      </c>
      <c r="AF82" s="83">
        <f t="shared" si="15"/>
        <v>1061.94</v>
      </c>
      <c r="AG82" s="81"/>
      <c r="AH82" s="48">
        <f t="shared" si="11"/>
        <v>1193.04</v>
      </c>
      <c r="AI82" s="49">
        <f t="shared" si="12"/>
        <v>726.34</v>
      </c>
    </row>
    <row r="83" spans="1:37" x14ac:dyDescent="0.25">
      <c r="A83" s="44" t="s">
        <v>74</v>
      </c>
      <c r="B83" s="76">
        <v>0</v>
      </c>
      <c r="C83" s="76">
        <f t="shared" ref="C83:AF83" si="16">IF(C66&lt;0,C66*-1,0)</f>
        <v>0</v>
      </c>
      <c r="D83" s="76">
        <f t="shared" si="16"/>
        <v>0</v>
      </c>
      <c r="E83" s="76">
        <f t="shared" si="16"/>
        <v>0</v>
      </c>
      <c r="F83" s="76">
        <f t="shared" si="16"/>
        <v>0</v>
      </c>
      <c r="G83" s="76">
        <f t="shared" si="16"/>
        <v>0</v>
      </c>
      <c r="H83" s="76">
        <f t="shared" si="16"/>
        <v>0</v>
      </c>
      <c r="I83" s="76">
        <f t="shared" si="16"/>
        <v>0</v>
      </c>
      <c r="J83" s="76">
        <f t="shared" si="16"/>
        <v>0</v>
      </c>
      <c r="K83" s="76">
        <f t="shared" si="16"/>
        <v>0</v>
      </c>
      <c r="L83" s="76">
        <f t="shared" si="16"/>
        <v>0</v>
      </c>
      <c r="M83" s="76">
        <f t="shared" si="16"/>
        <v>0</v>
      </c>
      <c r="N83" s="76">
        <f t="shared" si="16"/>
        <v>0</v>
      </c>
      <c r="O83" s="76">
        <f t="shared" si="16"/>
        <v>0</v>
      </c>
      <c r="P83" s="76">
        <f t="shared" si="16"/>
        <v>0</v>
      </c>
      <c r="Q83" s="76">
        <f t="shared" si="16"/>
        <v>0</v>
      </c>
      <c r="R83" s="76">
        <f t="shared" si="16"/>
        <v>0</v>
      </c>
      <c r="S83" s="76">
        <f t="shared" si="16"/>
        <v>0</v>
      </c>
      <c r="T83" s="76">
        <f t="shared" si="16"/>
        <v>0</v>
      </c>
      <c r="U83" s="76">
        <f t="shared" si="16"/>
        <v>0</v>
      </c>
      <c r="V83" s="76">
        <f t="shared" si="16"/>
        <v>0</v>
      </c>
      <c r="W83" s="76">
        <f t="shared" si="16"/>
        <v>0</v>
      </c>
      <c r="X83" s="76">
        <f t="shared" si="16"/>
        <v>0</v>
      </c>
      <c r="Y83" s="76">
        <f t="shared" si="16"/>
        <v>0</v>
      </c>
      <c r="Z83" s="76">
        <f t="shared" si="16"/>
        <v>0</v>
      </c>
      <c r="AA83" s="76">
        <f t="shared" si="16"/>
        <v>0</v>
      </c>
      <c r="AB83" s="76">
        <f t="shared" si="16"/>
        <v>0</v>
      </c>
      <c r="AC83" s="76">
        <f t="shared" si="16"/>
        <v>0</v>
      </c>
      <c r="AD83" s="76">
        <f t="shared" si="16"/>
        <v>0</v>
      </c>
      <c r="AE83" s="76">
        <f t="shared" si="16"/>
        <v>0</v>
      </c>
      <c r="AF83" s="76">
        <f t="shared" si="16"/>
        <v>0</v>
      </c>
      <c r="AG83" s="52"/>
      <c r="AH83" s="48">
        <f t="shared" si="11"/>
        <v>0</v>
      </c>
      <c r="AI83" s="49">
        <f t="shared" si="12"/>
        <v>0</v>
      </c>
    </row>
    <row r="84" spans="1:37" x14ac:dyDescent="0.25">
      <c r="A84" s="54" t="s">
        <v>72</v>
      </c>
      <c r="B84" s="76">
        <v>0</v>
      </c>
      <c r="C84" s="76">
        <f t="shared" ref="C84:AF84" si="17">IF(C64&lt;0,C64*-1,0)</f>
        <v>0</v>
      </c>
      <c r="D84" s="76">
        <f t="shared" si="17"/>
        <v>0</v>
      </c>
      <c r="E84" s="76">
        <f t="shared" si="17"/>
        <v>0</v>
      </c>
      <c r="F84" s="76">
        <f t="shared" si="17"/>
        <v>0</v>
      </c>
      <c r="G84" s="76">
        <f t="shared" si="17"/>
        <v>0</v>
      </c>
      <c r="H84" s="76">
        <f t="shared" si="17"/>
        <v>0</v>
      </c>
      <c r="I84" s="76">
        <f t="shared" si="17"/>
        <v>0</v>
      </c>
      <c r="J84" s="76">
        <f t="shared" si="17"/>
        <v>0</v>
      </c>
      <c r="K84" s="76">
        <f t="shared" si="17"/>
        <v>0</v>
      </c>
      <c r="L84" s="76">
        <f t="shared" si="17"/>
        <v>0</v>
      </c>
      <c r="M84" s="76">
        <f t="shared" si="17"/>
        <v>0</v>
      </c>
      <c r="N84" s="76">
        <f t="shared" si="17"/>
        <v>0</v>
      </c>
      <c r="O84" s="76">
        <f t="shared" si="17"/>
        <v>0</v>
      </c>
      <c r="P84" s="76">
        <f t="shared" si="17"/>
        <v>0</v>
      </c>
      <c r="Q84" s="76">
        <f t="shared" si="17"/>
        <v>0</v>
      </c>
      <c r="R84" s="76">
        <f t="shared" si="17"/>
        <v>0</v>
      </c>
      <c r="S84" s="76">
        <f t="shared" si="17"/>
        <v>0</v>
      </c>
      <c r="T84" s="76">
        <f t="shared" si="17"/>
        <v>0</v>
      </c>
      <c r="U84" s="76">
        <f t="shared" si="17"/>
        <v>0</v>
      </c>
      <c r="V84" s="76">
        <f t="shared" si="17"/>
        <v>0</v>
      </c>
      <c r="W84" s="76">
        <f t="shared" si="17"/>
        <v>0</v>
      </c>
      <c r="X84" s="76">
        <f t="shared" si="17"/>
        <v>0</v>
      </c>
      <c r="Y84" s="76">
        <f t="shared" si="17"/>
        <v>0</v>
      </c>
      <c r="Z84" s="76">
        <f t="shared" si="17"/>
        <v>0</v>
      </c>
      <c r="AA84" s="76">
        <f t="shared" si="17"/>
        <v>0</v>
      </c>
      <c r="AB84" s="76">
        <f t="shared" si="17"/>
        <v>0</v>
      </c>
      <c r="AC84" s="76">
        <f t="shared" si="17"/>
        <v>0</v>
      </c>
      <c r="AD84" s="76">
        <f t="shared" si="17"/>
        <v>0</v>
      </c>
      <c r="AE84" s="76">
        <f t="shared" si="17"/>
        <v>0</v>
      </c>
      <c r="AF84" s="76">
        <f t="shared" si="17"/>
        <v>0</v>
      </c>
      <c r="AG84" s="55"/>
      <c r="AH84" s="48">
        <f t="shared" si="11"/>
        <v>0</v>
      </c>
      <c r="AI84" s="49">
        <f t="shared" si="12"/>
        <v>0</v>
      </c>
    </row>
    <row r="85" spans="1:37" x14ac:dyDescent="0.25">
      <c r="A85" s="78" t="s">
        <v>91</v>
      </c>
      <c r="B85" s="76">
        <v>0</v>
      </c>
      <c r="C85" s="76">
        <f t="shared" ref="C85:AF85" si="18">IF(C67&lt;0,C67*-1,0)</f>
        <v>0</v>
      </c>
      <c r="D85" s="76">
        <f t="shared" si="18"/>
        <v>0</v>
      </c>
      <c r="E85" s="76">
        <f t="shared" si="18"/>
        <v>0</v>
      </c>
      <c r="F85" s="76">
        <f t="shared" si="18"/>
        <v>0</v>
      </c>
      <c r="G85" s="76">
        <f t="shared" si="18"/>
        <v>0</v>
      </c>
      <c r="H85" s="76">
        <f t="shared" si="18"/>
        <v>0</v>
      </c>
      <c r="I85" s="76">
        <f t="shared" si="18"/>
        <v>0</v>
      </c>
      <c r="J85" s="76">
        <f t="shared" si="18"/>
        <v>0</v>
      </c>
      <c r="K85" s="76">
        <f t="shared" si="18"/>
        <v>0</v>
      </c>
      <c r="L85" s="76">
        <f t="shared" si="18"/>
        <v>0</v>
      </c>
      <c r="M85" s="76">
        <f t="shared" si="18"/>
        <v>0</v>
      </c>
      <c r="N85" s="76">
        <f t="shared" si="18"/>
        <v>0</v>
      </c>
      <c r="O85" s="76">
        <f t="shared" si="18"/>
        <v>0</v>
      </c>
      <c r="P85" s="76">
        <f t="shared" si="18"/>
        <v>0</v>
      </c>
      <c r="Q85" s="76">
        <f t="shared" si="18"/>
        <v>0</v>
      </c>
      <c r="R85" s="76">
        <f t="shared" si="18"/>
        <v>0</v>
      </c>
      <c r="S85" s="76">
        <f t="shared" si="18"/>
        <v>0</v>
      </c>
      <c r="T85" s="76">
        <f t="shared" si="18"/>
        <v>0</v>
      </c>
      <c r="U85" s="76">
        <f t="shared" si="18"/>
        <v>0</v>
      </c>
      <c r="V85" s="76">
        <f t="shared" si="18"/>
        <v>0</v>
      </c>
      <c r="W85" s="76">
        <f t="shared" si="18"/>
        <v>0</v>
      </c>
      <c r="X85" s="76">
        <f t="shared" si="18"/>
        <v>0</v>
      </c>
      <c r="Y85" s="76">
        <f t="shared" si="18"/>
        <v>0</v>
      </c>
      <c r="Z85" s="76">
        <f t="shared" si="18"/>
        <v>0</v>
      </c>
      <c r="AA85" s="76">
        <f t="shared" si="18"/>
        <v>0</v>
      </c>
      <c r="AB85" s="76">
        <f t="shared" si="18"/>
        <v>0</v>
      </c>
      <c r="AC85" s="76">
        <f t="shared" si="18"/>
        <v>0</v>
      </c>
      <c r="AD85" s="76">
        <f t="shared" si="18"/>
        <v>0</v>
      </c>
      <c r="AE85" s="76">
        <f t="shared" si="18"/>
        <v>0</v>
      </c>
      <c r="AF85" s="76">
        <f t="shared" si="18"/>
        <v>0</v>
      </c>
      <c r="AG85" s="86"/>
      <c r="AH85" s="48">
        <f t="shared" si="11"/>
        <v>0</v>
      </c>
      <c r="AI85" s="49">
        <f t="shared" si="12"/>
        <v>0</v>
      </c>
    </row>
    <row r="86" spans="1:37" x14ac:dyDescent="0.25">
      <c r="A86" s="78" t="s">
        <v>92</v>
      </c>
      <c r="B86" s="76">
        <f t="shared" ref="B86:AF86" si="19">IF(B65&lt;0,B65*-1,0)</f>
        <v>242.6</v>
      </c>
      <c r="C86" s="76">
        <f t="shared" si="19"/>
        <v>255</v>
      </c>
      <c r="D86" s="76">
        <f t="shared" si="19"/>
        <v>242.6</v>
      </c>
      <c r="E86" s="76">
        <f t="shared" si="19"/>
        <v>267.5</v>
      </c>
      <c r="F86" s="76">
        <f t="shared" si="19"/>
        <v>265.60000000000002</v>
      </c>
      <c r="G86" s="76">
        <f t="shared" si="19"/>
        <v>262</v>
      </c>
      <c r="H86" s="76">
        <f t="shared" si="19"/>
        <v>257</v>
      </c>
      <c r="I86" s="76">
        <f t="shared" si="19"/>
        <v>265.89999999999998</v>
      </c>
      <c r="J86" s="76">
        <f t="shared" si="19"/>
        <v>280.10000000000002</v>
      </c>
      <c r="K86" s="76">
        <f t="shared" si="19"/>
        <v>283</v>
      </c>
      <c r="L86" s="76">
        <f t="shared" si="19"/>
        <v>274.10000000000002</v>
      </c>
      <c r="M86" s="76">
        <f t="shared" si="19"/>
        <v>266</v>
      </c>
      <c r="N86" s="76">
        <f t="shared" si="19"/>
        <v>290</v>
      </c>
      <c r="O86" s="76">
        <f t="shared" si="19"/>
        <v>290</v>
      </c>
      <c r="P86" s="76">
        <f t="shared" si="19"/>
        <v>301.60000000000002</v>
      </c>
      <c r="Q86" s="76">
        <f t="shared" si="19"/>
        <v>312.39999999999998</v>
      </c>
      <c r="R86" s="76">
        <f t="shared" si="19"/>
        <v>302</v>
      </c>
      <c r="S86" s="76">
        <f t="shared" si="19"/>
        <v>273</v>
      </c>
      <c r="T86" s="76">
        <f t="shared" si="19"/>
        <v>287</v>
      </c>
      <c r="U86" s="76">
        <f t="shared" si="19"/>
        <v>270</v>
      </c>
      <c r="V86" s="76">
        <f t="shared" si="19"/>
        <v>284</v>
      </c>
      <c r="W86" s="76">
        <f t="shared" si="19"/>
        <v>225</v>
      </c>
      <c r="X86" s="76">
        <f t="shared" si="19"/>
        <v>127</v>
      </c>
      <c r="Y86" s="76">
        <f t="shared" si="19"/>
        <v>129</v>
      </c>
      <c r="Z86" s="76">
        <f t="shared" si="19"/>
        <v>152</v>
      </c>
      <c r="AA86" s="76">
        <f t="shared" si="19"/>
        <v>164</v>
      </c>
      <c r="AB86" s="76">
        <f t="shared" si="19"/>
        <v>200</v>
      </c>
      <c r="AC86" s="76">
        <f t="shared" si="19"/>
        <v>215</v>
      </c>
      <c r="AD86" s="76">
        <f t="shared" si="19"/>
        <v>230</v>
      </c>
      <c r="AE86" s="76">
        <f t="shared" si="19"/>
        <v>254</v>
      </c>
      <c r="AF86" s="76">
        <f t="shared" si="19"/>
        <v>0</v>
      </c>
      <c r="AG86" s="86"/>
      <c r="AH86" s="48">
        <f t="shared" si="11"/>
        <v>312.39999999999998</v>
      </c>
      <c r="AI86" s="49">
        <f t="shared" si="12"/>
        <v>0</v>
      </c>
    </row>
    <row r="87" spans="1:37" x14ac:dyDescent="0.25">
      <c r="A87" s="78" t="s">
        <v>71</v>
      </c>
      <c r="B87" s="76">
        <v>0</v>
      </c>
      <c r="C87" s="76">
        <f t="shared" ref="C87:AF87" si="20">IF(C63&lt;0,C63*-1,0)</f>
        <v>0</v>
      </c>
      <c r="D87" s="76">
        <f t="shared" si="20"/>
        <v>0</v>
      </c>
      <c r="E87" s="76">
        <f t="shared" si="20"/>
        <v>0</v>
      </c>
      <c r="F87" s="76">
        <f t="shared" si="20"/>
        <v>0</v>
      </c>
      <c r="G87" s="76">
        <f t="shared" si="20"/>
        <v>0</v>
      </c>
      <c r="H87" s="76">
        <f t="shared" si="20"/>
        <v>0</v>
      </c>
      <c r="I87" s="76">
        <f t="shared" si="20"/>
        <v>0</v>
      </c>
      <c r="J87" s="76">
        <f t="shared" si="20"/>
        <v>0</v>
      </c>
      <c r="K87" s="76">
        <f t="shared" si="20"/>
        <v>0</v>
      </c>
      <c r="L87" s="76">
        <f t="shared" si="20"/>
        <v>0</v>
      </c>
      <c r="M87" s="76">
        <f t="shared" si="20"/>
        <v>0</v>
      </c>
      <c r="N87" s="76">
        <f t="shared" si="20"/>
        <v>0</v>
      </c>
      <c r="O87" s="76">
        <f t="shared" si="20"/>
        <v>0</v>
      </c>
      <c r="P87" s="76">
        <f t="shared" si="20"/>
        <v>0</v>
      </c>
      <c r="Q87" s="76">
        <f t="shared" si="20"/>
        <v>0</v>
      </c>
      <c r="R87" s="76">
        <f t="shared" si="20"/>
        <v>0</v>
      </c>
      <c r="S87" s="76">
        <f t="shared" si="20"/>
        <v>0</v>
      </c>
      <c r="T87" s="76">
        <f t="shared" si="20"/>
        <v>0</v>
      </c>
      <c r="U87" s="76">
        <f t="shared" si="20"/>
        <v>0</v>
      </c>
      <c r="V87" s="76">
        <f t="shared" si="20"/>
        <v>0</v>
      </c>
      <c r="W87" s="76">
        <f t="shared" si="20"/>
        <v>0</v>
      </c>
      <c r="X87" s="76">
        <f t="shared" si="20"/>
        <v>0</v>
      </c>
      <c r="Y87" s="76">
        <f t="shared" si="20"/>
        <v>0</v>
      </c>
      <c r="Z87" s="76">
        <f t="shared" si="20"/>
        <v>0</v>
      </c>
      <c r="AA87" s="76">
        <f t="shared" si="20"/>
        <v>0</v>
      </c>
      <c r="AB87" s="76">
        <f t="shared" si="20"/>
        <v>0</v>
      </c>
      <c r="AC87" s="76">
        <f t="shared" si="20"/>
        <v>0</v>
      </c>
      <c r="AD87" s="76">
        <f t="shared" si="20"/>
        <v>0</v>
      </c>
      <c r="AE87" s="76">
        <f t="shared" si="20"/>
        <v>0</v>
      </c>
      <c r="AF87" s="76">
        <f t="shared" si="20"/>
        <v>0</v>
      </c>
      <c r="AG87" s="86"/>
      <c r="AH87" s="48">
        <f t="shared" si="11"/>
        <v>0</v>
      </c>
      <c r="AI87" s="49">
        <f t="shared" si="12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11"/>
        <v>0</v>
      </c>
      <c r="AI88" s="49">
        <f t="shared" si="12"/>
        <v>0</v>
      </c>
    </row>
    <row r="89" spans="1:37" ht="15.75" thickBot="1" x14ac:dyDescent="0.3">
      <c r="A89" s="87" t="s">
        <v>94</v>
      </c>
      <c r="B89" s="61">
        <f t="shared" ref="B89:AF89" si="21">SUM(B83:B88)</f>
        <v>242.6</v>
      </c>
      <c r="C89" s="61">
        <f t="shared" si="21"/>
        <v>255</v>
      </c>
      <c r="D89" s="61">
        <f t="shared" si="21"/>
        <v>242.6</v>
      </c>
      <c r="E89" s="61">
        <f t="shared" si="21"/>
        <v>267.5</v>
      </c>
      <c r="F89" s="61">
        <f t="shared" si="21"/>
        <v>265.60000000000002</v>
      </c>
      <c r="G89" s="61">
        <f t="shared" si="21"/>
        <v>262</v>
      </c>
      <c r="H89" s="61">
        <f t="shared" si="21"/>
        <v>257</v>
      </c>
      <c r="I89" s="61">
        <f t="shared" si="21"/>
        <v>265.89999999999998</v>
      </c>
      <c r="J89" s="61">
        <f t="shared" si="21"/>
        <v>280.10000000000002</v>
      </c>
      <c r="K89" s="61">
        <f t="shared" si="21"/>
        <v>283</v>
      </c>
      <c r="L89" s="61">
        <f t="shared" si="21"/>
        <v>274.10000000000002</v>
      </c>
      <c r="M89" s="61">
        <f t="shared" si="21"/>
        <v>266</v>
      </c>
      <c r="N89" s="61">
        <f t="shared" si="21"/>
        <v>290</v>
      </c>
      <c r="O89" s="61">
        <f t="shared" si="21"/>
        <v>290</v>
      </c>
      <c r="P89" s="61">
        <f t="shared" si="21"/>
        <v>301.60000000000002</v>
      </c>
      <c r="Q89" s="61">
        <f t="shared" si="21"/>
        <v>312.39999999999998</v>
      </c>
      <c r="R89" s="61">
        <f t="shared" si="21"/>
        <v>302</v>
      </c>
      <c r="S89" s="61">
        <f t="shared" si="21"/>
        <v>273</v>
      </c>
      <c r="T89" s="61">
        <f t="shared" si="21"/>
        <v>287</v>
      </c>
      <c r="U89" s="61">
        <f t="shared" si="21"/>
        <v>270</v>
      </c>
      <c r="V89" s="61">
        <f t="shared" si="21"/>
        <v>284</v>
      </c>
      <c r="W89" s="61">
        <f t="shared" si="21"/>
        <v>225</v>
      </c>
      <c r="X89" s="61">
        <f t="shared" si="21"/>
        <v>127</v>
      </c>
      <c r="Y89" s="61">
        <f t="shared" si="21"/>
        <v>129</v>
      </c>
      <c r="Z89" s="61">
        <f t="shared" si="21"/>
        <v>152</v>
      </c>
      <c r="AA89" s="61">
        <f t="shared" si="21"/>
        <v>164</v>
      </c>
      <c r="AB89" s="61">
        <f t="shared" si="21"/>
        <v>200</v>
      </c>
      <c r="AC89" s="61">
        <f t="shared" si="21"/>
        <v>215</v>
      </c>
      <c r="AD89" s="61">
        <f t="shared" si="21"/>
        <v>230</v>
      </c>
      <c r="AE89" s="61">
        <f t="shared" si="21"/>
        <v>254</v>
      </c>
      <c r="AF89" s="61">
        <f t="shared" si="21"/>
        <v>0</v>
      </c>
      <c r="AG89" s="81"/>
      <c r="AH89" s="48">
        <f t="shared" si="11"/>
        <v>312.39999999999998</v>
      </c>
      <c r="AI89" s="49">
        <f t="shared" si="12"/>
        <v>0</v>
      </c>
      <c r="AK89" s="50"/>
    </row>
    <row r="90" spans="1:37" ht="15.75" thickBot="1" x14ac:dyDescent="0.3">
      <c r="A90" s="74" t="s">
        <v>95</v>
      </c>
      <c r="B90" s="61">
        <f t="shared" ref="B90:AF90" si="22">B74-B89</f>
        <v>-242.6</v>
      </c>
      <c r="C90" s="61">
        <f t="shared" si="22"/>
        <v>-255</v>
      </c>
      <c r="D90" s="61">
        <f t="shared" si="22"/>
        <v>-242.6</v>
      </c>
      <c r="E90" s="61">
        <f t="shared" si="22"/>
        <v>-267.5</v>
      </c>
      <c r="F90" s="61">
        <f t="shared" si="22"/>
        <v>-265.60000000000002</v>
      </c>
      <c r="G90" s="61">
        <f t="shared" si="22"/>
        <v>-262</v>
      </c>
      <c r="H90" s="61">
        <f t="shared" si="22"/>
        <v>-257</v>
      </c>
      <c r="I90" s="61">
        <f t="shared" si="22"/>
        <v>-265.89999999999998</v>
      </c>
      <c r="J90" s="61">
        <f t="shared" si="22"/>
        <v>-280.10000000000002</v>
      </c>
      <c r="K90" s="61">
        <f t="shared" si="22"/>
        <v>-283</v>
      </c>
      <c r="L90" s="61">
        <f t="shared" si="22"/>
        <v>-274.10000000000002</v>
      </c>
      <c r="M90" s="61">
        <f t="shared" si="22"/>
        <v>-266</v>
      </c>
      <c r="N90" s="61">
        <f t="shared" si="22"/>
        <v>-290</v>
      </c>
      <c r="O90" s="61">
        <f t="shared" si="22"/>
        <v>-290</v>
      </c>
      <c r="P90" s="61">
        <f t="shared" si="22"/>
        <v>-301.60000000000002</v>
      </c>
      <c r="Q90" s="61">
        <f t="shared" si="22"/>
        <v>-312.39999999999998</v>
      </c>
      <c r="R90" s="61">
        <f t="shared" si="22"/>
        <v>-302</v>
      </c>
      <c r="S90" s="61">
        <f t="shared" si="22"/>
        <v>-273</v>
      </c>
      <c r="T90" s="61">
        <f t="shared" si="22"/>
        <v>-287</v>
      </c>
      <c r="U90" s="61">
        <f t="shared" si="22"/>
        <v>-270</v>
      </c>
      <c r="V90" s="61">
        <f t="shared" si="22"/>
        <v>-284</v>
      </c>
      <c r="W90" s="61">
        <f t="shared" si="22"/>
        <v>-225</v>
      </c>
      <c r="X90" s="61">
        <f t="shared" si="22"/>
        <v>-127</v>
      </c>
      <c r="Y90" s="61">
        <f t="shared" si="22"/>
        <v>-129</v>
      </c>
      <c r="Z90" s="61">
        <f t="shared" si="22"/>
        <v>-152</v>
      </c>
      <c r="AA90" s="61">
        <f t="shared" si="22"/>
        <v>-164</v>
      </c>
      <c r="AB90" s="61">
        <f t="shared" si="22"/>
        <v>-200</v>
      </c>
      <c r="AC90" s="61">
        <f t="shared" si="22"/>
        <v>-215</v>
      </c>
      <c r="AD90" s="61">
        <f t="shared" si="22"/>
        <v>-230</v>
      </c>
      <c r="AE90" s="61">
        <f t="shared" si="22"/>
        <v>-254</v>
      </c>
      <c r="AF90" s="61">
        <f t="shared" si="22"/>
        <v>0</v>
      </c>
      <c r="AG90" s="81"/>
      <c r="AH90" s="48">
        <f t="shared" si="11"/>
        <v>0</v>
      </c>
      <c r="AI90" s="49">
        <f t="shared" si="12"/>
        <v>-312.39999999999998</v>
      </c>
    </row>
    <row r="91" spans="1:37" x14ac:dyDescent="0.25">
      <c r="A91" s="88" t="s">
        <v>96</v>
      </c>
      <c r="B91" s="89">
        <v>50.07</v>
      </c>
      <c r="C91" s="89">
        <v>50.02</v>
      </c>
      <c r="D91" s="89">
        <v>49.99</v>
      </c>
      <c r="E91" s="89">
        <v>50.026000000000003</v>
      </c>
      <c r="F91" s="89">
        <v>50.052999999999997</v>
      </c>
      <c r="G91" s="89">
        <v>50</v>
      </c>
      <c r="H91" s="89">
        <v>50.023000000000003</v>
      </c>
      <c r="I91" s="89">
        <v>49.970999999999997</v>
      </c>
      <c r="J91" s="89">
        <v>49.929000000000002</v>
      </c>
      <c r="K91" s="89">
        <v>50.012999999999998</v>
      </c>
      <c r="L91" s="89">
        <v>49.975000000000001</v>
      </c>
      <c r="M91" s="89">
        <v>49.99</v>
      </c>
      <c r="N91" s="89">
        <v>49.917000000000002</v>
      </c>
      <c r="O91" s="89">
        <v>50.018999999999998</v>
      </c>
      <c r="P91" s="89">
        <v>50.01</v>
      </c>
      <c r="Q91" s="89">
        <v>50.05</v>
      </c>
      <c r="R91" s="89">
        <v>50.05</v>
      </c>
      <c r="S91" s="89">
        <v>50.030999999999999</v>
      </c>
      <c r="T91" s="89">
        <v>50.017000000000003</v>
      </c>
      <c r="U91" s="89">
        <v>50.015999999999998</v>
      </c>
      <c r="V91" s="89">
        <v>50.027000000000001</v>
      </c>
      <c r="W91" s="89">
        <v>50.002000000000002</v>
      </c>
      <c r="X91" s="89">
        <v>50.015999999999998</v>
      </c>
      <c r="Y91" s="89">
        <v>49.984999999999999</v>
      </c>
      <c r="Z91" s="89">
        <v>49.978999999999999</v>
      </c>
      <c r="AA91" s="89">
        <v>50.033000000000001</v>
      </c>
      <c r="AB91" s="89">
        <v>50.033000000000001</v>
      </c>
      <c r="AC91" s="89">
        <v>49.984000000000002</v>
      </c>
      <c r="AD91" s="89">
        <v>49.993000000000002</v>
      </c>
      <c r="AE91" s="89">
        <v>49.993000000000002</v>
      </c>
      <c r="AF91" s="89"/>
      <c r="AG91" s="90"/>
      <c r="AH91" s="48">
        <f t="shared" si="11"/>
        <v>50.07</v>
      </c>
      <c r="AI91" s="49">
        <f t="shared" si="12"/>
        <v>49.917000000000002</v>
      </c>
    </row>
    <row r="92" spans="1:37" x14ac:dyDescent="0.25">
      <c r="A92" s="91" t="s">
        <v>97</v>
      </c>
      <c r="B92" s="65">
        <v>129.9</v>
      </c>
      <c r="C92" s="65">
        <v>130.19999999999999</v>
      </c>
      <c r="D92" s="65">
        <v>130.19999999999999</v>
      </c>
      <c r="E92" s="65">
        <v>130.19999999999999</v>
      </c>
      <c r="F92" s="65">
        <v>130.4</v>
      </c>
      <c r="G92" s="65">
        <v>130.4</v>
      </c>
      <c r="H92" s="65">
        <v>129.9</v>
      </c>
      <c r="I92" s="65">
        <v>129.30000000000001</v>
      </c>
      <c r="J92" s="65">
        <v>128.30000000000001</v>
      </c>
      <c r="K92" s="65">
        <v>127.2</v>
      </c>
      <c r="L92" s="65">
        <v>126.1</v>
      </c>
      <c r="M92" s="65">
        <v>126</v>
      </c>
      <c r="N92" s="65">
        <v>125</v>
      </c>
      <c r="O92" s="65">
        <v>125</v>
      </c>
      <c r="P92" s="65">
        <v>127.3</v>
      </c>
      <c r="Q92" s="65">
        <v>126.9</v>
      </c>
      <c r="R92" s="65">
        <v>126.9</v>
      </c>
      <c r="S92" s="65">
        <v>127</v>
      </c>
      <c r="T92" s="65">
        <v>126.7</v>
      </c>
      <c r="U92" s="65">
        <v>127.2</v>
      </c>
      <c r="V92" s="65">
        <v>126.6</v>
      </c>
      <c r="W92" s="65">
        <v>127.1</v>
      </c>
      <c r="X92" s="65">
        <v>126.9</v>
      </c>
      <c r="Y92" s="65">
        <v>125.7</v>
      </c>
      <c r="Z92" s="65">
        <v>127</v>
      </c>
      <c r="AA92" s="65">
        <v>127</v>
      </c>
      <c r="AB92" s="65">
        <v>127</v>
      </c>
      <c r="AC92" s="65">
        <v>127</v>
      </c>
      <c r="AD92" s="65">
        <v>127</v>
      </c>
      <c r="AE92" s="65">
        <v>127</v>
      </c>
      <c r="AF92" s="65"/>
      <c r="AG92" s="92"/>
      <c r="AH92" s="48">
        <f t="shared" si="11"/>
        <v>130.4</v>
      </c>
      <c r="AI92" s="49">
        <f t="shared" si="12"/>
        <v>125</v>
      </c>
    </row>
    <row r="93" spans="1:37" x14ac:dyDescent="0.25">
      <c r="A93" s="91" t="s">
        <v>98</v>
      </c>
      <c r="B93" s="65">
        <v>133.30000000000001</v>
      </c>
      <c r="C93" s="65">
        <v>133.69999999999999</v>
      </c>
      <c r="D93" s="65">
        <v>133.80000000000001</v>
      </c>
      <c r="E93" s="65">
        <v>133.80000000000001</v>
      </c>
      <c r="F93" s="65">
        <v>133.69999999999999</v>
      </c>
      <c r="G93" s="65">
        <v>133.6</v>
      </c>
      <c r="H93" s="65">
        <v>133.1</v>
      </c>
      <c r="I93" s="65">
        <v>132.5</v>
      </c>
      <c r="J93" s="65">
        <v>131.4</v>
      </c>
      <c r="K93" s="65">
        <v>129.69999999999999</v>
      </c>
      <c r="L93" s="65">
        <v>129.30000000000001</v>
      </c>
      <c r="M93" s="65">
        <v>129</v>
      </c>
      <c r="N93" s="65">
        <v>128</v>
      </c>
      <c r="O93" s="65">
        <v>128</v>
      </c>
      <c r="P93" s="65">
        <v>129.69999999999999</v>
      </c>
      <c r="Q93" s="65">
        <v>129.6</v>
      </c>
      <c r="R93" s="65">
        <v>129.6</v>
      </c>
      <c r="S93" s="65">
        <v>129.80000000000001</v>
      </c>
      <c r="T93" s="65">
        <v>129.69999999999999</v>
      </c>
      <c r="U93" s="65">
        <v>130.19999999999999</v>
      </c>
      <c r="V93" s="65">
        <v>129.80000000000001</v>
      </c>
      <c r="W93" s="65">
        <v>129.80000000000001</v>
      </c>
      <c r="X93" s="65">
        <v>128.9</v>
      </c>
      <c r="Y93" s="65">
        <v>128.30000000000001</v>
      </c>
      <c r="Z93" s="65">
        <v>129.69999999999999</v>
      </c>
      <c r="AA93" s="65">
        <v>130</v>
      </c>
      <c r="AB93" s="65">
        <v>130</v>
      </c>
      <c r="AC93" s="65">
        <v>130</v>
      </c>
      <c r="AD93" s="65">
        <v>130</v>
      </c>
      <c r="AE93" s="65">
        <v>130</v>
      </c>
      <c r="AF93" s="65"/>
      <c r="AG93" s="92"/>
      <c r="AH93" s="48">
        <f t="shared" si="11"/>
        <v>133.80000000000001</v>
      </c>
      <c r="AI93" s="49">
        <f t="shared" si="12"/>
        <v>128</v>
      </c>
    </row>
    <row r="94" spans="1:37" x14ac:dyDescent="0.25">
      <c r="A94" s="91" t="s">
        <v>99</v>
      </c>
      <c r="B94" s="65">
        <v>133.6</v>
      </c>
      <c r="C94" s="65">
        <v>132.69999999999999</v>
      </c>
      <c r="D94" s="65">
        <v>133.19999999999999</v>
      </c>
      <c r="E94" s="65">
        <v>132.19999999999999</v>
      </c>
      <c r="F94" s="65">
        <v>132.4</v>
      </c>
      <c r="G94" s="65">
        <v>132.1</v>
      </c>
      <c r="H94" s="65">
        <v>131.30000000000001</v>
      </c>
      <c r="I94" s="65">
        <v>130.4</v>
      </c>
      <c r="J94" s="65">
        <v>130.6</v>
      </c>
      <c r="K94" s="65">
        <v>130.19999999999999</v>
      </c>
      <c r="L94" s="65">
        <v>129</v>
      </c>
      <c r="M94" s="65">
        <v>129</v>
      </c>
      <c r="N94" s="65">
        <v>130</v>
      </c>
      <c r="O94" s="65">
        <v>130</v>
      </c>
      <c r="P94" s="65">
        <v>132</v>
      </c>
      <c r="Q94" s="65">
        <v>131.1</v>
      </c>
      <c r="R94" s="65">
        <v>131.1</v>
      </c>
      <c r="S94" s="65">
        <v>130.30000000000001</v>
      </c>
      <c r="T94" s="65">
        <v>130.19999999999999</v>
      </c>
      <c r="U94" s="65">
        <v>131.6</v>
      </c>
      <c r="V94" s="65">
        <v>130.9</v>
      </c>
      <c r="W94" s="65">
        <v>130.5</v>
      </c>
      <c r="X94" s="65">
        <v>130.30000000000001</v>
      </c>
      <c r="Y94" s="65">
        <v>129.30000000000001</v>
      </c>
      <c r="Z94" s="65">
        <v>129.5</v>
      </c>
      <c r="AA94" s="65">
        <v>130.5</v>
      </c>
      <c r="AB94" s="65">
        <v>130.5</v>
      </c>
      <c r="AC94" s="65">
        <v>130.5</v>
      </c>
      <c r="AD94" s="65">
        <v>130.5</v>
      </c>
      <c r="AE94" s="65">
        <v>130.5</v>
      </c>
      <c r="AF94" s="65"/>
      <c r="AG94" s="92"/>
      <c r="AH94" s="48">
        <f t="shared" si="11"/>
        <v>133.6</v>
      </c>
      <c r="AI94" s="49">
        <f t="shared" si="12"/>
        <v>129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11"/>
        <v>0</v>
      </c>
      <c r="AI95" s="49">
        <f t="shared" si="12"/>
        <v>0</v>
      </c>
    </row>
    <row r="96" spans="1:37" x14ac:dyDescent="0.25">
      <c r="A96" s="93" t="s">
        <v>101</v>
      </c>
      <c r="B96" s="94">
        <v>133.69999999999999</v>
      </c>
      <c r="C96" s="94">
        <v>134.9</v>
      </c>
      <c r="D96" s="94">
        <v>134.69999999999999</v>
      </c>
      <c r="E96" s="94">
        <v>135</v>
      </c>
      <c r="F96" s="94">
        <v>133.1</v>
      </c>
      <c r="G96" s="94">
        <v>134.9</v>
      </c>
      <c r="H96" s="94">
        <v>136.19999999999999</v>
      </c>
      <c r="I96" s="94">
        <v>135.19999999999999</v>
      </c>
      <c r="J96" s="94">
        <v>134.30000000000001</v>
      </c>
      <c r="K96" s="94">
        <v>132.69999999999999</v>
      </c>
      <c r="L96" s="94">
        <v>131.69999999999999</v>
      </c>
      <c r="M96" s="94">
        <v>133</v>
      </c>
      <c r="N96" s="94">
        <v>132</v>
      </c>
      <c r="O96" s="94">
        <v>132</v>
      </c>
      <c r="P96" s="94">
        <v>134.6</v>
      </c>
      <c r="Q96" s="94">
        <v>134.4</v>
      </c>
      <c r="R96" s="94">
        <v>134.4</v>
      </c>
      <c r="S96" s="94">
        <v>132.4</v>
      </c>
      <c r="T96" s="94">
        <v>133.1</v>
      </c>
      <c r="U96" s="94">
        <v>132.5</v>
      </c>
      <c r="V96" s="94">
        <v>134</v>
      </c>
      <c r="W96" s="94">
        <v>134.1</v>
      </c>
      <c r="X96" s="94">
        <v>131.9</v>
      </c>
      <c r="Y96" s="94">
        <v>131.5</v>
      </c>
      <c r="Z96" s="94">
        <v>135.19999999999999</v>
      </c>
      <c r="AA96" s="94">
        <v>134.19999999999999</v>
      </c>
      <c r="AB96" s="94">
        <v>134.19999999999999</v>
      </c>
      <c r="AC96" s="94">
        <v>134.19999999999999</v>
      </c>
      <c r="AD96" s="94">
        <v>134.19999999999999</v>
      </c>
      <c r="AE96" s="94">
        <v>134.19999999999999</v>
      </c>
      <c r="AF96" s="94"/>
      <c r="AG96" s="95"/>
      <c r="AH96" s="48">
        <f t="shared" si="11"/>
        <v>136.19999999999999</v>
      </c>
      <c r="AI96" s="49">
        <f t="shared" si="12"/>
        <v>131.5</v>
      </c>
    </row>
    <row r="97" spans="1:37" x14ac:dyDescent="0.25">
      <c r="A97" s="91" t="s">
        <v>102</v>
      </c>
      <c r="B97" s="65">
        <v>132.30000000000001</v>
      </c>
      <c r="C97" s="65">
        <v>133.69999999999999</v>
      </c>
      <c r="D97" s="65">
        <v>133.5</v>
      </c>
      <c r="E97" s="65">
        <v>133.69999999999999</v>
      </c>
      <c r="F97" s="65">
        <v>132.4</v>
      </c>
      <c r="G97" s="65">
        <v>133.1</v>
      </c>
      <c r="H97" s="65">
        <v>133.9</v>
      </c>
      <c r="I97" s="65">
        <v>132.4</v>
      </c>
      <c r="J97" s="65">
        <v>129.9</v>
      </c>
      <c r="K97" s="65">
        <v>130.80000000000001</v>
      </c>
      <c r="L97" s="65">
        <v>129.69999999999999</v>
      </c>
      <c r="M97" s="65">
        <v>129</v>
      </c>
      <c r="N97" s="65">
        <v>128</v>
      </c>
      <c r="O97" s="65">
        <v>128</v>
      </c>
      <c r="P97" s="65">
        <v>130.9</v>
      </c>
      <c r="Q97" s="65">
        <v>130.4</v>
      </c>
      <c r="R97" s="65">
        <v>130.4</v>
      </c>
      <c r="S97" s="65">
        <v>128.6</v>
      </c>
      <c r="T97" s="65">
        <v>128.69999999999999</v>
      </c>
      <c r="U97" s="65">
        <v>129.30000000000001</v>
      </c>
      <c r="V97" s="65">
        <v>130.6</v>
      </c>
      <c r="W97" s="65">
        <v>130.9</v>
      </c>
      <c r="X97" s="65">
        <v>127.8</v>
      </c>
      <c r="Y97" s="65">
        <v>128.30000000000001</v>
      </c>
      <c r="Z97" s="65">
        <v>133.1</v>
      </c>
      <c r="AA97" s="65">
        <v>131.30000000000001</v>
      </c>
      <c r="AB97" s="65">
        <v>131.30000000000001</v>
      </c>
      <c r="AC97" s="65">
        <v>131.30000000000001</v>
      </c>
      <c r="AD97" s="65">
        <v>131.30000000000001</v>
      </c>
      <c r="AE97" s="65">
        <v>131.30000000000001</v>
      </c>
      <c r="AF97" s="65"/>
      <c r="AG97" s="92"/>
      <c r="AH97" s="48">
        <f t="shared" si="11"/>
        <v>133.9</v>
      </c>
      <c r="AI97" s="49">
        <f t="shared" si="12"/>
        <v>127.8</v>
      </c>
    </row>
    <row r="98" spans="1:37" ht="15.75" thickBot="1" x14ac:dyDescent="0.3">
      <c r="A98" s="91" t="s">
        <v>103</v>
      </c>
      <c r="B98" s="96">
        <v>67.099999999999994</v>
      </c>
      <c r="C98" s="96">
        <v>67.3</v>
      </c>
      <c r="D98" s="96">
        <v>67.3</v>
      </c>
      <c r="E98" s="96">
        <v>67.3</v>
      </c>
      <c r="F98" s="96">
        <v>67.2</v>
      </c>
      <c r="G98" s="96">
        <v>67</v>
      </c>
      <c r="H98" s="96">
        <v>66.8</v>
      </c>
      <c r="I98" s="96">
        <v>66.400000000000006</v>
      </c>
      <c r="J98" s="96">
        <v>66.099999999999994</v>
      </c>
      <c r="K98" s="96">
        <v>65.2</v>
      </c>
      <c r="L98" s="96">
        <v>65.2</v>
      </c>
      <c r="M98" s="96">
        <v>65</v>
      </c>
      <c r="N98" s="96">
        <v>65</v>
      </c>
      <c r="O98" s="96">
        <v>65</v>
      </c>
      <c r="P98" s="96">
        <v>65.099999999999994</v>
      </c>
      <c r="Q98" s="96">
        <v>65.2</v>
      </c>
      <c r="R98" s="96">
        <v>65.2</v>
      </c>
      <c r="S98" s="96">
        <v>65.3</v>
      </c>
      <c r="T98" s="96">
        <v>65.3</v>
      </c>
      <c r="U98" s="96">
        <v>65.400000000000006</v>
      </c>
      <c r="V98" s="96">
        <v>65.400000000000006</v>
      </c>
      <c r="W98" s="96">
        <v>65.400000000000006</v>
      </c>
      <c r="X98" s="96">
        <v>64.900000000000006</v>
      </c>
      <c r="Y98" s="96">
        <v>64.8</v>
      </c>
      <c r="Z98" s="96">
        <v>65.400000000000006</v>
      </c>
      <c r="AA98" s="96">
        <v>65.400000000000006</v>
      </c>
      <c r="AB98" s="96">
        <v>65.400000000000006</v>
      </c>
      <c r="AC98" s="96">
        <v>66.2</v>
      </c>
      <c r="AD98" s="96">
        <v>66.2</v>
      </c>
      <c r="AE98" s="96">
        <v>66.2</v>
      </c>
      <c r="AF98" s="96"/>
      <c r="AG98" s="97"/>
      <c r="AH98" s="48">
        <f t="shared" si="11"/>
        <v>67.3</v>
      </c>
      <c r="AI98" s="49">
        <f t="shared" si="12"/>
        <v>64.8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11"/>
        <v>0</v>
      </c>
      <c r="AI99" s="49">
        <f t="shared" si="12"/>
        <v>0</v>
      </c>
    </row>
    <row r="100" spans="1:37" ht="15.75" thickBot="1" x14ac:dyDescent="0.3">
      <c r="A100" s="99" t="s">
        <v>104</v>
      </c>
      <c r="B100" s="100">
        <f t="shared" ref="B100:AF100" si="23">SUM(B15,B20,B22:B23,B48,B50:B51,B53,B55,B101:B105,B127,B133,B139,B148,B150,B162,B169,B172:B173,B180,B182,B184,B188:B190,B192:B194,B199,B205:B206,B208:B210,B218,B223)</f>
        <v>48.59999999999998</v>
      </c>
      <c r="C100" s="100">
        <f t="shared" si="23"/>
        <v>45.14</v>
      </c>
      <c r="D100" s="100">
        <f t="shared" si="23"/>
        <v>43.639999999999965</v>
      </c>
      <c r="E100" s="100">
        <f t="shared" si="23"/>
        <v>41.339999999999961</v>
      </c>
      <c r="F100" s="100">
        <f t="shared" si="23"/>
        <v>40.939999999999969</v>
      </c>
      <c r="G100" s="100">
        <f t="shared" si="23"/>
        <v>54.439999999999984</v>
      </c>
      <c r="H100" s="100">
        <f t="shared" si="23"/>
        <v>69.839999999999975</v>
      </c>
      <c r="I100" s="100">
        <f t="shared" si="23"/>
        <v>96.84</v>
      </c>
      <c r="J100" s="100">
        <f t="shared" si="23"/>
        <v>121.13999999999997</v>
      </c>
      <c r="K100" s="100">
        <f t="shared" si="23"/>
        <v>143.33999999999997</v>
      </c>
      <c r="L100" s="100">
        <f t="shared" si="23"/>
        <v>143.84</v>
      </c>
      <c r="M100" s="100">
        <f t="shared" si="23"/>
        <v>156.92000000000002</v>
      </c>
      <c r="N100" s="100">
        <f t="shared" si="23"/>
        <v>161.13</v>
      </c>
      <c r="O100" s="100">
        <f t="shared" si="23"/>
        <v>165.64</v>
      </c>
      <c r="P100" s="100">
        <f t="shared" si="23"/>
        <v>159.99</v>
      </c>
      <c r="Q100" s="100">
        <f t="shared" si="23"/>
        <v>137.33000000000004</v>
      </c>
      <c r="R100" s="100">
        <f t="shared" si="23"/>
        <v>151.10000000000002</v>
      </c>
      <c r="S100" s="100">
        <f t="shared" si="23"/>
        <v>130.92000000000002</v>
      </c>
      <c r="T100" s="100">
        <f t="shared" si="23"/>
        <v>135.63</v>
      </c>
      <c r="U100" s="100">
        <f t="shared" si="23"/>
        <v>138.53</v>
      </c>
      <c r="V100" s="100">
        <f t="shared" si="23"/>
        <v>147.60000000000002</v>
      </c>
      <c r="W100" s="100">
        <f t="shared" si="23"/>
        <v>180.10000000000002</v>
      </c>
      <c r="X100" s="100">
        <f t="shared" si="23"/>
        <v>245.39999999999998</v>
      </c>
      <c r="Y100" s="100">
        <f t="shared" si="23"/>
        <v>240.7</v>
      </c>
      <c r="Z100" s="100">
        <f t="shared" si="23"/>
        <v>226.7</v>
      </c>
      <c r="AA100" s="100">
        <f t="shared" si="23"/>
        <v>191.70000000000002</v>
      </c>
      <c r="AB100" s="100">
        <f t="shared" si="23"/>
        <v>150.39999999999998</v>
      </c>
      <c r="AC100" s="100">
        <f t="shared" si="23"/>
        <v>128.4</v>
      </c>
      <c r="AD100" s="100">
        <f t="shared" ref="AD100" si="24">SUM(AD15,AD20,AD22:AD23,AD48,AD50:AD51,AD53,AD55,AD101:AD105,AD127,AD133,AD139,AD148,AD150,AD162,AD169,AD172:AD173,AD180,AD182,AD184,AD188:AD190,AD192:AD194,AD199,AD205:AD206,AD208:AD210,AD218,AD223)</f>
        <v>128.4</v>
      </c>
      <c r="AE100" s="100">
        <f t="shared" si="23"/>
        <v>113.4</v>
      </c>
      <c r="AF100" s="100">
        <f t="shared" si="23"/>
        <v>105.4</v>
      </c>
      <c r="AG100" s="101"/>
      <c r="AH100" s="48">
        <f t="shared" si="11"/>
        <v>245.39999999999998</v>
      </c>
      <c r="AI100" s="49">
        <f t="shared" si="12"/>
        <v>40.939999999999969</v>
      </c>
    </row>
    <row r="101" spans="1:37" x14ac:dyDescent="0.25">
      <c r="A101" s="88" t="s">
        <v>105</v>
      </c>
      <c r="B101" s="102">
        <v>25.7</v>
      </c>
      <c r="C101" s="102">
        <v>24.7</v>
      </c>
      <c r="D101" s="102">
        <v>25.1</v>
      </c>
      <c r="E101" s="102">
        <v>27.7</v>
      </c>
      <c r="F101" s="102">
        <v>27.2</v>
      </c>
      <c r="G101" s="102">
        <v>29.1</v>
      </c>
      <c r="H101" s="102">
        <v>35.5</v>
      </c>
      <c r="I101" s="102">
        <v>39.700000000000003</v>
      </c>
      <c r="J101" s="102">
        <v>41.7</v>
      </c>
      <c r="K101" s="102">
        <v>50.4</v>
      </c>
      <c r="L101" s="102">
        <v>50.2</v>
      </c>
      <c r="M101" s="102">
        <v>53</v>
      </c>
      <c r="N101" s="102">
        <v>55</v>
      </c>
      <c r="O101" s="102">
        <v>54</v>
      </c>
      <c r="P101" s="102">
        <v>49.2</v>
      </c>
      <c r="Q101" s="102">
        <v>48.1</v>
      </c>
      <c r="R101" s="102">
        <v>43</v>
      </c>
      <c r="S101" s="102">
        <v>41</v>
      </c>
      <c r="T101" s="102">
        <v>43.3</v>
      </c>
      <c r="U101" s="102">
        <v>41.9</v>
      </c>
      <c r="V101" s="102">
        <v>50</v>
      </c>
      <c r="W101" s="102">
        <v>52.4</v>
      </c>
      <c r="X101" s="102">
        <v>54.6</v>
      </c>
      <c r="Y101" s="102">
        <v>57.4</v>
      </c>
      <c r="Z101" s="102">
        <v>59</v>
      </c>
      <c r="AA101" s="102">
        <v>55</v>
      </c>
      <c r="AB101" s="102">
        <v>49</v>
      </c>
      <c r="AC101" s="102">
        <v>47</v>
      </c>
      <c r="AD101" s="102">
        <v>47</v>
      </c>
      <c r="AE101" s="102">
        <v>47</v>
      </c>
      <c r="AF101" s="102"/>
      <c r="AG101" s="103">
        <v>75</v>
      </c>
      <c r="AH101" s="48">
        <f t="shared" si="11"/>
        <v>59</v>
      </c>
      <c r="AI101" s="49">
        <f t="shared" si="12"/>
        <v>24.7</v>
      </c>
    </row>
    <row r="102" spans="1:37" x14ac:dyDescent="0.25">
      <c r="A102" s="91" t="s">
        <v>106</v>
      </c>
      <c r="B102" s="104">
        <v>39.9</v>
      </c>
      <c r="C102" s="104">
        <v>39.5</v>
      </c>
      <c r="D102" s="104">
        <v>40.200000000000003</v>
      </c>
      <c r="E102" s="104">
        <v>43.1</v>
      </c>
      <c r="F102" s="104">
        <v>42.3</v>
      </c>
      <c r="G102" s="104">
        <v>44.6</v>
      </c>
      <c r="H102" s="104">
        <v>53.5</v>
      </c>
      <c r="I102" s="104">
        <v>58.3</v>
      </c>
      <c r="J102" s="104">
        <v>61</v>
      </c>
      <c r="K102" s="104">
        <v>72</v>
      </c>
      <c r="L102" s="104">
        <v>71.400000000000006</v>
      </c>
      <c r="M102" s="104">
        <v>74</v>
      </c>
      <c r="N102" s="104">
        <v>78</v>
      </c>
      <c r="O102" s="104">
        <v>77</v>
      </c>
      <c r="P102" s="104">
        <v>70.8</v>
      </c>
      <c r="Q102" s="104">
        <v>69.099999999999994</v>
      </c>
      <c r="R102" s="104">
        <v>64</v>
      </c>
      <c r="S102" s="104">
        <v>60.4</v>
      </c>
      <c r="T102" s="104">
        <v>63.4</v>
      </c>
      <c r="U102" s="104">
        <v>61</v>
      </c>
      <c r="V102" s="104">
        <v>72.099999999999994</v>
      </c>
      <c r="W102" s="104">
        <v>74.3</v>
      </c>
      <c r="X102" s="104">
        <v>80.099999999999994</v>
      </c>
      <c r="Y102" s="104">
        <v>83.5</v>
      </c>
      <c r="Z102" s="104">
        <v>86.1</v>
      </c>
      <c r="AA102" s="104">
        <v>79</v>
      </c>
      <c r="AB102" s="104">
        <v>70</v>
      </c>
      <c r="AC102" s="104">
        <v>67</v>
      </c>
      <c r="AD102" s="104">
        <v>67</v>
      </c>
      <c r="AE102" s="104">
        <v>67</v>
      </c>
      <c r="AF102" s="104"/>
      <c r="AG102" s="103">
        <v>240</v>
      </c>
      <c r="AH102" s="48">
        <f t="shared" si="11"/>
        <v>86.1</v>
      </c>
      <c r="AI102" s="49">
        <f t="shared" si="12"/>
        <v>39.5</v>
      </c>
    </row>
    <row r="103" spans="1:37" x14ac:dyDescent="0.25">
      <c r="A103" s="91" t="s">
        <v>107</v>
      </c>
      <c r="B103" s="104">
        <f>-65.9-70.7</f>
        <v>-136.60000000000002</v>
      </c>
      <c r="C103" s="104">
        <f>-66.2-71</f>
        <v>-137.19999999999999</v>
      </c>
      <c r="D103" s="104">
        <f>-67.9-72.7</f>
        <v>-140.60000000000002</v>
      </c>
      <c r="E103" s="104">
        <f>-68.8-73</f>
        <v>-141.80000000000001</v>
      </c>
      <c r="F103" s="104">
        <f>-68.1-72.5</f>
        <v>-140.6</v>
      </c>
      <c r="G103" s="104">
        <f>-64.5-68.1</f>
        <v>-132.6</v>
      </c>
      <c r="H103" s="104">
        <f>-64.5-69.8</f>
        <v>-134.30000000000001</v>
      </c>
      <c r="I103" s="104">
        <f>-61.9-66.2</f>
        <v>-128.1</v>
      </c>
      <c r="J103" s="104">
        <f>-60-64.4</f>
        <v>-124.4</v>
      </c>
      <c r="K103" s="104">
        <f>-59-64.6</f>
        <v>-123.6</v>
      </c>
      <c r="L103" s="104">
        <f>-60-64.6</f>
        <v>-124.6</v>
      </c>
      <c r="M103" s="104">
        <v>-121</v>
      </c>
      <c r="N103" s="104">
        <v>-126</v>
      </c>
      <c r="O103" s="104">
        <v>-120</v>
      </c>
      <c r="P103" s="104">
        <f>-63-66.9</f>
        <v>-129.9</v>
      </c>
      <c r="Q103" s="104">
        <f>-66.7-71.6</f>
        <v>-138.30000000000001</v>
      </c>
      <c r="R103" s="104">
        <v>-125</v>
      </c>
      <c r="S103" s="104">
        <f>-59-63</f>
        <v>-122</v>
      </c>
      <c r="T103" s="104">
        <f>-60-64.6</f>
        <v>-124.6</v>
      </c>
      <c r="U103" s="104">
        <f>-57.9-62</f>
        <v>-119.9</v>
      </c>
      <c r="V103" s="104">
        <f>-58-62</f>
        <v>-120</v>
      </c>
      <c r="W103" s="104">
        <f>-52-57</f>
        <v>-109</v>
      </c>
      <c r="X103" s="104">
        <f>-38.6-42.6</f>
        <v>-81.2</v>
      </c>
      <c r="Y103" s="104">
        <f>-44-47</f>
        <v>-91</v>
      </c>
      <c r="Z103" s="104">
        <f>-52-55</f>
        <v>-107</v>
      </c>
      <c r="AA103" s="104">
        <f>-52-56</f>
        <v>-108</v>
      </c>
      <c r="AB103" s="104">
        <v>-120</v>
      </c>
      <c r="AC103" s="104">
        <v>-120</v>
      </c>
      <c r="AD103" s="104">
        <v>-120</v>
      </c>
      <c r="AE103" s="104">
        <v>-120</v>
      </c>
      <c r="AF103" s="104"/>
      <c r="AG103" s="103">
        <v>240</v>
      </c>
      <c r="AH103" s="48">
        <f t="shared" si="11"/>
        <v>-81.2</v>
      </c>
      <c r="AI103" s="49">
        <f t="shared" si="12"/>
        <v>-141.80000000000001</v>
      </c>
    </row>
    <row r="104" spans="1:37" x14ac:dyDescent="0.25">
      <c r="A104" s="91" t="s">
        <v>108</v>
      </c>
      <c r="B104" s="104">
        <v>-3.3</v>
      </c>
      <c r="C104" s="104">
        <v>-5.7</v>
      </c>
      <c r="D104" s="104">
        <v>-4.9000000000000004</v>
      </c>
      <c r="E104" s="104">
        <v>-5.2</v>
      </c>
      <c r="F104" s="104">
        <v>-5.5</v>
      </c>
      <c r="G104" s="104">
        <v>-4.2</v>
      </c>
      <c r="H104" s="104">
        <v>-2.4</v>
      </c>
      <c r="I104" s="104">
        <v>0</v>
      </c>
      <c r="J104" s="104">
        <v>-0.3</v>
      </c>
      <c r="K104" s="104">
        <v>1.1000000000000001</v>
      </c>
      <c r="L104" s="104">
        <v>3.5</v>
      </c>
      <c r="M104" s="104">
        <v>6.5</v>
      </c>
      <c r="N104" s="104">
        <v>8.1999999999999993</v>
      </c>
      <c r="O104" s="104">
        <v>8.5</v>
      </c>
      <c r="P104" s="104">
        <v>7.4</v>
      </c>
      <c r="Q104" s="104">
        <v>5.3</v>
      </c>
      <c r="R104" s="104">
        <v>8</v>
      </c>
      <c r="S104" s="104">
        <v>9</v>
      </c>
      <c r="T104" s="104">
        <v>9.1999999999999993</v>
      </c>
      <c r="U104" s="104">
        <v>11.2</v>
      </c>
      <c r="V104" s="104">
        <v>10.5</v>
      </c>
      <c r="W104" s="104">
        <v>12.8</v>
      </c>
      <c r="X104" s="104">
        <v>17.3</v>
      </c>
      <c r="Y104" s="104">
        <v>16.2</v>
      </c>
      <c r="Z104" s="104">
        <v>14</v>
      </c>
      <c r="AA104" s="104">
        <v>11.1</v>
      </c>
      <c r="AB104" s="104">
        <v>8</v>
      </c>
      <c r="AC104" s="104">
        <v>6</v>
      </c>
      <c r="AD104" s="104">
        <v>6</v>
      </c>
      <c r="AE104" s="104">
        <v>6</v>
      </c>
      <c r="AF104" s="104"/>
      <c r="AG104" s="103">
        <v>60</v>
      </c>
      <c r="AH104" s="48">
        <f t="shared" si="11"/>
        <v>17.3</v>
      </c>
      <c r="AI104" s="49">
        <f t="shared" si="12"/>
        <v>-5.7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0</v>
      </c>
      <c r="Y105" s="106">
        <v>0</v>
      </c>
      <c r="Z105" s="106">
        <v>0</v>
      </c>
      <c r="AA105" s="106">
        <v>0</v>
      </c>
      <c r="AB105" s="106">
        <v>0</v>
      </c>
      <c r="AC105" s="106">
        <v>0</v>
      </c>
      <c r="AD105" s="106">
        <v>0</v>
      </c>
      <c r="AE105" s="106">
        <v>0</v>
      </c>
      <c r="AF105" s="106"/>
      <c r="AG105" s="107">
        <v>120</v>
      </c>
      <c r="AH105" s="48">
        <f t="shared" si="11"/>
        <v>0</v>
      </c>
      <c r="AI105" s="49">
        <f t="shared" si="12"/>
        <v>0</v>
      </c>
    </row>
    <row r="106" spans="1:37" x14ac:dyDescent="0.25">
      <c r="A106" s="105" t="s">
        <v>110</v>
      </c>
      <c r="B106" s="106">
        <v>-51.9</v>
      </c>
      <c r="C106" s="106">
        <v>-53.6</v>
      </c>
      <c r="D106" s="106">
        <v>-55.3</v>
      </c>
      <c r="E106" s="106">
        <v>-57.3</v>
      </c>
      <c r="F106" s="106">
        <v>-56.9</v>
      </c>
      <c r="G106" s="106">
        <v>-53.1</v>
      </c>
      <c r="H106" s="106">
        <v>-56.8</v>
      </c>
      <c r="I106" s="106">
        <v>-54.8</v>
      </c>
      <c r="J106" s="106">
        <v>-55</v>
      </c>
      <c r="K106" s="106">
        <v>-64.599999999999994</v>
      </c>
      <c r="L106" s="106">
        <v>-63.5</v>
      </c>
      <c r="M106" s="106">
        <v>-61</v>
      </c>
      <c r="N106" s="106">
        <v>-65</v>
      </c>
      <c r="O106" s="106">
        <v>-61</v>
      </c>
      <c r="P106" s="106">
        <v>-64.400000000000006</v>
      </c>
      <c r="Q106" s="106">
        <v>-72.2</v>
      </c>
      <c r="R106" s="106">
        <v>65</v>
      </c>
      <c r="S106" s="106">
        <v>-54.5</v>
      </c>
      <c r="T106" s="106">
        <v>-57.5</v>
      </c>
      <c r="U106" s="106">
        <v>-55.7</v>
      </c>
      <c r="V106" s="106">
        <v>-59</v>
      </c>
      <c r="W106" s="106">
        <v>-53.7</v>
      </c>
      <c r="X106" s="106">
        <v>-24.5</v>
      </c>
      <c r="Y106" s="106">
        <v>-31</v>
      </c>
      <c r="Z106" s="106">
        <v>-39</v>
      </c>
      <c r="AA106" s="106">
        <v>-38</v>
      </c>
      <c r="AB106" s="106">
        <v>-49</v>
      </c>
      <c r="AC106" s="106">
        <v>-54</v>
      </c>
      <c r="AD106" s="106">
        <v>-54</v>
      </c>
      <c r="AE106" s="106">
        <v>-54</v>
      </c>
      <c r="AF106" s="106"/>
      <c r="AG106" s="107"/>
      <c r="AH106" s="48">
        <f t="shared" si="11"/>
        <v>65</v>
      </c>
      <c r="AI106" s="49">
        <f t="shared" si="12"/>
        <v>-72.2</v>
      </c>
    </row>
    <row r="107" spans="1:37" x14ac:dyDescent="0.25">
      <c r="A107" s="105" t="s">
        <v>111</v>
      </c>
      <c r="B107" s="106">
        <v>-14.1</v>
      </c>
      <c r="C107" s="106">
        <v>-11.5</v>
      </c>
      <c r="D107" s="106">
        <v>-12</v>
      </c>
      <c r="E107" s="106">
        <v>-7.5</v>
      </c>
      <c r="F107" s="106">
        <v>-4.7</v>
      </c>
      <c r="G107" s="106">
        <v>-10.9</v>
      </c>
      <c r="H107" s="106">
        <v>-26.3</v>
      </c>
      <c r="I107" s="106">
        <v>-22.7</v>
      </c>
      <c r="J107" s="106">
        <v>-27.1</v>
      </c>
      <c r="K107" s="106">
        <v>-52.6</v>
      </c>
      <c r="L107" s="106">
        <v>-65.400000000000006</v>
      </c>
      <c r="M107" s="106">
        <v>71</v>
      </c>
      <c r="N107" s="106">
        <v>71</v>
      </c>
      <c r="O107" s="106">
        <v>68</v>
      </c>
      <c r="P107" s="106">
        <v>-58.5</v>
      </c>
      <c r="Q107" s="106">
        <v>-55.3</v>
      </c>
      <c r="R107" s="106">
        <v>56</v>
      </c>
      <c r="S107" s="106">
        <v>-43.8</v>
      </c>
      <c r="T107" s="106">
        <v>-35.200000000000003</v>
      </c>
      <c r="U107" s="106">
        <v>-34</v>
      </c>
      <c r="V107" s="106">
        <v>-47</v>
      </c>
      <c r="W107" s="106">
        <v>-59</v>
      </c>
      <c r="X107" s="106">
        <v>-14.5</v>
      </c>
      <c r="Y107" s="106">
        <v>-41</v>
      </c>
      <c r="Z107" s="106">
        <v>-41.2</v>
      </c>
      <c r="AA107" s="106">
        <v>-62</v>
      </c>
      <c r="AB107" s="106">
        <v>-50</v>
      </c>
      <c r="AC107" s="106">
        <v>-43</v>
      </c>
      <c r="AD107" s="106">
        <v>-43</v>
      </c>
      <c r="AE107" s="106">
        <v>-43</v>
      </c>
      <c r="AF107" s="106"/>
      <c r="AG107" s="108"/>
      <c r="AH107" s="48">
        <f t="shared" si="11"/>
        <v>71</v>
      </c>
      <c r="AI107" s="49">
        <f t="shared" si="12"/>
        <v>-65.400000000000006</v>
      </c>
    </row>
    <row r="108" spans="1:37" x14ac:dyDescent="0.25">
      <c r="A108" s="109" t="s">
        <v>112</v>
      </c>
      <c r="B108" s="94">
        <v>112</v>
      </c>
      <c r="C108" s="94">
        <v>114.1</v>
      </c>
      <c r="D108" s="94">
        <v>114.4</v>
      </c>
      <c r="E108" s="94">
        <v>115.5</v>
      </c>
      <c r="F108" s="94">
        <v>116.9</v>
      </c>
      <c r="G108" s="94">
        <v>117.1</v>
      </c>
      <c r="H108" s="94">
        <v>115.4</v>
      </c>
      <c r="I108" s="94">
        <v>115.5</v>
      </c>
      <c r="J108" s="94">
        <v>113</v>
      </c>
      <c r="K108" s="94">
        <v>111.4</v>
      </c>
      <c r="L108" s="94">
        <v>110.3</v>
      </c>
      <c r="M108" s="94">
        <v>106</v>
      </c>
      <c r="N108" s="94">
        <v>105</v>
      </c>
      <c r="O108" s="94">
        <v>116</v>
      </c>
      <c r="P108" s="94">
        <v>109.2</v>
      </c>
      <c r="Q108" s="94">
        <v>110.9</v>
      </c>
      <c r="R108" s="94">
        <v>110</v>
      </c>
      <c r="S108" s="94">
        <v>104.5</v>
      </c>
      <c r="T108" s="94">
        <v>106.7</v>
      </c>
      <c r="U108" s="94">
        <v>104</v>
      </c>
      <c r="V108" s="94">
        <v>99</v>
      </c>
      <c r="W108" s="94">
        <v>84</v>
      </c>
      <c r="X108" s="94">
        <v>74.5</v>
      </c>
      <c r="Y108" s="94">
        <v>81.2</v>
      </c>
      <c r="Z108" s="94">
        <v>83.5</v>
      </c>
      <c r="AA108" s="94">
        <v>87</v>
      </c>
      <c r="AB108" s="94">
        <v>95</v>
      </c>
      <c r="AC108" s="94">
        <v>97</v>
      </c>
      <c r="AD108" s="94">
        <v>97</v>
      </c>
      <c r="AE108" s="94">
        <v>97</v>
      </c>
      <c r="AF108" s="94"/>
      <c r="AG108" s="108"/>
      <c r="AH108" s="48">
        <f t="shared" si="11"/>
        <v>117.1</v>
      </c>
      <c r="AI108" s="49">
        <f t="shared" si="12"/>
        <v>74.5</v>
      </c>
    </row>
    <row r="109" spans="1:37" ht="15.75" thickBot="1" x14ac:dyDescent="0.3">
      <c r="A109" s="109" t="s">
        <v>113</v>
      </c>
      <c r="B109" s="94">
        <v>96</v>
      </c>
      <c r="C109" s="94">
        <v>101.7</v>
      </c>
      <c r="D109" s="94">
        <v>98</v>
      </c>
      <c r="E109" s="94">
        <v>100.1</v>
      </c>
      <c r="F109" s="94">
        <v>98.1</v>
      </c>
      <c r="G109" s="94">
        <v>98</v>
      </c>
      <c r="H109" s="94">
        <v>98.1</v>
      </c>
      <c r="I109" s="94">
        <v>100.2</v>
      </c>
      <c r="J109" s="94">
        <v>95</v>
      </c>
      <c r="K109" s="94">
        <v>95.5</v>
      </c>
      <c r="L109" s="94">
        <v>99.7</v>
      </c>
      <c r="M109" s="94">
        <v>98</v>
      </c>
      <c r="N109" s="94">
        <v>103</v>
      </c>
      <c r="O109" s="94">
        <v>99</v>
      </c>
      <c r="P109" s="94">
        <v>102.1</v>
      </c>
      <c r="Q109" s="94">
        <v>107.2</v>
      </c>
      <c r="R109" s="94">
        <v>96</v>
      </c>
      <c r="S109" s="94">
        <v>92.7</v>
      </c>
      <c r="T109" s="94">
        <v>-95.5</v>
      </c>
      <c r="U109" s="94">
        <v>93</v>
      </c>
      <c r="V109" s="94">
        <v>95</v>
      </c>
      <c r="W109" s="94">
        <v>91</v>
      </c>
      <c r="X109" s="94">
        <v>69</v>
      </c>
      <c r="Y109" s="94">
        <v>81</v>
      </c>
      <c r="Z109" s="94">
        <v>87.5</v>
      </c>
      <c r="AA109" s="94">
        <v>86.2</v>
      </c>
      <c r="AB109" s="94">
        <v>96</v>
      </c>
      <c r="AC109" s="94">
        <v>101</v>
      </c>
      <c r="AD109" s="94">
        <v>102</v>
      </c>
      <c r="AE109" s="94">
        <v>102</v>
      </c>
      <c r="AF109" s="94"/>
      <c r="AG109" s="108"/>
      <c r="AH109" s="48">
        <f t="shared" si="11"/>
        <v>107.2</v>
      </c>
      <c r="AI109" s="49">
        <f t="shared" si="12"/>
        <v>-95.5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25">SUM(B111:B215)</f>
        <v>0</v>
      </c>
      <c r="C216" s="125">
        <f t="shared" si="25"/>
        <v>0</v>
      </c>
      <c r="D216" s="125">
        <f t="shared" si="25"/>
        <v>0</v>
      </c>
      <c r="E216" s="125">
        <f t="shared" si="25"/>
        <v>0</v>
      </c>
      <c r="F216" s="125">
        <f t="shared" si="25"/>
        <v>0</v>
      </c>
      <c r="G216" s="125">
        <f t="shared" si="25"/>
        <v>0</v>
      </c>
      <c r="H216" s="125">
        <f t="shared" si="25"/>
        <v>0</v>
      </c>
      <c r="I216" s="125">
        <f t="shared" si="25"/>
        <v>0</v>
      </c>
      <c r="J216" s="125">
        <f t="shared" si="25"/>
        <v>0</v>
      </c>
      <c r="K216" s="125">
        <f t="shared" si="25"/>
        <v>0</v>
      </c>
      <c r="L216" s="125">
        <f t="shared" si="25"/>
        <v>0</v>
      </c>
      <c r="M216" s="125">
        <f t="shared" si="25"/>
        <v>0</v>
      </c>
      <c r="N216" s="125">
        <f t="shared" si="25"/>
        <v>0</v>
      </c>
      <c r="O216" s="125">
        <f t="shared" si="25"/>
        <v>0</v>
      </c>
      <c r="P216" s="125">
        <f t="shared" si="25"/>
        <v>0</v>
      </c>
      <c r="Q216" s="125">
        <f t="shared" si="25"/>
        <v>0</v>
      </c>
      <c r="R216" s="125">
        <f t="shared" si="25"/>
        <v>0</v>
      </c>
      <c r="S216" s="125">
        <f t="shared" si="25"/>
        <v>0</v>
      </c>
      <c r="T216" s="125">
        <f t="shared" si="25"/>
        <v>0</v>
      </c>
      <c r="U216" s="125">
        <f t="shared" si="25"/>
        <v>0</v>
      </c>
      <c r="V216" s="125">
        <f t="shared" si="25"/>
        <v>0</v>
      </c>
      <c r="W216" s="125">
        <f t="shared" si="25"/>
        <v>0</v>
      </c>
      <c r="X216" s="125">
        <f t="shared" si="25"/>
        <v>0</v>
      </c>
      <c r="Y216" s="125">
        <f t="shared" si="25"/>
        <v>0</v>
      </c>
      <c r="Z216" s="125">
        <f t="shared" si="25"/>
        <v>0</v>
      </c>
      <c r="AA216" s="125">
        <f t="shared" si="25"/>
        <v>0</v>
      </c>
      <c r="AB216" s="125">
        <f t="shared" si="25"/>
        <v>0</v>
      </c>
      <c r="AC216" s="125">
        <f t="shared" si="25"/>
        <v>0</v>
      </c>
      <c r="AD216" s="125">
        <f t="shared" si="25"/>
        <v>0</v>
      </c>
      <c r="AE216" s="125">
        <f t="shared" si="25"/>
        <v>0</v>
      </c>
      <c r="AF216" s="126">
        <f t="shared" si="25"/>
        <v>0</v>
      </c>
      <c r="AG216" s="127">
        <f t="shared" si="25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26">AF218</f>
        <v>0</v>
      </c>
      <c r="C218" s="129">
        <v>0.3</v>
      </c>
      <c r="D218" s="129">
        <f t="shared" ref="D218:P223" si="27">C218</f>
        <v>0.3</v>
      </c>
      <c r="E218" s="129">
        <f t="shared" si="27"/>
        <v>0.3</v>
      </c>
      <c r="F218" s="129">
        <f t="shared" si="27"/>
        <v>0.3</v>
      </c>
      <c r="G218" s="129">
        <f t="shared" si="27"/>
        <v>0.3</v>
      </c>
      <c r="H218" s="129">
        <f t="shared" si="27"/>
        <v>0.3</v>
      </c>
      <c r="I218" s="129">
        <f t="shared" si="27"/>
        <v>0.3</v>
      </c>
      <c r="J218" s="129">
        <f t="shared" si="27"/>
        <v>0.3</v>
      </c>
      <c r="K218" s="129">
        <f t="shared" si="27"/>
        <v>0.3</v>
      </c>
      <c r="L218" s="129">
        <f t="shared" si="27"/>
        <v>0.3</v>
      </c>
      <c r="M218" s="129">
        <f t="shared" si="27"/>
        <v>0.3</v>
      </c>
      <c r="N218" s="129">
        <f t="shared" si="27"/>
        <v>0.3</v>
      </c>
      <c r="O218" s="129">
        <f t="shared" si="27"/>
        <v>0.3</v>
      </c>
      <c r="P218" s="129">
        <f t="shared" si="27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26"/>
        <v>0</v>
      </c>
      <c r="C219" s="117">
        <v>0.4</v>
      </c>
      <c r="D219" s="117">
        <f t="shared" si="27"/>
        <v>0.4</v>
      </c>
      <c r="E219" s="117">
        <f t="shared" si="27"/>
        <v>0.4</v>
      </c>
      <c r="F219" s="117">
        <f t="shared" si="27"/>
        <v>0.4</v>
      </c>
      <c r="G219" s="117">
        <f t="shared" si="27"/>
        <v>0.4</v>
      </c>
      <c r="H219" s="117">
        <f t="shared" si="27"/>
        <v>0.4</v>
      </c>
      <c r="I219" s="117">
        <f t="shared" si="27"/>
        <v>0.4</v>
      </c>
      <c r="J219" s="117">
        <f t="shared" si="27"/>
        <v>0.4</v>
      </c>
      <c r="K219" s="117">
        <f t="shared" si="27"/>
        <v>0.4</v>
      </c>
      <c r="L219" s="117">
        <f t="shared" si="27"/>
        <v>0.4</v>
      </c>
      <c r="M219" s="117">
        <f t="shared" si="27"/>
        <v>0.4</v>
      </c>
      <c r="N219" s="117">
        <f t="shared" si="27"/>
        <v>0.4</v>
      </c>
      <c r="O219" s="117">
        <f t="shared" si="27"/>
        <v>0.4</v>
      </c>
      <c r="P219" s="117">
        <f t="shared" si="27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26"/>
        <v>0</v>
      </c>
      <c r="C220" s="117">
        <v>1.5</v>
      </c>
      <c r="D220" s="117">
        <f t="shared" si="27"/>
        <v>1.5</v>
      </c>
      <c r="E220" s="117">
        <f t="shared" si="27"/>
        <v>1.5</v>
      </c>
      <c r="F220" s="117">
        <f t="shared" si="27"/>
        <v>1.5</v>
      </c>
      <c r="G220" s="117">
        <f t="shared" si="27"/>
        <v>1.5</v>
      </c>
      <c r="H220" s="117">
        <f t="shared" si="27"/>
        <v>1.5</v>
      </c>
      <c r="I220" s="117">
        <f t="shared" si="27"/>
        <v>1.5</v>
      </c>
      <c r="J220" s="117">
        <f t="shared" si="27"/>
        <v>1.5</v>
      </c>
      <c r="K220" s="117">
        <f t="shared" si="27"/>
        <v>1.5</v>
      </c>
      <c r="L220" s="117">
        <f t="shared" si="27"/>
        <v>1.5</v>
      </c>
      <c r="M220" s="117">
        <f t="shared" si="27"/>
        <v>1.5</v>
      </c>
      <c r="N220" s="117">
        <f t="shared" si="27"/>
        <v>1.5</v>
      </c>
      <c r="O220" s="117">
        <f t="shared" si="27"/>
        <v>1.5</v>
      </c>
      <c r="P220" s="117">
        <f t="shared" si="27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26"/>
        <v>0</v>
      </c>
      <c r="C221" s="117">
        <v>0.3</v>
      </c>
      <c r="D221" s="117">
        <f t="shared" si="27"/>
        <v>0.3</v>
      </c>
      <c r="E221" s="117">
        <f t="shared" si="27"/>
        <v>0.3</v>
      </c>
      <c r="F221" s="117">
        <f t="shared" si="27"/>
        <v>0.3</v>
      </c>
      <c r="G221" s="117">
        <f t="shared" si="27"/>
        <v>0.3</v>
      </c>
      <c r="H221" s="117">
        <f t="shared" si="27"/>
        <v>0.3</v>
      </c>
      <c r="I221" s="117">
        <f t="shared" si="27"/>
        <v>0.3</v>
      </c>
      <c r="J221" s="117">
        <f t="shared" si="27"/>
        <v>0.3</v>
      </c>
      <c r="K221" s="117">
        <f t="shared" si="27"/>
        <v>0.3</v>
      </c>
      <c r="L221" s="117">
        <f t="shared" si="27"/>
        <v>0.3</v>
      </c>
      <c r="M221" s="117">
        <f t="shared" si="27"/>
        <v>0.3</v>
      </c>
      <c r="N221" s="117">
        <f t="shared" si="27"/>
        <v>0.3</v>
      </c>
      <c r="O221" s="117">
        <f t="shared" si="27"/>
        <v>0.3</v>
      </c>
      <c r="P221" s="117">
        <f t="shared" si="27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26"/>
        <v>0</v>
      </c>
      <c r="C222" s="117">
        <v>0.4</v>
      </c>
      <c r="D222" s="117">
        <f t="shared" si="27"/>
        <v>0.4</v>
      </c>
      <c r="E222" s="117">
        <f t="shared" si="27"/>
        <v>0.4</v>
      </c>
      <c r="F222" s="117">
        <f t="shared" si="27"/>
        <v>0.4</v>
      </c>
      <c r="G222" s="117">
        <f t="shared" si="27"/>
        <v>0.4</v>
      </c>
      <c r="H222" s="117">
        <f t="shared" si="27"/>
        <v>0.4</v>
      </c>
      <c r="I222" s="117">
        <f t="shared" si="27"/>
        <v>0.4</v>
      </c>
      <c r="J222" s="117">
        <f t="shared" si="27"/>
        <v>0.4</v>
      </c>
      <c r="K222" s="117">
        <f t="shared" si="27"/>
        <v>0.4</v>
      </c>
      <c r="L222" s="117">
        <f t="shared" si="27"/>
        <v>0.4</v>
      </c>
      <c r="M222" s="117">
        <f t="shared" si="27"/>
        <v>0.4</v>
      </c>
      <c r="N222" s="117">
        <f t="shared" si="27"/>
        <v>0.4</v>
      </c>
      <c r="O222" s="117">
        <f t="shared" si="27"/>
        <v>0.4</v>
      </c>
      <c r="P222" s="117">
        <f t="shared" si="27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26"/>
        <v>0</v>
      </c>
      <c r="C223" s="121">
        <v>0.64</v>
      </c>
      <c r="D223" s="121">
        <f t="shared" si="27"/>
        <v>0.64</v>
      </c>
      <c r="E223" s="121">
        <f t="shared" si="27"/>
        <v>0.64</v>
      </c>
      <c r="F223" s="121">
        <f t="shared" si="27"/>
        <v>0.64</v>
      </c>
      <c r="G223" s="121">
        <f t="shared" si="27"/>
        <v>0.64</v>
      </c>
      <c r="H223" s="121">
        <f t="shared" si="27"/>
        <v>0.64</v>
      </c>
      <c r="I223" s="121">
        <f t="shared" si="27"/>
        <v>0.64</v>
      </c>
      <c r="J223" s="121">
        <f t="shared" si="27"/>
        <v>0.64</v>
      </c>
      <c r="K223" s="121">
        <f t="shared" si="27"/>
        <v>0.64</v>
      </c>
      <c r="L223" s="121">
        <f t="shared" si="27"/>
        <v>0.64</v>
      </c>
      <c r="M223" s="121">
        <f t="shared" si="27"/>
        <v>0.64</v>
      </c>
      <c r="N223" s="121">
        <f t="shared" si="27"/>
        <v>0.64</v>
      </c>
      <c r="O223" s="121">
        <f t="shared" si="27"/>
        <v>0.64</v>
      </c>
      <c r="P223" s="121">
        <f t="shared" si="27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8">SUM(B218:B223)</f>
        <v>0</v>
      </c>
      <c r="C224" s="125">
        <f t="shared" si="28"/>
        <v>3.54</v>
      </c>
      <c r="D224" s="125">
        <f t="shared" si="28"/>
        <v>3.54</v>
      </c>
      <c r="E224" s="125">
        <f t="shared" si="28"/>
        <v>3.54</v>
      </c>
      <c r="F224" s="125">
        <f t="shared" si="28"/>
        <v>3.54</v>
      </c>
      <c r="G224" s="125">
        <f t="shared" si="28"/>
        <v>3.54</v>
      </c>
      <c r="H224" s="125">
        <f t="shared" si="28"/>
        <v>3.54</v>
      </c>
      <c r="I224" s="125">
        <f t="shared" si="28"/>
        <v>3.54</v>
      </c>
      <c r="J224" s="125">
        <f t="shared" si="28"/>
        <v>3.54</v>
      </c>
      <c r="K224" s="125">
        <f t="shared" si="28"/>
        <v>3.54</v>
      </c>
      <c r="L224" s="125">
        <f t="shared" si="28"/>
        <v>3.54</v>
      </c>
      <c r="M224" s="125">
        <f t="shared" si="28"/>
        <v>3.54</v>
      </c>
      <c r="N224" s="125">
        <f t="shared" si="28"/>
        <v>3.54</v>
      </c>
      <c r="O224" s="125">
        <f t="shared" si="28"/>
        <v>3.54</v>
      </c>
      <c r="P224" s="125">
        <f t="shared" si="28"/>
        <v>3.54</v>
      </c>
      <c r="Q224" s="125">
        <f t="shared" si="28"/>
        <v>0</v>
      </c>
      <c r="R224" s="125">
        <f t="shared" si="28"/>
        <v>0</v>
      </c>
      <c r="S224" s="125">
        <f t="shared" si="28"/>
        <v>0</v>
      </c>
      <c r="T224" s="125">
        <f t="shared" si="28"/>
        <v>0</v>
      </c>
      <c r="U224" s="125">
        <f t="shared" si="28"/>
        <v>0</v>
      </c>
      <c r="V224" s="125">
        <f t="shared" si="28"/>
        <v>0</v>
      </c>
      <c r="W224" s="125">
        <f t="shared" si="28"/>
        <v>0</v>
      </c>
      <c r="X224" s="125">
        <f t="shared" si="28"/>
        <v>0</v>
      </c>
      <c r="Y224" s="125">
        <f t="shared" si="28"/>
        <v>0</v>
      </c>
      <c r="Z224" s="125">
        <f t="shared" si="28"/>
        <v>0</v>
      </c>
      <c r="AA224" s="125">
        <f t="shared" si="28"/>
        <v>0</v>
      </c>
      <c r="AB224" s="125">
        <f t="shared" si="28"/>
        <v>0</v>
      </c>
      <c r="AC224" s="125">
        <f t="shared" si="28"/>
        <v>0</v>
      </c>
      <c r="AD224" s="125">
        <f t="shared" si="28"/>
        <v>0</v>
      </c>
      <c r="AE224" s="125">
        <f t="shared" si="28"/>
        <v>0</v>
      </c>
      <c r="AF224" s="125">
        <f t="shared" si="28"/>
        <v>0</v>
      </c>
      <c r="AG224" s="134">
        <f t="shared" si="28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1196.93</v>
      </c>
      <c r="C233" s="150">
        <f>INDEX(G9:N9,1,MATCH(MAX(G81:N81),G81:N81,0))</f>
        <v>0.375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13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2079/06/13)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2079/06/13)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29">B81</f>
        <v>1003.04</v>
      </c>
      <c r="U238" s="159">
        <f t="shared" si="29"/>
        <v>1003.04</v>
      </c>
      <c r="V238" s="159">
        <f t="shared" si="29"/>
        <v>993.04</v>
      </c>
      <c r="W238" s="159">
        <f t="shared" si="29"/>
        <v>994.04</v>
      </c>
      <c r="X238" s="159">
        <f t="shared" si="29"/>
        <v>991.94</v>
      </c>
      <c r="Y238" s="159">
        <f t="shared" si="29"/>
        <v>1013.3399999999999</v>
      </c>
      <c r="Z238" s="159">
        <f t="shared" si="29"/>
        <v>1046.2400000000002</v>
      </c>
      <c r="AA238" s="159">
        <f t="shared" si="29"/>
        <v>1075.6399999999999</v>
      </c>
      <c r="AB238" s="159">
        <f t="shared" si="29"/>
        <v>1120.6400000000001</v>
      </c>
      <c r="AC238" s="159">
        <f t="shared" si="29"/>
        <v>1145.74</v>
      </c>
      <c r="AD238" s="159">
        <f t="shared" si="29"/>
        <v>1182.44</v>
      </c>
      <c r="AE238" s="159">
        <f t="shared" si="29"/>
        <v>1181.92</v>
      </c>
      <c r="AF238" s="159">
        <f t="shared" si="29"/>
        <v>1196.93</v>
      </c>
      <c r="AG238" s="159">
        <f t="shared" si="29"/>
        <v>1183.1400000000001</v>
      </c>
      <c r="AH238" s="159">
        <f t="shared" si="29"/>
        <v>1172.79</v>
      </c>
      <c r="AI238" s="159">
        <f t="shared" si="29"/>
        <v>1155.47</v>
      </c>
      <c r="AJ238" s="159">
        <f t="shared" si="29"/>
        <v>1160.1400000000001</v>
      </c>
      <c r="AK238" s="159">
        <f t="shared" si="29"/>
        <v>1119.8600000000001</v>
      </c>
      <c r="AL238" s="159">
        <f t="shared" si="29"/>
        <v>1139.97</v>
      </c>
      <c r="AM238" s="159">
        <f t="shared" si="29"/>
        <v>1136.77</v>
      </c>
      <c r="AN238" s="159">
        <f t="shared" si="29"/>
        <v>1173.6400000000001</v>
      </c>
      <c r="AO238" s="159">
        <f t="shared" si="29"/>
        <v>1219.44</v>
      </c>
      <c r="AP238" s="159">
        <f t="shared" si="29"/>
        <v>1305.7399999999998</v>
      </c>
      <c r="AQ238" s="159">
        <f t="shared" si="29"/>
        <v>1322.04</v>
      </c>
      <c r="AR238" s="159">
        <f t="shared" si="29"/>
        <v>1306.8399999999999</v>
      </c>
      <c r="AS238" s="159">
        <f t="shared" si="29"/>
        <v>1267.04</v>
      </c>
      <c r="AT238" s="159">
        <f t="shared" si="29"/>
        <v>1240.44</v>
      </c>
      <c r="AU238" s="159">
        <f t="shared" si="29"/>
        <v>1208.44</v>
      </c>
      <c r="AV238" s="159">
        <f t="shared" si="29"/>
        <v>1191.44</v>
      </c>
      <c r="AW238" s="159">
        <f t="shared" si="29"/>
        <v>1103.94</v>
      </c>
      <c r="AX238" s="159">
        <f t="shared" si="29"/>
        <v>1061.94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30">C223</f>
        <v>0.64</v>
      </c>
      <c r="C259" s="162">
        <f t="shared" si="30"/>
        <v>0.64</v>
      </c>
      <c r="D259" s="162">
        <f t="shared" si="30"/>
        <v>0.64</v>
      </c>
      <c r="E259" s="162">
        <f t="shared" si="30"/>
        <v>0.64</v>
      </c>
      <c r="F259" s="162">
        <f t="shared" si="30"/>
        <v>0.64</v>
      </c>
      <c r="G259" s="162">
        <f t="shared" si="30"/>
        <v>0.64</v>
      </c>
      <c r="H259" s="162">
        <f t="shared" si="30"/>
        <v>0.64</v>
      </c>
      <c r="I259" s="162">
        <f t="shared" si="30"/>
        <v>0.64</v>
      </c>
      <c r="J259" s="162">
        <f t="shared" si="30"/>
        <v>0.64</v>
      </c>
      <c r="K259" s="162">
        <f t="shared" si="30"/>
        <v>0.64</v>
      </c>
      <c r="L259" s="162">
        <f t="shared" si="30"/>
        <v>0.64</v>
      </c>
      <c r="M259" s="162">
        <f t="shared" si="30"/>
        <v>0.64</v>
      </c>
      <c r="N259" s="162">
        <f t="shared" si="30"/>
        <v>0.64</v>
      </c>
      <c r="O259" s="162">
        <f t="shared" si="30"/>
        <v>0.64</v>
      </c>
      <c r="P259" s="162">
        <f t="shared" si="30"/>
        <v>0</v>
      </c>
      <c r="Q259" s="162">
        <f t="shared" si="30"/>
        <v>0</v>
      </c>
      <c r="R259" s="162">
        <f t="shared" si="30"/>
        <v>0</v>
      </c>
      <c r="S259" s="162">
        <f t="shared" si="30"/>
        <v>0</v>
      </c>
      <c r="T259" s="162">
        <f t="shared" si="30"/>
        <v>0</v>
      </c>
      <c r="U259" s="162">
        <f t="shared" si="30"/>
        <v>0</v>
      </c>
      <c r="V259" s="162">
        <f t="shared" si="30"/>
        <v>0</v>
      </c>
      <c r="W259" s="162">
        <f t="shared" si="30"/>
        <v>0</v>
      </c>
      <c r="X259" s="162">
        <f t="shared" si="30"/>
        <v>0</v>
      </c>
      <c r="Y259" s="162">
        <f t="shared" si="30"/>
        <v>0</v>
      </c>
      <c r="Z259" s="162">
        <f t="shared" si="30"/>
        <v>0</v>
      </c>
      <c r="AA259" s="162">
        <f t="shared" si="30"/>
        <v>0</v>
      </c>
      <c r="AB259" s="162">
        <f t="shared" si="30"/>
        <v>0</v>
      </c>
      <c r="AC259" s="162">
        <f t="shared" si="30"/>
        <v>0</v>
      </c>
      <c r="AD259" s="162">
        <f t="shared" si="30"/>
        <v>0</v>
      </c>
      <c r="AE259" s="162">
        <f t="shared" si="30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31">IF(B227&lt;100,"",B227-520)</f>
        <v/>
      </c>
      <c r="C260" s="163" t="str">
        <f t="shared" si="31"/>
        <v/>
      </c>
      <c r="D260" s="163" t="str">
        <f t="shared" si="31"/>
        <v/>
      </c>
      <c r="E260" s="163" t="str">
        <f t="shared" si="31"/>
        <v/>
      </c>
      <c r="F260" s="163" t="str">
        <f t="shared" si="31"/>
        <v/>
      </c>
      <c r="G260" s="163" t="str">
        <f t="shared" si="31"/>
        <v/>
      </c>
      <c r="H260" s="163" t="str">
        <f t="shared" si="31"/>
        <v/>
      </c>
      <c r="I260" s="163" t="str">
        <f t="shared" si="31"/>
        <v/>
      </c>
      <c r="J260" s="163" t="str">
        <f t="shared" si="31"/>
        <v/>
      </c>
      <c r="K260" s="163" t="str">
        <f t="shared" si="31"/>
        <v/>
      </c>
      <c r="L260" s="163" t="str">
        <f t="shared" si="31"/>
        <v/>
      </c>
      <c r="M260" s="163" t="str">
        <f t="shared" si="31"/>
        <v/>
      </c>
      <c r="N260" s="163" t="str">
        <f t="shared" si="31"/>
        <v/>
      </c>
      <c r="O260" s="163" t="str">
        <f t="shared" si="31"/>
        <v/>
      </c>
      <c r="P260" s="163" t="str">
        <f t="shared" si="31"/>
        <v/>
      </c>
      <c r="Q260" s="163" t="str">
        <f t="shared" si="31"/>
        <v/>
      </c>
      <c r="R260" s="163" t="str">
        <f t="shared" si="31"/>
        <v/>
      </c>
      <c r="S260" s="163" t="str">
        <f t="shared" si="31"/>
        <v/>
      </c>
      <c r="T260" s="163" t="str">
        <f t="shared" si="31"/>
        <v/>
      </c>
      <c r="U260" s="163" t="str">
        <f t="shared" si="31"/>
        <v/>
      </c>
      <c r="V260" s="163" t="str">
        <f t="shared" si="31"/>
        <v/>
      </c>
      <c r="W260" s="163" t="str">
        <f t="shared" si="31"/>
        <v/>
      </c>
      <c r="X260" s="163" t="str">
        <f t="shared" si="31"/>
        <v/>
      </c>
      <c r="Y260" s="163" t="str">
        <f t="shared" si="31"/>
        <v/>
      </c>
      <c r="Z260" s="163" t="str">
        <f t="shared" si="31"/>
        <v/>
      </c>
      <c r="AA260" s="163" t="str">
        <f t="shared" si="31"/>
        <v/>
      </c>
      <c r="AB260" s="163" t="str">
        <f t="shared" si="31"/>
        <v/>
      </c>
      <c r="AC260" s="163" t="str">
        <f t="shared" si="31"/>
        <v/>
      </c>
      <c r="AD260" s="163" t="str">
        <f t="shared" si="31"/>
        <v/>
      </c>
      <c r="AE260" s="163" t="str">
        <f t="shared" si="31"/>
        <v/>
      </c>
      <c r="AF260" s="163" t="str">
        <f t="shared" si="31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32">IF(B228&lt;100,"",B228-620)</f>
        <v/>
      </c>
      <c r="C261" s="163" t="str">
        <f t="shared" si="32"/>
        <v/>
      </c>
      <c r="D261" s="163" t="str">
        <f t="shared" si="32"/>
        <v/>
      </c>
      <c r="E261" s="163" t="str">
        <f t="shared" si="32"/>
        <v/>
      </c>
      <c r="F261" s="163" t="str">
        <f t="shared" si="32"/>
        <v/>
      </c>
      <c r="G261" s="163" t="str">
        <f t="shared" si="32"/>
        <v/>
      </c>
      <c r="H261" s="163" t="str">
        <f t="shared" si="32"/>
        <v/>
      </c>
      <c r="I261" s="163" t="str">
        <f t="shared" si="32"/>
        <v/>
      </c>
      <c r="J261" s="163" t="str">
        <f t="shared" si="32"/>
        <v/>
      </c>
      <c r="K261" s="163" t="str">
        <f t="shared" si="32"/>
        <v/>
      </c>
      <c r="L261" s="163" t="str">
        <f t="shared" si="32"/>
        <v/>
      </c>
      <c r="M261" s="163" t="str">
        <f t="shared" si="32"/>
        <v/>
      </c>
      <c r="N261" s="163" t="str">
        <f t="shared" si="32"/>
        <v/>
      </c>
      <c r="O261" s="163" t="str">
        <f t="shared" si="32"/>
        <v/>
      </c>
      <c r="P261" s="163" t="str">
        <f t="shared" si="32"/>
        <v/>
      </c>
      <c r="Q261" s="163" t="str">
        <f t="shared" si="32"/>
        <v/>
      </c>
      <c r="R261" s="163" t="str">
        <f t="shared" si="32"/>
        <v/>
      </c>
      <c r="S261" s="163" t="str">
        <f t="shared" si="32"/>
        <v/>
      </c>
      <c r="T261" s="163" t="str">
        <f t="shared" si="32"/>
        <v/>
      </c>
      <c r="U261" s="163" t="str">
        <f t="shared" si="32"/>
        <v/>
      </c>
      <c r="V261" s="163" t="str">
        <f t="shared" si="32"/>
        <v/>
      </c>
      <c r="W261" s="163" t="str">
        <f t="shared" si="32"/>
        <v/>
      </c>
      <c r="X261" s="163" t="str">
        <f t="shared" si="32"/>
        <v/>
      </c>
      <c r="Y261" s="163" t="str">
        <f t="shared" si="32"/>
        <v/>
      </c>
      <c r="Z261" s="163" t="str">
        <f t="shared" si="32"/>
        <v/>
      </c>
      <c r="AA261" s="163" t="str">
        <f t="shared" si="32"/>
        <v/>
      </c>
      <c r="AB261" s="163" t="str">
        <f t="shared" si="32"/>
        <v/>
      </c>
      <c r="AC261" s="163" t="str">
        <f t="shared" si="32"/>
        <v/>
      </c>
      <c r="AD261" s="163" t="str">
        <f t="shared" si="32"/>
        <v/>
      </c>
      <c r="AE261" s="163" t="str">
        <f t="shared" si="32"/>
        <v/>
      </c>
      <c r="AF261" s="163" t="str">
        <f t="shared" si="32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3">IF(B229&lt;100,"",B229-330)</f>
        <v/>
      </c>
      <c r="C262" s="163" t="str">
        <f t="shared" si="33"/>
        <v/>
      </c>
      <c r="D262" s="163" t="str">
        <f t="shared" si="33"/>
        <v/>
      </c>
      <c r="E262" s="163" t="str">
        <f t="shared" si="33"/>
        <v/>
      </c>
      <c r="F262" s="163" t="str">
        <f t="shared" si="33"/>
        <v/>
      </c>
      <c r="G262" s="163" t="str">
        <f t="shared" si="33"/>
        <v/>
      </c>
      <c r="H262" s="163" t="str">
        <f t="shared" si="33"/>
        <v/>
      </c>
      <c r="I262" s="163" t="str">
        <f t="shared" si="33"/>
        <v/>
      </c>
      <c r="J262" s="163" t="str">
        <f t="shared" si="33"/>
        <v/>
      </c>
      <c r="K262" s="163" t="str">
        <f t="shared" si="33"/>
        <v/>
      </c>
      <c r="L262" s="163" t="str">
        <f t="shared" si="33"/>
        <v/>
      </c>
      <c r="M262" s="163" t="str">
        <f t="shared" si="33"/>
        <v/>
      </c>
      <c r="N262" s="163" t="str">
        <f t="shared" si="33"/>
        <v/>
      </c>
      <c r="O262" s="163" t="str">
        <f t="shared" si="33"/>
        <v/>
      </c>
      <c r="P262" s="163" t="str">
        <f t="shared" si="33"/>
        <v/>
      </c>
      <c r="Q262" s="163" t="str">
        <f t="shared" si="33"/>
        <v/>
      </c>
      <c r="R262" s="163" t="str">
        <f t="shared" si="33"/>
        <v/>
      </c>
      <c r="S262" s="163" t="str">
        <f t="shared" si="33"/>
        <v/>
      </c>
      <c r="T262" s="163" t="str">
        <f t="shared" si="33"/>
        <v/>
      </c>
      <c r="U262" s="163" t="str">
        <f t="shared" si="33"/>
        <v/>
      </c>
      <c r="V262" s="163" t="str">
        <f t="shared" si="33"/>
        <v/>
      </c>
      <c r="W262" s="163" t="str">
        <f t="shared" si="33"/>
        <v/>
      </c>
      <c r="X262" s="163" t="str">
        <f t="shared" si="33"/>
        <v/>
      </c>
      <c r="Y262" s="163" t="str">
        <f t="shared" si="33"/>
        <v/>
      </c>
      <c r="Z262" s="163" t="str">
        <f t="shared" si="33"/>
        <v/>
      </c>
      <c r="AA262" s="163" t="str">
        <f t="shared" si="33"/>
        <v/>
      </c>
      <c r="AB262" s="163" t="str">
        <f t="shared" si="33"/>
        <v/>
      </c>
      <c r="AC262" s="163" t="str">
        <f t="shared" si="33"/>
        <v/>
      </c>
      <c r="AD262" s="163" t="str">
        <f t="shared" si="33"/>
        <v/>
      </c>
      <c r="AE262" s="163" t="str">
        <f t="shared" si="33"/>
        <v/>
      </c>
      <c r="AF262" s="163" t="str">
        <f t="shared" si="33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4">IF(B230&lt;100,"",B230-1500)</f>
        <v/>
      </c>
      <c r="C263" s="163" t="str">
        <f t="shared" si="34"/>
        <v/>
      </c>
      <c r="D263" s="163" t="str">
        <f t="shared" si="34"/>
        <v/>
      </c>
      <c r="E263" s="163" t="str">
        <f t="shared" si="34"/>
        <v/>
      </c>
      <c r="F263" s="163" t="str">
        <f t="shared" si="34"/>
        <v/>
      </c>
      <c r="G263" s="163" t="str">
        <f t="shared" si="34"/>
        <v/>
      </c>
      <c r="H263" s="163" t="str">
        <f t="shared" si="34"/>
        <v/>
      </c>
      <c r="I263" s="163" t="str">
        <f t="shared" si="34"/>
        <v/>
      </c>
      <c r="J263" s="163" t="str">
        <f t="shared" si="34"/>
        <v/>
      </c>
      <c r="K263" s="163" t="str">
        <f t="shared" si="34"/>
        <v/>
      </c>
      <c r="L263" s="163" t="str">
        <f t="shared" si="34"/>
        <v/>
      </c>
      <c r="M263" s="163" t="str">
        <f t="shared" si="34"/>
        <v/>
      </c>
      <c r="N263" s="163" t="str">
        <f t="shared" si="34"/>
        <v/>
      </c>
      <c r="O263" s="163" t="str">
        <f t="shared" si="34"/>
        <v/>
      </c>
      <c r="P263" s="163" t="str">
        <f t="shared" si="34"/>
        <v/>
      </c>
      <c r="Q263" s="163" t="str">
        <f t="shared" si="34"/>
        <v/>
      </c>
      <c r="R263" s="163" t="str">
        <f t="shared" si="34"/>
        <v/>
      </c>
      <c r="S263" s="163" t="str">
        <f t="shared" si="34"/>
        <v/>
      </c>
      <c r="T263" s="163" t="str">
        <f t="shared" si="34"/>
        <v/>
      </c>
      <c r="U263" s="163" t="str">
        <f t="shared" si="34"/>
        <v/>
      </c>
      <c r="V263" s="163" t="str">
        <f t="shared" si="34"/>
        <v/>
      </c>
      <c r="W263" s="163" t="str">
        <f t="shared" si="34"/>
        <v/>
      </c>
      <c r="X263" s="163" t="str">
        <f t="shared" si="34"/>
        <v/>
      </c>
      <c r="Y263" s="163" t="str">
        <f t="shared" si="34"/>
        <v/>
      </c>
      <c r="Z263" s="163" t="str">
        <f t="shared" si="34"/>
        <v/>
      </c>
      <c r="AA263" s="163" t="str">
        <f t="shared" si="34"/>
        <v/>
      </c>
      <c r="AB263" s="163" t="str">
        <f t="shared" si="34"/>
        <v/>
      </c>
      <c r="AC263" s="163" t="str">
        <f t="shared" si="34"/>
        <v/>
      </c>
      <c r="AD263" s="163" t="str">
        <f t="shared" si="34"/>
        <v/>
      </c>
      <c r="AE263" s="163" t="str">
        <f t="shared" si="34"/>
        <v/>
      </c>
      <c r="AF263" s="163" t="str">
        <f t="shared" si="34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T11:AF11 B16:AF16 B20:AF23">
    <cfRule type="expression" dxfId="7021" priority="239">
      <formula>B$9&gt;=20/24</formula>
    </cfRule>
    <cfRule type="expression" dxfId="7020" priority="240">
      <formula>AND(B$9&gt;=14/24,B$9&lt;20/24)</formula>
    </cfRule>
    <cfRule type="expression" dxfId="7019" priority="241">
      <formula>AND(B$9&gt;=8/24,B$9&lt;14/24)</formula>
    </cfRule>
    <cfRule type="expression" dxfId="7018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7017" priority="234">
      <formula>S$9&gt;=20/24</formula>
    </cfRule>
    <cfRule type="expression" dxfId="7016" priority="235">
      <formula>AND(S$9&gt;=14/24,S$9&lt;20/24)</formula>
    </cfRule>
    <cfRule type="expression" dxfId="7015" priority="236">
      <formula>AND(S$9&gt;=8/24,S$9&lt;14/24)</formula>
    </cfRule>
    <cfRule type="expression" dxfId="7014" priority="237">
      <formula>S$9&lt;8/24</formula>
    </cfRule>
  </conditionalFormatting>
  <conditionalFormatting sqref="AG57 B12:S16 S39:AF39 T11:AF16 B18:AF18 B20:AF23 B37:AF37">
    <cfRule type="expression" dxfId="7013" priority="233">
      <formula>B11&gt;$AG11</formula>
    </cfRule>
  </conditionalFormatting>
  <conditionalFormatting sqref="A91:A101 A11:A14 A51:A78 A87:A89 A194:A224 A38:A49 A110:A181 A34:A35 A83:A85 A80:A81 A103:A105 A31:A32 A18:A29 A16">
    <cfRule type="expression" dxfId="7012" priority="232">
      <formula>$AH11=0</formula>
    </cfRule>
  </conditionalFormatting>
  <conditionalFormatting sqref="A106">
    <cfRule type="expression" dxfId="7011" priority="231">
      <formula>$AH106=0</formula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7010" priority="229">
      <formula>$AH37=0</formula>
    </cfRule>
  </conditionalFormatting>
  <conditionalFormatting sqref="A90">
    <cfRule type="expression" dxfId="7009" priority="228">
      <formula>$AH90=0</formula>
    </cfRule>
  </conditionalFormatting>
  <conditionalFormatting sqref="A15">
    <cfRule type="expression" dxfId="7008" priority="227">
      <formula>$AH15=0</formula>
    </cfRule>
  </conditionalFormatting>
  <conditionalFormatting sqref="A188:A193">
    <cfRule type="expression" dxfId="7007" priority="226">
      <formula>$AH188=0</formula>
    </cfRule>
  </conditionalFormatting>
  <conditionalFormatting sqref="A182:A187">
    <cfRule type="expression" dxfId="7006" priority="225">
      <formula>$AH182=0</formula>
    </cfRule>
  </conditionalFormatting>
  <conditionalFormatting sqref="A50">
    <cfRule type="expression" dxfId="7005" priority="224">
      <formula>$AH50=0</formula>
    </cfRule>
  </conditionalFormatting>
  <conditionalFormatting sqref="A86">
    <cfRule type="expression" dxfId="7004" priority="223">
      <formula>$AH86=0</formula>
    </cfRule>
  </conditionalFormatting>
  <conditionalFormatting sqref="C91:AF91">
    <cfRule type="expression" dxfId="7003" priority="219">
      <formula>C$9&gt;=20/24</formula>
    </cfRule>
    <cfRule type="expression" dxfId="7002" priority="220">
      <formula>AND(C$9&gt;=14/24,C$9&lt;20/24)</formula>
    </cfRule>
    <cfRule type="expression" dxfId="7001" priority="221">
      <formula>AND(C$9&gt;=8/24,C$9&lt;14/24)</formula>
    </cfRule>
    <cfRule type="expression" dxfId="7000" priority="222">
      <formula>C$9&lt;8/24</formula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999" priority="245">
      <formula>C$9&gt;=20/24</formula>
    </cfRule>
    <cfRule type="expression" dxfId="6998" priority="246">
      <formula>AND(C$9&gt;=14/24,C$9&lt;20/24)</formula>
    </cfRule>
    <cfRule type="expression" dxfId="6997" priority="247">
      <formula>AND(C$9&gt;=8/24,C$9&lt;14/24)</formula>
    </cfRule>
    <cfRule type="expression" dxfId="6996" priority="248">
      <formula>C$9&lt;8/24</formula>
    </cfRule>
  </conditionalFormatting>
  <conditionalFormatting sqref="A225">
    <cfRule type="expression" dxfId="6995" priority="249">
      <formula>$AH225=0</formula>
    </cfRule>
  </conditionalFormatting>
  <conditionalFormatting sqref="AG237">
    <cfRule type="expression" dxfId="6994" priority="250">
      <formula>B$9&gt;=20/24</formula>
    </cfRule>
    <cfRule type="expression" dxfId="6993" priority="251">
      <formula>AND(B$9&gt;=14/24,B$9&lt;20/24)</formula>
    </cfRule>
    <cfRule type="expression" dxfId="6992" priority="252">
      <formula>AND(B$9&gt;=8/24,B$9&lt;14/24)</formula>
    </cfRule>
    <cfRule type="expression" dxfId="6991" priority="253">
      <formula>B$9&lt;8/24</formula>
    </cfRule>
  </conditionalFormatting>
  <conditionalFormatting sqref="S8">
    <cfRule type="expression" dxfId="6990" priority="214">
      <formula>U$9&gt;=20/24</formula>
    </cfRule>
    <cfRule type="expression" dxfId="6989" priority="215">
      <formula>AND(U$9&gt;=14/24,U$9&lt;20/24)</formula>
    </cfRule>
    <cfRule type="expression" dxfId="6988" priority="216">
      <formula>AND(U$9&gt;=8/24,U$9&lt;14/24)</formula>
    </cfRule>
    <cfRule type="expression" dxfId="6987" priority="217">
      <formula>U$9&lt;8/24</formula>
    </cfRule>
  </conditionalFormatting>
  <conditionalFormatting sqref="AB8">
    <cfRule type="expression" dxfId="6986" priority="210">
      <formula>AD$9&gt;=20/24</formula>
    </cfRule>
    <cfRule type="expression" dxfId="6985" priority="211">
      <formula>AND(AD$9&gt;=14/24,AD$9&lt;20/24)</formula>
    </cfRule>
    <cfRule type="expression" dxfId="6984" priority="212">
      <formula>AND(AD$9&gt;=8/24,AD$9&lt;14/24)</formula>
    </cfRule>
    <cfRule type="expression" dxfId="6983" priority="213">
      <formula>AD$9&lt;8/24</formula>
    </cfRule>
  </conditionalFormatting>
  <conditionalFormatting sqref="AH237:AX237">
    <cfRule type="expression" dxfId="6982" priority="254">
      <formula>AG$9&gt;=20/24</formula>
    </cfRule>
    <cfRule type="expression" dxfId="6981" priority="255">
      <formula>AND(AG$9&gt;=14/24,AG$9&lt;20/24)</formula>
    </cfRule>
    <cfRule type="expression" dxfId="6980" priority="256">
      <formula>AND(AG$9&gt;=8/24,AG$9&lt;14/24)</formula>
    </cfRule>
    <cfRule type="expression" dxfId="6979" priority="257">
      <formula>AG$9&lt;8/24</formula>
    </cfRule>
  </conditionalFormatting>
  <conditionalFormatting sqref="T237">
    <cfRule type="expression" dxfId="6978" priority="258">
      <formula>AX$9&gt;=20/24</formula>
    </cfRule>
    <cfRule type="expression" dxfId="6977" priority="259">
      <formula>AND(AX$9&gt;=14/24,AX$9&lt;20/24)</formula>
    </cfRule>
    <cfRule type="expression" dxfId="6976" priority="260">
      <formula>AND(AX$9&gt;=8/24,AX$9&lt;14/24)</formula>
    </cfRule>
    <cfRule type="expression" dxfId="6975" priority="261">
      <formula>AX$9&lt;8/24</formula>
    </cfRule>
  </conditionalFormatting>
  <conditionalFormatting sqref="A107:A108">
    <cfRule type="expression" dxfId="6974" priority="209">
      <formula>$AH107=0</formula>
    </cfRule>
  </conditionalFormatting>
  <conditionalFormatting sqref="E46:M47 M48:M49 S46:AF47 E63:AF63">
    <cfRule type="expression" dxfId="6973" priority="205">
      <formula>E$9&gt;=20/24</formula>
    </cfRule>
    <cfRule type="expression" dxfId="6972" priority="206">
      <formula>AND(E$9&gt;=14/24,E$9&lt;20/24)</formula>
    </cfRule>
    <cfRule type="expression" dxfId="6971" priority="207">
      <formula>AND(E$9&gt;=8/24,E$9&lt;14/24)</formula>
    </cfRule>
    <cfRule type="expression" dxfId="6970" priority="208">
      <formula>E$9&lt;8/24</formula>
    </cfRule>
  </conditionalFormatting>
  <conditionalFormatting sqref="E45:L45 S45:AF45">
    <cfRule type="expression" dxfId="6969" priority="201">
      <formula>E$9&gt;=20/24</formula>
    </cfRule>
    <cfRule type="expression" dxfId="6968" priority="202">
      <formula>AND(E$9&gt;=14/24,E$9&lt;20/24)</formula>
    </cfRule>
    <cfRule type="expression" dxfId="6967" priority="203">
      <formula>AND(E$9&gt;=8/24,E$9&lt;14/24)</formula>
    </cfRule>
    <cfRule type="expression" dxfId="6966" priority="204">
      <formula>E$9&lt;8/24</formula>
    </cfRule>
  </conditionalFormatting>
  <conditionalFormatting sqref="E45:L45 E46:M47 M48:M49 S45:AF47">
    <cfRule type="expression" dxfId="6965" priority="200">
      <formula>E45&gt;$AG45</formula>
    </cfRule>
  </conditionalFormatting>
  <conditionalFormatting sqref="C88:AF88 C78:AF78 S59:AF61 AF64:AF73 E75:AF77 L39:R39 E64:AE65 D92:AF98 T38:AF38 Y25:AF27 Y29:AF29 Y31:AF34 T12:AF14 T18:AF18">
    <cfRule type="expression" dxfId="6964" priority="196">
      <formula>C$9&gt;=20/24</formula>
    </cfRule>
    <cfRule type="expression" dxfId="6963" priority="197">
      <formula>AND(C$9&gt;=14/24,C$9&lt;20/24)</formula>
    </cfRule>
    <cfRule type="expression" dxfId="6962" priority="198">
      <formula>AND(C$9&gt;=8/24,C$9&lt;14/24)</formula>
    </cfRule>
    <cfRule type="expression" dxfId="6961" priority="199">
      <formula>C$9&lt;8/24</formula>
    </cfRule>
  </conditionalFormatting>
  <conditionalFormatting sqref="Y35:AF35">
    <cfRule type="expression" dxfId="6960" priority="192">
      <formula>Y$9&gt;=20/24</formula>
    </cfRule>
    <cfRule type="expression" dxfId="6959" priority="193">
      <formula>AND(Y$9&gt;=14/24,Y$9&lt;20/24)</formula>
    </cfRule>
    <cfRule type="expression" dxfId="6958" priority="194">
      <formula>AND(Y$9&gt;=8/24,Y$9&lt;14/24)</formula>
    </cfRule>
    <cfRule type="expression" dxfId="6957" priority="195">
      <formula>Y$9&lt;8/24</formula>
    </cfRule>
  </conditionalFormatting>
  <conditionalFormatting sqref="C57:AF57 E48:L48 S59:AF61 L39:R39 AF48:AF49 AB48:AE48 T38:AF38 Y25:AF29 Y31:AF35">
    <cfRule type="expression" dxfId="6956" priority="191">
      <formula>C25&gt;$AG25</formula>
    </cfRule>
  </conditionalFormatting>
  <conditionalFormatting sqref="Y37:AF37">
    <cfRule type="expression" dxfId="6955" priority="187">
      <formula>Y$9&gt;=20/24</formula>
    </cfRule>
    <cfRule type="expression" dxfId="6954" priority="188">
      <formula>AND(Y$9&gt;=14/24,Y$9&lt;20/24)</formula>
    </cfRule>
    <cfRule type="expression" dxfId="6953" priority="189">
      <formula>AND(Y$9&gt;=8/24,Y$9&lt;14/24)</formula>
    </cfRule>
    <cfRule type="expression" dxfId="6952" priority="190">
      <formula>Y$9&lt;8/24</formula>
    </cfRule>
  </conditionalFormatting>
  <conditionalFormatting sqref="T15:AF15">
    <cfRule type="expression" dxfId="6951" priority="183">
      <formula>T$9&gt;=20/24</formula>
    </cfRule>
    <cfRule type="expression" dxfId="6950" priority="184">
      <formula>AND(T$9&gt;=14/24,T$9&lt;20/24)</formula>
    </cfRule>
    <cfRule type="expression" dxfId="6949" priority="185">
      <formula>AND(T$9&gt;=8/24,T$9&lt;14/24)</formula>
    </cfRule>
    <cfRule type="expression" dxfId="6948" priority="186">
      <formula>T$9&lt;8/24</formula>
    </cfRule>
  </conditionalFormatting>
  <conditionalFormatting sqref="Y36:AF36">
    <cfRule type="expression" dxfId="6947" priority="179">
      <formula>Y$9&gt;=20/24</formula>
    </cfRule>
    <cfRule type="expression" dxfId="6946" priority="180">
      <formula>AND(Y$9&gt;=14/24,Y$9&lt;20/24)</formula>
    </cfRule>
    <cfRule type="expression" dxfId="6945" priority="181">
      <formula>AND(Y$9&gt;=8/24,Y$9&lt;14/24)</formula>
    </cfRule>
    <cfRule type="expression" dxfId="6944" priority="182">
      <formula>Y$9&lt;8/24</formula>
    </cfRule>
  </conditionalFormatting>
  <conditionalFormatting sqref="Y36:AF36">
    <cfRule type="expression" dxfId="6943" priority="178">
      <formula>Y36&gt;$AG36</formula>
    </cfRule>
  </conditionalFormatting>
  <conditionalFormatting sqref="Y48:AA49 AB49:AE49">
    <cfRule type="expression" dxfId="6942" priority="174">
      <formula>Y$9&gt;=20/24</formula>
    </cfRule>
    <cfRule type="expression" dxfId="6941" priority="175">
      <formula>AND(Y$9&gt;=14/24,Y$9&lt;20/24)</formula>
    </cfRule>
    <cfRule type="expression" dxfId="6940" priority="176">
      <formula>AND(Y$9&gt;=8/24,Y$9&lt;14/24)</formula>
    </cfRule>
    <cfRule type="expression" dxfId="6939" priority="177">
      <formula>Y$9&lt;8/24</formula>
    </cfRule>
  </conditionalFormatting>
  <conditionalFormatting sqref="Y48:AA49 AB49:AE49">
    <cfRule type="expression" dxfId="6938" priority="173">
      <formula>Y48&gt;$AG48</formula>
    </cfRule>
  </conditionalFormatting>
  <conditionalFormatting sqref="M45:N45 N46:N47 O45:R47 N48:T49 R50:T50 U48:X50 Y50:AF51">
    <cfRule type="expression" dxfId="6937" priority="169">
      <formula>M$9&gt;=20/24</formula>
    </cfRule>
    <cfRule type="expression" dxfId="6936" priority="170">
      <formula>AND(M$9&gt;=14/24,M$9&lt;20/24)</formula>
    </cfRule>
    <cfRule type="expression" dxfId="6935" priority="171">
      <formula>AND(M$9&gt;=8/24,M$9&lt;14/24)</formula>
    </cfRule>
    <cfRule type="expression" dxfId="6934" priority="172">
      <formula>M$9&lt;8/24</formula>
    </cfRule>
  </conditionalFormatting>
  <conditionalFormatting sqref="M45:N45 N46:N47 O45:R47 N48:T49 R50:T50 U48:X50 Y50:AF51">
    <cfRule type="expression" dxfId="6933" priority="168">
      <formula>M45&gt;$AG45</formula>
    </cfRule>
  </conditionalFormatting>
  <conditionalFormatting sqref="Y28:AF28">
    <cfRule type="expression" dxfId="6932" priority="164">
      <formula>Y$9&gt;=20/24</formula>
    </cfRule>
    <cfRule type="expression" dxfId="6931" priority="165">
      <formula>AND(Y$9&gt;=14/24,Y$9&lt;20/24)</formula>
    </cfRule>
    <cfRule type="expression" dxfId="6930" priority="166">
      <formula>AND(Y$9&gt;=8/24,Y$9&lt;14/24)</formula>
    </cfRule>
    <cfRule type="expression" dxfId="6929" priority="167">
      <formula>Y$9&lt;8/24</formula>
    </cfRule>
  </conditionalFormatting>
  <conditionalFormatting sqref="Y24:AF24 T19:AF19">
    <cfRule type="expression" dxfId="6928" priority="160">
      <formula>T$9&gt;=20/24</formula>
    </cfRule>
    <cfRule type="expression" dxfId="6927" priority="161">
      <formula>AND(T$9&gt;=14/24,T$9&lt;20/24)</formula>
    </cfRule>
    <cfRule type="expression" dxfId="6926" priority="162">
      <formula>AND(T$9&gt;=8/24,T$9&lt;14/24)</formula>
    </cfRule>
    <cfRule type="expression" dxfId="6925" priority="163">
      <formula>T$9&lt;8/24</formula>
    </cfRule>
  </conditionalFormatting>
  <conditionalFormatting sqref="Y24:AF24 T19:AF19">
    <cfRule type="expression" dxfId="6924" priority="159">
      <formula>T19&gt;$AG19</formula>
    </cfRule>
  </conditionalFormatting>
  <conditionalFormatting sqref="B101 B80:AF80 B103:B108 B89:AF89 B11:S11">
    <cfRule type="expression" dxfId="6923" priority="141">
      <formula>B$9&gt;=20/24</formula>
    </cfRule>
    <cfRule type="expression" dxfId="6922" priority="142">
      <formula>AND(B$9&gt;=14/24,B$9&lt;20/24)</formula>
    </cfRule>
    <cfRule type="expression" dxfId="6921" priority="143">
      <formula>AND(B$9&gt;=8/24,B$9&lt;14/24)</formula>
    </cfRule>
    <cfRule type="expression" dxfId="6920" priority="144">
      <formula>B$9&lt;8/24</formula>
    </cfRule>
  </conditionalFormatting>
  <conditionalFormatting sqref="B39:K39">
    <cfRule type="expression" dxfId="6919" priority="137">
      <formula>B$9&gt;=20/24</formula>
    </cfRule>
    <cfRule type="expression" dxfId="6918" priority="138">
      <formula>AND(B$9&gt;=14/24,B$9&lt;20/24)</formula>
    </cfRule>
    <cfRule type="expression" dxfId="6917" priority="139">
      <formula>AND(B$9&gt;=8/24,B$9&lt;14/24)</formula>
    </cfRule>
    <cfRule type="expression" dxfId="6916" priority="140">
      <formula>B$9&lt;8/24</formula>
    </cfRule>
  </conditionalFormatting>
  <conditionalFormatting sqref="B39:K39 B11:S11">
    <cfRule type="expression" dxfId="6915" priority="136">
      <formula>B11&gt;$AG11</formula>
    </cfRule>
  </conditionalFormatting>
  <conditionalFormatting sqref="B91">
    <cfRule type="expression" dxfId="6914" priority="132">
      <formula>B$9&gt;=20/24</formula>
    </cfRule>
    <cfRule type="expression" dxfId="6913" priority="133">
      <formula>AND(B$9&gt;=14/24,B$9&lt;20/24)</formula>
    </cfRule>
    <cfRule type="expression" dxfId="6912" priority="134">
      <formula>AND(B$9&gt;=8/24,B$9&lt;14/24)</formula>
    </cfRule>
    <cfRule type="expression" dxfId="6911" priority="135">
      <formula>B$9&lt;8/24</formula>
    </cfRule>
  </conditionalFormatting>
  <conditionalFormatting sqref="B46:D47 B63:D63 B38:S38">
    <cfRule type="expression" dxfId="6910" priority="128">
      <formula>B$9&gt;=20/24</formula>
    </cfRule>
    <cfRule type="expression" dxfId="6909" priority="129">
      <formula>AND(B$9&gt;=14/24,B$9&lt;20/24)</formula>
    </cfRule>
    <cfRule type="expression" dxfId="6908" priority="130">
      <formula>AND(B$9&gt;=8/24,B$9&lt;14/24)</formula>
    </cfRule>
    <cfRule type="expression" dxfId="6907" priority="131">
      <formula>B$9&lt;8/24</formula>
    </cfRule>
  </conditionalFormatting>
  <conditionalFormatting sqref="B45:D45">
    <cfRule type="expression" dxfId="6906" priority="124">
      <formula>B$9&gt;=20/24</formula>
    </cfRule>
    <cfRule type="expression" dxfId="6905" priority="125">
      <formula>AND(B$9&gt;=14/24,B$9&lt;20/24)</formula>
    </cfRule>
    <cfRule type="expression" dxfId="6904" priority="126">
      <formula>AND(B$9&gt;=8/24,B$9&lt;14/24)</formula>
    </cfRule>
    <cfRule type="expression" dxfId="6903" priority="127">
      <formula>B$9&lt;8/24</formula>
    </cfRule>
  </conditionalFormatting>
  <conditionalFormatting sqref="B45:D47 B38:S38">
    <cfRule type="expression" dxfId="6902" priority="123">
      <formula>B38&gt;$AG38</formula>
    </cfRule>
  </conditionalFormatting>
  <conditionalFormatting sqref="B59:B62 B75:B79 B88 C62:AG62 B92:C98 B90:AF90 B81:AF81 B79:AG79 B64:D73 C75:D77 C59:R61 B12:S14 B18:S18 B25:X27 B29:X29 B31:X34 E66:AE73">
    <cfRule type="expression" dxfId="6901" priority="119">
      <formula>B$9&gt;=20/24</formula>
    </cfRule>
    <cfRule type="expression" dxfId="6900" priority="120">
      <formula>AND(B$9&gt;=14/24,B$9&lt;20/24)</formula>
    </cfRule>
    <cfRule type="expression" dxfId="6899" priority="121">
      <formula>AND(B$9&gt;=8/24,B$9&lt;14/24)</formula>
    </cfRule>
    <cfRule type="expression" dxfId="6898" priority="122">
      <formula>B$9&lt;8/24</formula>
    </cfRule>
  </conditionalFormatting>
  <conditionalFormatting sqref="B35:X35">
    <cfRule type="expression" dxfId="6897" priority="115">
      <formula>B$9&gt;=20/24</formula>
    </cfRule>
    <cfRule type="expression" dxfId="6896" priority="116">
      <formula>AND(B$9&gt;=14/24,B$9&lt;20/24)</formula>
    </cfRule>
    <cfRule type="expression" dxfId="6895" priority="117">
      <formula>AND(B$9&gt;=8/24,B$9&lt;14/24)</formula>
    </cfRule>
    <cfRule type="expression" dxfId="6894" priority="118">
      <formula>B$9&lt;8/24</formula>
    </cfRule>
  </conditionalFormatting>
  <conditionalFormatting sqref="B57:B62 C62:AG62 B40:AG40 B48:D49 B58:AG58 E49:L49 C59:R61 B25:X29 B31:X35">
    <cfRule type="expression" dxfId="6893" priority="114">
      <formula>B25&gt;$AG25</formula>
    </cfRule>
  </conditionalFormatting>
  <conditionalFormatting sqref="B37:X37">
    <cfRule type="expression" dxfId="6892" priority="110">
      <formula>B$9&gt;=20/24</formula>
    </cfRule>
    <cfRule type="expression" dxfId="6891" priority="111">
      <formula>AND(B$9&gt;=14/24,B$9&lt;20/24)</formula>
    </cfRule>
    <cfRule type="expression" dxfId="6890" priority="112">
      <formula>AND(B$9&gt;=8/24,B$9&lt;14/24)</formula>
    </cfRule>
    <cfRule type="expression" dxfId="6889" priority="113">
      <formula>B$9&lt;8/24</formula>
    </cfRule>
  </conditionalFormatting>
  <conditionalFormatting sqref="B15:S15">
    <cfRule type="expression" dxfId="6888" priority="106">
      <formula>B$9&gt;=20/24</formula>
    </cfRule>
    <cfRule type="expression" dxfId="6887" priority="107">
      <formula>AND(B$9&gt;=14/24,B$9&lt;20/24)</formula>
    </cfRule>
    <cfRule type="expression" dxfId="6886" priority="108">
      <formula>AND(B$9&gt;=8/24,B$9&lt;14/24)</formula>
    </cfRule>
    <cfRule type="expression" dxfId="6885" priority="109">
      <formula>B$9&lt;8/24</formula>
    </cfRule>
  </conditionalFormatting>
  <conditionalFormatting sqref="B36:X36">
    <cfRule type="expression" dxfId="6884" priority="102">
      <formula>B$9&gt;=20/24</formula>
    </cfRule>
    <cfRule type="expression" dxfId="6883" priority="103">
      <formula>AND(B$9&gt;=14/24,B$9&lt;20/24)</formula>
    </cfRule>
    <cfRule type="expression" dxfId="6882" priority="104">
      <formula>AND(B$9&gt;=8/24,B$9&lt;14/24)</formula>
    </cfRule>
    <cfRule type="expression" dxfId="6881" priority="105">
      <formula>B$9&lt;8/24</formula>
    </cfRule>
  </conditionalFormatting>
  <conditionalFormatting sqref="B36:X36">
    <cfRule type="expression" dxfId="6880" priority="101">
      <formula>B36&gt;$AG36</formula>
    </cfRule>
  </conditionalFormatting>
  <conditionalFormatting sqref="B50:Q56 R51:X56">
    <cfRule type="expression" dxfId="6879" priority="97">
      <formula>B$9&gt;=20/24</formula>
    </cfRule>
    <cfRule type="expression" dxfId="6878" priority="98">
      <formula>AND(B$9&gt;=14/24,B$9&lt;20/24)</formula>
    </cfRule>
    <cfRule type="expression" dxfId="6877" priority="99">
      <formula>AND(B$9&gt;=8/24,B$9&lt;14/24)</formula>
    </cfRule>
    <cfRule type="expression" dxfId="6876" priority="100">
      <formula>B$9&lt;8/24</formula>
    </cfRule>
  </conditionalFormatting>
  <conditionalFormatting sqref="B50:Q56 R51:X56">
    <cfRule type="expression" dxfId="6875" priority="96">
      <formula>B50&gt;$AG50</formula>
    </cfRule>
  </conditionalFormatting>
  <conditionalFormatting sqref="B28:X28">
    <cfRule type="expression" dxfId="6874" priority="92">
      <formula>B$9&gt;=20/24</formula>
    </cfRule>
    <cfRule type="expression" dxfId="6873" priority="93">
      <formula>AND(B$9&gt;=14/24,B$9&lt;20/24)</formula>
    </cfRule>
    <cfRule type="expression" dxfId="6872" priority="94">
      <formula>AND(B$9&gt;=8/24,B$9&lt;14/24)</formula>
    </cfRule>
    <cfRule type="expression" dxfId="6871" priority="95">
      <formula>B$9&lt;8/24</formula>
    </cfRule>
  </conditionalFormatting>
  <conditionalFormatting sqref="B19:S19 B24:X24">
    <cfRule type="expression" dxfId="6870" priority="88">
      <formula>B$9&gt;=20/24</formula>
    </cfRule>
    <cfRule type="expression" dxfId="6869" priority="89">
      <formula>AND(B$9&gt;=14/24,B$9&lt;20/24)</formula>
    </cfRule>
    <cfRule type="expression" dxfId="6868" priority="90">
      <formula>AND(B$9&gt;=8/24,B$9&lt;14/24)</formula>
    </cfRule>
    <cfRule type="expression" dxfId="6867" priority="91">
      <formula>B$9&lt;8/24</formula>
    </cfRule>
  </conditionalFormatting>
  <conditionalFormatting sqref="B19:S19 B24:X24">
    <cfRule type="expression" dxfId="6866" priority="87">
      <formula>B19&gt;$AG19</formula>
    </cfRule>
  </conditionalFormatting>
  <conditionalFormatting sqref="A36">
    <cfRule type="expression" dxfId="6865" priority="86">
      <formula>$AH36=0</formula>
    </cfRule>
  </conditionalFormatting>
  <conditionalFormatting sqref="B74:AF74">
    <cfRule type="expression" dxfId="6864" priority="82">
      <formula>B$9&gt;=20/24</formula>
    </cfRule>
    <cfRule type="expression" dxfId="6863" priority="83">
      <formula>AND(B$9&gt;=14/24,B$9&lt;20/24)</formula>
    </cfRule>
    <cfRule type="expression" dxfId="6862" priority="84">
      <formula>AND(B$9&gt;=8/24,B$9&lt;14/24)</formula>
    </cfRule>
    <cfRule type="expression" dxfId="6861" priority="85">
      <formula>B$9&lt;8/24</formula>
    </cfRule>
  </conditionalFormatting>
  <conditionalFormatting sqref="B83:AF87">
    <cfRule type="expression" dxfId="6860" priority="78">
      <formula>B$9&gt;=20/24</formula>
    </cfRule>
    <cfRule type="expression" dxfId="6859" priority="79">
      <formula>AND(B$9&gt;=14/24,B$9&lt;20/24)</formula>
    </cfRule>
    <cfRule type="expression" dxfId="6858" priority="80">
      <formula>AND(B$9&gt;=8/24,B$9&lt;14/24)</formula>
    </cfRule>
    <cfRule type="expression" dxfId="6857" priority="81">
      <formula>B$9&lt;8/24</formula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F41:M42 B43:M43 N41:AF43">
    <cfRule type="expression" dxfId="6856" priority="74">
      <formula>B$9&gt;=20/24</formula>
    </cfRule>
    <cfRule type="expression" dxfId="6855" priority="75">
      <formula>AND(B$9&gt;=14/24,B$9&lt;20/24)</formula>
    </cfRule>
    <cfRule type="expression" dxfId="6854" priority="76">
      <formula>AND(B$9&gt;=8/24,B$9&lt;14/24)</formula>
    </cfRule>
    <cfRule type="expression" dxfId="6853" priority="77">
      <formula>B$9&lt;8/24</formula>
    </cfRule>
  </conditionalFormatting>
  <conditionalFormatting sqref="F41:M42 B43:M43 N41:AF43">
    <cfRule type="expression" dxfId="6852" priority="73">
      <formula>B41&gt;$AG41</formula>
    </cfRule>
  </conditionalFormatting>
  <conditionalFormatting sqref="B41:E42 B44:AG44">
    <cfRule type="expression" dxfId="6851" priority="69">
      <formula>B$9&gt;=20/24</formula>
    </cfRule>
    <cfRule type="expression" dxfId="6850" priority="70">
      <formula>AND(B$9&gt;=14/24,B$9&lt;20/24)</formula>
    </cfRule>
    <cfRule type="expression" dxfId="6849" priority="71">
      <formula>AND(B$9&gt;=8/24,B$9&lt;14/24)</formula>
    </cfRule>
    <cfRule type="expression" dxfId="6848" priority="72">
      <formula>B$9&lt;8/24</formula>
    </cfRule>
  </conditionalFormatting>
  <conditionalFormatting sqref="B41:E42 B44:AG44">
    <cfRule type="expression" dxfId="6847" priority="68">
      <formula>B41&gt;$AG41</formula>
    </cfRule>
  </conditionalFormatting>
  <conditionalFormatting sqref="C99:AF99">
    <cfRule type="expression" dxfId="6846" priority="64">
      <formula>C$9&gt;=20/24</formula>
    </cfRule>
    <cfRule type="expression" dxfId="6845" priority="65">
      <formula>AND(C$9&gt;=14/24,C$9&lt;20/24)</formula>
    </cfRule>
    <cfRule type="expression" dxfId="6844" priority="66">
      <formula>AND(C$9&gt;=8/24,C$9&lt;14/24)</formula>
    </cfRule>
    <cfRule type="expression" dxfId="6843" priority="67">
      <formula>C$9&lt;8/24</formula>
    </cfRule>
  </conditionalFormatting>
  <conditionalFormatting sqref="B99">
    <cfRule type="expression" dxfId="6842" priority="60">
      <formula>B$9&gt;=20/24</formula>
    </cfRule>
    <cfRule type="expression" dxfId="6841" priority="61">
      <formula>AND(B$9&gt;=14/24,B$9&lt;20/24)</formula>
    </cfRule>
    <cfRule type="expression" dxfId="6840" priority="62">
      <formula>AND(B$9&gt;=8/24,B$9&lt;14/24)</formula>
    </cfRule>
    <cfRule type="expression" dxfId="6839" priority="63">
      <formula>B$9&lt;8/24</formula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6838" priority="54">
      <formula>$AH33=0</formula>
    </cfRule>
  </conditionalFormatting>
  <conditionalFormatting sqref="A82">
    <cfRule type="expression" dxfId="6837" priority="52">
      <formula>$AH82=0</formula>
    </cfRule>
  </conditionalFormatting>
  <conditionalFormatting sqref="A79">
    <cfRule type="expression" dxfId="6836" priority="53">
      <formula>$AH79=0</formula>
    </cfRule>
  </conditionalFormatting>
  <conditionalFormatting sqref="A109">
    <cfRule type="expression" dxfId="6835" priority="43">
      <formula>$AH109=0</formula>
    </cfRule>
  </conditionalFormatting>
  <conditionalFormatting sqref="C102:AF102">
    <cfRule type="expression" dxfId="6834" priority="39">
      <formula>C$9&gt;=20/24</formula>
    </cfRule>
    <cfRule type="expression" dxfId="6833" priority="40">
      <formula>AND(C$9&gt;=14/24,C$9&lt;20/24)</formula>
    </cfRule>
    <cfRule type="expression" dxfId="6832" priority="41">
      <formula>AND(C$9&gt;=8/24,C$9&lt;14/24)</formula>
    </cfRule>
    <cfRule type="expression" dxfId="6831" priority="42">
      <formula>C$9&lt;8/24</formula>
    </cfRule>
  </conditionalFormatting>
  <conditionalFormatting sqref="A102">
    <cfRule type="expression" dxfId="6830" priority="38">
      <formula>$AH102=0</formula>
    </cfRule>
  </conditionalFormatting>
  <conditionalFormatting sqref="B102">
    <cfRule type="expression" dxfId="6829" priority="34">
      <formula>B$9&gt;=20/24</formula>
    </cfRule>
    <cfRule type="expression" dxfId="6828" priority="35">
      <formula>AND(B$9&gt;=14/24,B$9&lt;20/24)</formula>
    </cfRule>
    <cfRule type="expression" dxfId="6827" priority="36">
      <formula>AND(B$9&gt;=8/24,B$9&lt;14/24)</formula>
    </cfRule>
    <cfRule type="expression" dxfId="6826" priority="37">
      <formula>B$9&lt;8/24</formula>
    </cfRule>
  </conditionalFormatting>
  <conditionalFormatting sqref="Y52:AF56">
    <cfRule type="expression" dxfId="6825" priority="30">
      <formula>Y$9&gt;=20/24</formula>
    </cfRule>
    <cfRule type="expression" dxfId="6824" priority="31">
      <formula>AND(Y$9&gt;=14/24,Y$9&lt;20/24)</formula>
    </cfRule>
    <cfRule type="expression" dxfId="6823" priority="32">
      <formula>AND(Y$9&gt;=8/24,Y$9&lt;14/24)</formula>
    </cfRule>
    <cfRule type="expression" dxfId="6822" priority="33">
      <formula>Y$9&lt;8/24</formula>
    </cfRule>
  </conditionalFormatting>
  <conditionalFormatting sqref="Y52:AF56">
    <cfRule type="expression" dxfId="6821" priority="29">
      <formula>Y52&gt;$AG52</formula>
    </cfRule>
  </conditionalFormatting>
  <conditionalFormatting sqref="B17:AF17">
    <cfRule type="expression" dxfId="6820" priority="27">
      <formula>B17&gt;$AG17</formula>
    </cfRule>
  </conditionalFormatting>
  <conditionalFormatting sqref="A17">
    <cfRule type="expression" dxfId="6819" priority="26">
      <formula>$AH17=0</formula>
    </cfRule>
  </conditionalFormatting>
  <conditionalFormatting sqref="T17:AF17">
    <cfRule type="expression" dxfId="6818" priority="22">
      <formula>T$9&gt;=20/24</formula>
    </cfRule>
    <cfRule type="expression" dxfId="6817" priority="23">
      <formula>AND(T$9&gt;=14/24,T$9&lt;20/24)</formula>
    </cfRule>
    <cfRule type="expression" dxfId="6816" priority="24">
      <formula>AND(T$9&gt;=8/24,T$9&lt;14/24)</formula>
    </cfRule>
    <cfRule type="expression" dxfId="6815" priority="25">
      <formula>T$9&lt;8/24</formula>
    </cfRule>
  </conditionalFormatting>
  <conditionalFormatting sqref="B17:S17">
    <cfRule type="expression" dxfId="6814" priority="18">
      <formula>B$9&gt;=20/24</formula>
    </cfRule>
    <cfRule type="expression" dxfId="6813" priority="19">
      <formula>AND(B$9&gt;=14/24,B$9&lt;20/24)</formula>
    </cfRule>
    <cfRule type="expression" dxfId="6812" priority="20">
      <formula>AND(B$9&gt;=8/24,B$9&lt;14/24)</formula>
    </cfRule>
    <cfRule type="expression" dxfId="6811" priority="21">
      <formula>B$9&lt;8/24</formula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6810" priority="16">
      <formula>$AH30=0</formula>
    </cfRule>
  </conditionalFormatting>
  <conditionalFormatting sqref="X30:AF30">
    <cfRule type="expression" dxfId="6809" priority="12">
      <formula>X$9&gt;=20/24</formula>
    </cfRule>
    <cfRule type="expression" dxfId="6808" priority="13">
      <formula>AND(X$9&gt;=14/24,X$9&lt;20/24)</formula>
    </cfRule>
    <cfRule type="expression" dxfId="6807" priority="14">
      <formula>AND(X$9&gt;=8/24,X$9&lt;14/24)</formula>
    </cfRule>
    <cfRule type="expression" dxfId="6806" priority="15">
      <formula>X$9&lt;8/24</formula>
    </cfRule>
  </conditionalFormatting>
  <conditionalFormatting sqref="X30:AF30">
    <cfRule type="expression" dxfId="6805" priority="11">
      <formula>X30&gt;$AG30</formula>
    </cfRule>
  </conditionalFormatting>
  <conditionalFormatting sqref="B30:W30">
    <cfRule type="expression" dxfId="6804" priority="2">
      <formula>B$9&gt;=20/24</formula>
    </cfRule>
    <cfRule type="expression" dxfId="6803" priority="3">
      <formula>AND(B$9&gt;=14/24,B$9&lt;20/24)</formula>
    </cfRule>
    <cfRule type="expression" dxfId="6802" priority="4">
      <formula>AND(B$9&gt;=8/24,B$9&lt;14/24)</formula>
    </cfRule>
    <cfRule type="expression" dxfId="6801" priority="5">
      <formula>B$9&lt;8/24</formula>
    </cfRule>
  </conditionalFormatting>
  <conditionalFormatting sqref="B30:W30">
    <cfRule type="expression" dxfId="6800" priority="1">
      <formula>B30&gt;$AG30</formula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BA4C618E-016B-47E0-A050-53F5CCD1FEE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12875337-C9C5-4BEF-8001-864B7481B6F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AE888BF9-97A9-44C4-9E67-14E607DE64D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C31E04C7-3216-4148-8894-9C066114CF9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8" id="{1F8F2412-9F87-431F-BB50-1868976BE68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49C6B2BF-60C3-4C62-9F3F-B1AA1436AE8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2899C54D-A6FB-44CD-BBA2-AE123A3C002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F01C6093-5637-498E-A514-D5DD758CA9F0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4" id="{F54DD2CF-B95B-455C-8F39-8178E7BCECE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6B982BDE-0101-45FB-8CC9-BE31C7B7D27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D0F5B1C6-9385-4442-82F8-1AEECBBDAD3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10917DA4-7E0E-4E54-B003-4BCC448433F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J270"/>
  <sheetViews>
    <sheetView zoomScale="90" zoomScaleNormal="90" workbookViewId="0">
      <pane xSplit="1" ySplit="10" topLeftCell="B82" activePane="bottomRight" state="frozen"/>
      <selection activeCell="AF88" sqref="AF88"/>
      <selection pane="topRight" activeCell="AF88" sqref="AF88"/>
      <selection pane="bottomLeft" activeCell="AF88" sqref="AF88"/>
      <selection pane="bottomRight" activeCell="AH11" sqref="AH11:AI10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24.42578125" style="1" bestFit="1" customWidth="1"/>
    <col min="37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2079/06/14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1269MW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J6" s="22">
        <f>1675*6-(B7+C7+D7+E7+F7+G7+I7+K7+M7+N7+O7+P7+Q7+R7+S7+T7+U7+V7+X7+Z7+AB7+AD7+AE7+AF7)</f>
        <v>-17441.059999999998</v>
      </c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Load=976</v>
      </c>
      <c r="B7" s="35">
        <f t="shared" ref="B7:AF7" si="1">B81</f>
        <v>996.43999999999994</v>
      </c>
      <c r="C7" s="35">
        <f t="shared" si="1"/>
        <v>988.43999999999994</v>
      </c>
      <c r="D7" s="35">
        <f t="shared" si="1"/>
        <v>977.93999999999994</v>
      </c>
      <c r="E7" s="35">
        <f t="shared" si="1"/>
        <v>975.7399999999999</v>
      </c>
      <c r="F7" s="35">
        <f t="shared" si="1"/>
        <v>980.2399999999999</v>
      </c>
      <c r="G7" s="35">
        <f t="shared" si="1"/>
        <v>1027.54</v>
      </c>
      <c r="H7" s="35">
        <f t="shared" si="1"/>
        <v>1064.24</v>
      </c>
      <c r="I7" s="35">
        <f t="shared" si="1"/>
        <v>1091.24</v>
      </c>
      <c r="J7" s="35">
        <f t="shared" si="1"/>
        <v>1121.74</v>
      </c>
      <c r="K7" s="35">
        <f t="shared" si="1"/>
        <v>1198.6400000000001</v>
      </c>
      <c r="L7" s="35">
        <f t="shared" si="1"/>
        <v>1260.94</v>
      </c>
      <c r="M7" s="35">
        <f t="shared" si="1"/>
        <v>1268.54</v>
      </c>
      <c r="N7" s="35">
        <f t="shared" si="1"/>
        <v>1234.04</v>
      </c>
      <c r="O7" s="35">
        <f t="shared" si="1"/>
        <v>1215.54</v>
      </c>
      <c r="P7" s="35">
        <f t="shared" si="1"/>
        <v>1208.74</v>
      </c>
      <c r="Q7" s="35">
        <f t="shared" si="1"/>
        <v>1181.44</v>
      </c>
      <c r="R7" s="35">
        <f t="shared" si="1"/>
        <v>1171.44</v>
      </c>
      <c r="S7" s="35">
        <f t="shared" si="1"/>
        <v>1170.74</v>
      </c>
      <c r="T7" s="35">
        <f t="shared" si="1"/>
        <v>1196.6399999999999</v>
      </c>
      <c r="U7" s="35">
        <f t="shared" si="1"/>
        <v>1201.3400000000001</v>
      </c>
      <c r="V7" s="35">
        <f t="shared" si="1"/>
        <v>1238.3400000000001</v>
      </c>
      <c r="W7" s="35">
        <f t="shared" si="1"/>
        <v>1296.3400000000001</v>
      </c>
      <c r="X7" s="35">
        <f t="shared" si="1"/>
        <v>1346.1399999999999</v>
      </c>
      <c r="Y7" s="35">
        <f t="shared" si="1"/>
        <v>1351.1399999999999</v>
      </c>
      <c r="Z7" s="35">
        <f t="shared" si="1"/>
        <v>1340.1399999999999</v>
      </c>
      <c r="AA7" s="35">
        <f t="shared" si="1"/>
        <v>1278.1399999999999</v>
      </c>
      <c r="AB7" s="35">
        <f t="shared" si="1"/>
        <v>1245.1399999999999</v>
      </c>
      <c r="AC7" s="35">
        <f t="shared" si="1"/>
        <v>1193.8399999999999</v>
      </c>
      <c r="AD7" s="35">
        <f t="shared" si="1"/>
        <v>1136.1400000000001</v>
      </c>
      <c r="AE7" s="35">
        <f t="shared" si="1"/>
        <v>1075.1399999999999</v>
      </c>
      <c r="AF7" s="35">
        <f t="shared" si="1"/>
        <v>1025.3399999999999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52.7</v>
      </c>
      <c r="C11" s="45">
        <v>52.7</v>
      </c>
      <c r="D11" s="45">
        <v>52.7</v>
      </c>
      <c r="E11" s="45">
        <v>52.7</v>
      </c>
      <c r="F11" s="45">
        <v>52.7</v>
      </c>
      <c r="G11" s="45">
        <v>52.7</v>
      </c>
      <c r="H11" s="45">
        <v>52.7</v>
      </c>
      <c r="I11" s="45">
        <v>52.7</v>
      </c>
      <c r="J11" s="45">
        <v>52.7</v>
      </c>
      <c r="K11" s="45">
        <v>52.7</v>
      </c>
      <c r="L11" s="45">
        <v>52.7</v>
      </c>
      <c r="M11" s="45">
        <v>52.7</v>
      </c>
      <c r="N11" s="45">
        <v>52.7</v>
      </c>
      <c r="O11" s="45">
        <v>52.7</v>
      </c>
      <c r="P11" s="45">
        <v>52.7</v>
      </c>
      <c r="Q11" s="45">
        <v>52.6</v>
      </c>
      <c r="R11" s="45">
        <v>52.6</v>
      </c>
      <c r="S11" s="45">
        <v>52.6</v>
      </c>
      <c r="T11" s="45">
        <v>52.6</v>
      </c>
      <c r="U11" s="45">
        <v>52.6</v>
      </c>
      <c r="V11" s="45">
        <v>52.6</v>
      </c>
      <c r="W11" s="45">
        <v>52.6</v>
      </c>
      <c r="X11" s="45">
        <v>52.6</v>
      </c>
      <c r="Y11" s="45">
        <v>52.6</v>
      </c>
      <c r="Z11" s="45">
        <v>52.6</v>
      </c>
      <c r="AA11" s="45">
        <v>52.6</v>
      </c>
      <c r="AB11" s="45">
        <v>52.6</v>
      </c>
      <c r="AC11" s="45">
        <v>52.6</v>
      </c>
      <c r="AD11" s="45">
        <v>52.6</v>
      </c>
      <c r="AE11" s="45">
        <v>52.6</v>
      </c>
      <c r="AF11" s="45">
        <v>52.6</v>
      </c>
      <c r="AG11" s="47">
        <v>52.4</v>
      </c>
      <c r="AH11" s="48">
        <f>MAX(B11:AF11)</f>
        <v>52.7</v>
      </c>
      <c r="AI11" s="49">
        <f>MIN(B11:AF11)</f>
        <v>52.6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50.5</v>
      </c>
      <c r="C12" s="45">
        <v>50.5</v>
      </c>
      <c r="D12" s="45">
        <v>50.5</v>
      </c>
      <c r="E12" s="45">
        <v>50.5</v>
      </c>
      <c r="F12" s="45">
        <v>50.5</v>
      </c>
      <c r="G12" s="45">
        <v>50.5</v>
      </c>
      <c r="H12" s="45">
        <v>50.5</v>
      </c>
      <c r="I12" s="45">
        <v>50.5</v>
      </c>
      <c r="J12" s="45">
        <v>50.5</v>
      </c>
      <c r="K12" s="45">
        <v>50.5</v>
      </c>
      <c r="L12" s="45">
        <v>50.5</v>
      </c>
      <c r="M12" s="45">
        <v>50.4</v>
      </c>
      <c r="N12" s="45">
        <v>50.4</v>
      </c>
      <c r="O12" s="45">
        <v>50.4</v>
      </c>
      <c r="P12" s="45">
        <v>50.4</v>
      </c>
      <c r="Q12" s="45">
        <v>50.6</v>
      </c>
      <c r="R12" s="45">
        <v>50.6</v>
      </c>
      <c r="S12" s="45">
        <v>50.6</v>
      </c>
      <c r="T12" s="45">
        <v>50.6</v>
      </c>
      <c r="U12" s="45">
        <v>50.6</v>
      </c>
      <c r="V12" s="45">
        <v>50.6</v>
      </c>
      <c r="W12" s="45">
        <v>50.6</v>
      </c>
      <c r="X12" s="45">
        <v>50.6</v>
      </c>
      <c r="Y12" s="45">
        <v>50.6</v>
      </c>
      <c r="Z12" s="45">
        <v>50.6</v>
      </c>
      <c r="AA12" s="45">
        <v>50.6</v>
      </c>
      <c r="AB12" s="45">
        <v>50.5</v>
      </c>
      <c r="AC12" s="45">
        <v>50.5</v>
      </c>
      <c r="AD12" s="45">
        <v>50.5</v>
      </c>
      <c r="AE12" s="45">
        <v>50.5</v>
      </c>
      <c r="AF12" s="45">
        <v>50.5</v>
      </c>
      <c r="AG12" s="51">
        <v>50</v>
      </c>
      <c r="AH12" s="48">
        <f t="shared" ref="AH12:AH75" si="2">MAX(B12:AF12)</f>
        <v>50.6</v>
      </c>
      <c r="AI12" s="49">
        <f t="shared" ref="AI12:AI75" si="3">MIN(B12:AF12)</f>
        <v>50.4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30</v>
      </c>
      <c r="C13" s="45">
        <v>30</v>
      </c>
      <c r="D13" s="45">
        <v>30</v>
      </c>
      <c r="E13" s="45">
        <v>30</v>
      </c>
      <c r="F13" s="45">
        <v>30</v>
      </c>
      <c r="G13" s="45">
        <v>30</v>
      </c>
      <c r="H13" s="45">
        <v>30</v>
      </c>
      <c r="I13" s="45">
        <v>30</v>
      </c>
      <c r="J13" s="45">
        <v>30</v>
      </c>
      <c r="K13" s="45">
        <v>41.8</v>
      </c>
      <c r="L13" s="45">
        <v>45.7</v>
      </c>
      <c r="M13" s="45">
        <v>45.2</v>
      </c>
      <c r="N13" s="45">
        <v>42.3</v>
      </c>
      <c r="O13" s="45">
        <v>42.3</v>
      </c>
      <c r="P13" s="45">
        <v>42.3</v>
      </c>
      <c r="Q13" s="45">
        <v>36</v>
      </c>
      <c r="R13" s="45">
        <v>36</v>
      </c>
      <c r="S13" s="45">
        <v>36.799999999999997</v>
      </c>
      <c r="T13" s="45">
        <v>36.799999999999997</v>
      </c>
      <c r="U13" s="45">
        <v>36.799999999999997</v>
      </c>
      <c r="V13" s="45">
        <v>36.799999999999997</v>
      </c>
      <c r="W13" s="45">
        <v>36.799999999999997</v>
      </c>
      <c r="X13" s="45">
        <v>45.6</v>
      </c>
      <c r="Y13" s="45">
        <v>45.6</v>
      </c>
      <c r="Z13" s="45">
        <v>45.6</v>
      </c>
      <c r="AA13" s="45">
        <v>45.6</v>
      </c>
      <c r="AB13" s="45">
        <v>45.6</v>
      </c>
      <c r="AC13" s="45">
        <v>36.700000000000003</v>
      </c>
      <c r="AD13" s="45">
        <v>36.700000000000003</v>
      </c>
      <c r="AE13" s="45">
        <v>36.700000000000003</v>
      </c>
      <c r="AF13" s="45">
        <v>36.700000000000003</v>
      </c>
      <c r="AG13" s="51">
        <v>45</v>
      </c>
      <c r="AH13" s="48">
        <f t="shared" si="2"/>
        <v>45.7</v>
      </c>
      <c r="AI13" s="49">
        <f t="shared" si="3"/>
        <v>30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16</v>
      </c>
      <c r="C14" s="45">
        <v>16</v>
      </c>
      <c r="D14" s="45">
        <v>16</v>
      </c>
      <c r="E14" s="45">
        <v>16.5</v>
      </c>
      <c r="F14" s="45">
        <v>16.5</v>
      </c>
      <c r="G14" s="45">
        <v>16.5</v>
      </c>
      <c r="H14" s="45">
        <v>16.5</v>
      </c>
      <c r="I14" s="45">
        <v>16.5</v>
      </c>
      <c r="J14" s="45">
        <v>16.5</v>
      </c>
      <c r="K14" s="45">
        <v>20</v>
      </c>
      <c r="L14" s="45">
        <v>28</v>
      </c>
      <c r="M14" s="45">
        <v>30.5</v>
      </c>
      <c r="N14" s="45">
        <v>26</v>
      </c>
      <c r="O14" s="45">
        <v>26</v>
      </c>
      <c r="P14" s="45">
        <v>26</v>
      </c>
      <c r="Q14" s="45">
        <v>21</v>
      </c>
      <c r="R14" s="45">
        <v>21</v>
      </c>
      <c r="S14" s="45">
        <v>21</v>
      </c>
      <c r="T14" s="45">
        <v>21</v>
      </c>
      <c r="U14" s="45">
        <v>21</v>
      </c>
      <c r="V14" s="45">
        <v>30</v>
      </c>
      <c r="W14" s="45">
        <v>30</v>
      </c>
      <c r="X14" s="45">
        <v>41</v>
      </c>
      <c r="Y14" s="45">
        <v>41</v>
      </c>
      <c r="Z14" s="45">
        <v>30</v>
      </c>
      <c r="AA14" s="45">
        <v>21</v>
      </c>
      <c r="AB14" s="45">
        <v>21</v>
      </c>
      <c r="AC14" s="45">
        <v>21</v>
      </c>
      <c r="AD14" s="45">
        <v>21</v>
      </c>
      <c r="AE14" s="45">
        <v>17</v>
      </c>
      <c r="AF14" s="45">
        <v>17</v>
      </c>
      <c r="AG14" s="51">
        <v>42</v>
      </c>
      <c r="AH14" s="48">
        <f t="shared" si="2"/>
        <v>41</v>
      </c>
      <c r="AI14" s="49">
        <f t="shared" si="3"/>
        <v>16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10.4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6</v>
      </c>
      <c r="W15" s="45">
        <v>16</v>
      </c>
      <c r="X15" s="45">
        <v>30</v>
      </c>
      <c r="Y15" s="45">
        <v>30</v>
      </c>
      <c r="Z15" s="45">
        <v>30</v>
      </c>
      <c r="AA15" s="45">
        <v>11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52">
        <v>30</v>
      </c>
      <c r="AH15" s="48">
        <f t="shared" si="2"/>
        <v>30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15.6</v>
      </c>
      <c r="C16" s="45">
        <v>15.6</v>
      </c>
      <c r="D16" s="45">
        <v>15.6</v>
      </c>
      <c r="E16" s="45">
        <v>15.6</v>
      </c>
      <c r="F16" s="45">
        <v>15.6</v>
      </c>
      <c r="G16" s="45">
        <v>15.6</v>
      </c>
      <c r="H16" s="45">
        <v>15.6</v>
      </c>
      <c r="I16" s="45">
        <v>15.6</v>
      </c>
      <c r="J16" s="45">
        <v>15.6</v>
      </c>
      <c r="K16" s="45">
        <v>15.6</v>
      </c>
      <c r="L16" s="45">
        <v>15.6</v>
      </c>
      <c r="M16" s="45">
        <v>15.6</v>
      </c>
      <c r="N16" s="45">
        <v>15.6</v>
      </c>
      <c r="O16" s="45">
        <v>15.6</v>
      </c>
      <c r="P16" s="45">
        <v>15.6</v>
      </c>
      <c r="Q16" s="45">
        <v>15.6</v>
      </c>
      <c r="R16" s="45">
        <v>15.6</v>
      </c>
      <c r="S16" s="45">
        <v>15.6</v>
      </c>
      <c r="T16" s="45">
        <v>15.6</v>
      </c>
      <c r="U16" s="45">
        <v>15.6</v>
      </c>
      <c r="V16" s="45">
        <v>15.6</v>
      </c>
      <c r="W16" s="45">
        <v>15.6</v>
      </c>
      <c r="X16" s="45">
        <v>15.6</v>
      </c>
      <c r="Y16" s="45">
        <v>15.6</v>
      </c>
      <c r="Z16" s="45">
        <v>15.6</v>
      </c>
      <c r="AA16" s="45">
        <v>15.6</v>
      </c>
      <c r="AB16" s="45">
        <v>15.7</v>
      </c>
      <c r="AC16" s="45">
        <v>15.7</v>
      </c>
      <c r="AD16" s="45">
        <v>15.7</v>
      </c>
      <c r="AE16" s="45">
        <v>15.7</v>
      </c>
      <c r="AF16" s="45">
        <v>15.7</v>
      </c>
      <c r="AG16" s="51">
        <v>24.2</v>
      </c>
      <c r="AH16" s="48">
        <f t="shared" si="2"/>
        <v>15.7</v>
      </c>
      <c r="AI16" s="49">
        <f t="shared" si="3"/>
        <v>15.6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9</v>
      </c>
      <c r="M17" s="45">
        <v>9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10</v>
      </c>
      <c r="X17" s="45">
        <v>27</v>
      </c>
      <c r="Y17" s="45">
        <v>27</v>
      </c>
      <c r="Z17" s="45">
        <v>27</v>
      </c>
      <c r="AA17" s="45">
        <v>5</v>
      </c>
      <c r="AB17" s="45">
        <v>5</v>
      </c>
      <c r="AC17" s="45">
        <v>0</v>
      </c>
      <c r="AD17" s="45">
        <v>0</v>
      </c>
      <c r="AE17" s="45">
        <v>0</v>
      </c>
      <c r="AF17" s="45">
        <v>0</v>
      </c>
      <c r="AG17" s="52">
        <v>30</v>
      </c>
      <c r="AH17" s="48">
        <f t="shared" si="2"/>
        <v>27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20</v>
      </c>
      <c r="C18" s="45">
        <v>20</v>
      </c>
      <c r="D18" s="45">
        <v>20</v>
      </c>
      <c r="E18" s="45">
        <v>17</v>
      </c>
      <c r="F18" s="45">
        <v>17</v>
      </c>
      <c r="G18" s="45">
        <v>17</v>
      </c>
      <c r="H18" s="45">
        <v>17</v>
      </c>
      <c r="I18" s="45">
        <v>17</v>
      </c>
      <c r="J18" s="45">
        <v>17</v>
      </c>
      <c r="K18" s="45">
        <v>25</v>
      </c>
      <c r="L18" s="45">
        <v>25</v>
      </c>
      <c r="M18" s="45">
        <v>23.1</v>
      </c>
      <c r="N18" s="45">
        <v>25.1</v>
      </c>
      <c r="O18" s="45">
        <v>20.399999999999999</v>
      </c>
      <c r="P18" s="45">
        <v>20.399999999999999</v>
      </c>
      <c r="Q18" s="45">
        <v>20.399999999999999</v>
      </c>
      <c r="R18" s="45">
        <v>20.399999999999999</v>
      </c>
      <c r="S18" s="45">
        <v>20.399999999999999</v>
      </c>
      <c r="T18" s="45">
        <v>20.399999999999999</v>
      </c>
      <c r="U18" s="45">
        <v>20.399999999999999</v>
      </c>
      <c r="V18" s="45">
        <v>25</v>
      </c>
      <c r="W18" s="45">
        <v>25</v>
      </c>
      <c r="X18" s="45">
        <v>25</v>
      </c>
      <c r="Y18" s="45">
        <v>25</v>
      </c>
      <c r="Z18" s="45">
        <v>25</v>
      </c>
      <c r="AA18" s="45">
        <v>25</v>
      </c>
      <c r="AB18" s="45">
        <v>25</v>
      </c>
      <c r="AC18" s="45">
        <v>20</v>
      </c>
      <c r="AD18" s="45">
        <v>20</v>
      </c>
      <c r="AE18" s="45">
        <v>20</v>
      </c>
      <c r="AF18" s="45">
        <v>20</v>
      </c>
      <c r="AG18" s="51">
        <v>25</v>
      </c>
      <c r="AH18" s="48">
        <f t="shared" si="2"/>
        <v>25.1</v>
      </c>
      <c r="AI18" s="49">
        <f t="shared" si="3"/>
        <v>17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25</v>
      </c>
      <c r="C19" s="45">
        <v>25</v>
      </c>
      <c r="D19" s="45">
        <v>25</v>
      </c>
      <c r="E19" s="45">
        <v>25</v>
      </c>
      <c r="F19" s="45">
        <v>25</v>
      </c>
      <c r="G19" s="45">
        <v>25</v>
      </c>
      <c r="H19" s="45">
        <v>25</v>
      </c>
      <c r="I19" s="45">
        <v>25</v>
      </c>
      <c r="J19" s="45">
        <v>25</v>
      </c>
      <c r="K19" s="45">
        <v>25</v>
      </c>
      <c r="L19" s="45">
        <v>25</v>
      </c>
      <c r="M19" s="45">
        <v>25</v>
      </c>
      <c r="N19" s="45">
        <v>25</v>
      </c>
      <c r="O19" s="45">
        <v>25</v>
      </c>
      <c r="P19" s="45">
        <v>25</v>
      </c>
      <c r="Q19" s="45">
        <v>25</v>
      </c>
      <c r="R19" s="45">
        <v>25</v>
      </c>
      <c r="S19" s="45">
        <v>25</v>
      </c>
      <c r="T19" s="45">
        <v>25</v>
      </c>
      <c r="U19" s="45">
        <v>25</v>
      </c>
      <c r="V19" s="45">
        <v>25</v>
      </c>
      <c r="W19" s="45">
        <v>25</v>
      </c>
      <c r="X19" s="45">
        <v>25</v>
      </c>
      <c r="Y19" s="45">
        <v>25</v>
      </c>
      <c r="Z19" s="45">
        <v>25</v>
      </c>
      <c r="AA19" s="45">
        <v>25</v>
      </c>
      <c r="AB19" s="45">
        <v>25</v>
      </c>
      <c r="AC19" s="45">
        <v>25</v>
      </c>
      <c r="AD19" s="45">
        <v>25</v>
      </c>
      <c r="AE19" s="45">
        <v>25</v>
      </c>
      <c r="AF19" s="45">
        <v>25</v>
      </c>
      <c r="AG19" s="51">
        <v>25</v>
      </c>
      <c r="AH19" s="48">
        <f t="shared" si="2"/>
        <v>25</v>
      </c>
      <c r="AI19" s="49">
        <f t="shared" si="3"/>
        <v>25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17</v>
      </c>
      <c r="C20" s="45">
        <v>17</v>
      </c>
      <c r="D20" s="45">
        <v>17</v>
      </c>
      <c r="E20" s="45">
        <v>17</v>
      </c>
      <c r="F20" s="45">
        <v>17</v>
      </c>
      <c r="G20" s="45">
        <v>17</v>
      </c>
      <c r="H20" s="45">
        <v>17</v>
      </c>
      <c r="I20" s="45">
        <v>17</v>
      </c>
      <c r="J20" s="45">
        <v>17</v>
      </c>
      <c r="K20" s="45">
        <v>22</v>
      </c>
      <c r="L20" s="45">
        <v>22</v>
      </c>
      <c r="M20" s="45">
        <v>22</v>
      </c>
      <c r="N20" s="45">
        <v>22</v>
      </c>
      <c r="O20" s="45">
        <v>22</v>
      </c>
      <c r="P20" s="45">
        <v>22</v>
      </c>
      <c r="Q20" s="45">
        <v>22</v>
      </c>
      <c r="R20" s="45">
        <v>22</v>
      </c>
      <c r="S20" s="45">
        <v>22</v>
      </c>
      <c r="T20" s="45">
        <v>22</v>
      </c>
      <c r="U20" s="45">
        <v>22</v>
      </c>
      <c r="V20" s="45">
        <v>22</v>
      </c>
      <c r="W20" s="45">
        <v>22</v>
      </c>
      <c r="X20" s="45">
        <v>22</v>
      </c>
      <c r="Y20" s="45">
        <v>22</v>
      </c>
      <c r="Z20" s="45">
        <v>22</v>
      </c>
      <c r="AA20" s="45">
        <v>22</v>
      </c>
      <c r="AB20" s="45">
        <v>22</v>
      </c>
      <c r="AC20" s="45">
        <v>22</v>
      </c>
      <c r="AD20" s="45">
        <v>22</v>
      </c>
      <c r="AE20" s="45">
        <v>22</v>
      </c>
      <c r="AF20" s="45">
        <v>22</v>
      </c>
      <c r="AG20" s="51">
        <v>25</v>
      </c>
      <c r="AH20" s="48">
        <f t="shared" si="2"/>
        <v>22</v>
      </c>
      <c r="AI20" s="49">
        <f t="shared" si="3"/>
        <v>17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21.6</v>
      </c>
      <c r="C21" s="45">
        <v>21.6</v>
      </c>
      <c r="D21" s="45">
        <v>21.6</v>
      </c>
      <c r="E21" s="45">
        <v>21.6</v>
      </c>
      <c r="F21" s="45">
        <v>21.6</v>
      </c>
      <c r="G21" s="45">
        <v>21.6</v>
      </c>
      <c r="H21" s="45">
        <v>21.6</v>
      </c>
      <c r="I21" s="45">
        <v>21.6</v>
      </c>
      <c r="J21" s="45">
        <v>21.6</v>
      </c>
      <c r="K21" s="45">
        <v>21.6</v>
      </c>
      <c r="L21" s="45">
        <v>21.6</v>
      </c>
      <c r="M21" s="45">
        <v>21.5</v>
      </c>
      <c r="N21" s="45">
        <v>21.5</v>
      </c>
      <c r="O21" s="45">
        <v>21.5</v>
      </c>
      <c r="P21" s="45">
        <v>21.5</v>
      </c>
      <c r="Q21" s="45">
        <v>21.5</v>
      </c>
      <c r="R21" s="45">
        <v>21.5</v>
      </c>
      <c r="S21" s="45">
        <v>21.5</v>
      </c>
      <c r="T21" s="45">
        <v>21.5</v>
      </c>
      <c r="U21" s="45">
        <v>21.5</v>
      </c>
      <c r="V21" s="45">
        <v>21.5</v>
      </c>
      <c r="W21" s="45">
        <v>21.5</v>
      </c>
      <c r="X21" s="45">
        <v>21.5</v>
      </c>
      <c r="Y21" s="45">
        <v>21.5</v>
      </c>
      <c r="Z21" s="45">
        <v>21.5</v>
      </c>
      <c r="AA21" s="45">
        <v>21.5</v>
      </c>
      <c r="AB21" s="45">
        <v>21.5</v>
      </c>
      <c r="AC21" s="45">
        <v>21.5</v>
      </c>
      <c r="AD21" s="45">
        <v>21.5</v>
      </c>
      <c r="AE21" s="45">
        <v>21.5</v>
      </c>
      <c r="AF21" s="45">
        <v>21.5</v>
      </c>
      <c r="AG21" s="51">
        <v>23.5</v>
      </c>
      <c r="AH21" s="48">
        <f t="shared" si="2"/>
        <v>21.6</v>
      </c>
      <c r="AI21" s="49">
        <f t="shared" si="3"/>
        <v>21.5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10</v>
      </c>
      <c r="C22" s="45">
        <v>10</v>
      </c>
      <c r="D22" s="45">
        <v>10</v>
      </c>
      <c r="E22" s="45">
        <v>10</v>
      </c>
      <c r="F22" s="45">
        <v>10</v>
      </c>
      <c r="G22" s="45">
        <v>10</v>
      </c>
      <c r="H22" s="45">
        <v>10</v>
      </c>
      <c r="I22" s="45">
        <v>10</v>
      </c>
      <c r="J22" s="45">
        <v>10</v>
      </c>
      <c r="K22" s="45">
        <v>14</v>
      </c>
      <c r="L22" s="45">
        <v>14</v>
      </c>
      <c r="M22" s="45">
        <v>14</v>
      </c>
      <c r="N22" s="45">
        <v>14</v>
      </c>
      <c r="O22" s="45">
        <v>14</v>
      </c>
      <c r="P22" s="45">
        <v>14</v>
      </c>
      <c r="Q22" s="45">
        <v>14</v>
      </c>
      <c r="R22" s="45">
        <v>14</v>
      </c>
      <c r="S22" s="45">
        <v>14</v>
      </c>
      <c r="T22" s="45">
        <v>14</v>
      </c>
      <c r="U22" s="45">
        <v>14</v>
      </c>
      <c r="V22" s="45">
        <v>14</v>
      </c>
      <c r="W22" s="45">
        <v>14</v>
      </c>
      <c r="X22" s="45">
        <v>14</v>
      </c>
      <c r="Y22" s="45">
        <v>14</v>
      </c>
      <c r="Z22" s="45">
        <v>14</v>
      </c>
      <c r="AA22" s="45">
        <v>14</v>
      </c>
      <c r="AB22" s="45">
        <v>14</v>
      </c>
      <c r="AC22" s="45">
        <v>14</v>
      </c>
      <c r="AD22" s="45">
        <v>14</v>
      </c>
      <c r="AE22" s="45">
        <v>14</v>
      </c>
      <c r="AF22" s="45">
        <v>14</v>
      </c>
      <c r="AG22" s="51">
        <v>22.2</v>
      </c>
      <c r="AH22" s="48">
        <f t="shared" si="2"/>
        <v>14</v>
      </c>
      <c r="AI22" s="49">
        <f t="shared" si="3"/>
        <v>10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22</v>
      </c>
      <c r="C23" s="45">
        <v>22</v>
      </c>
      <c r="D23" s="45">
        <v>22</v>
      </c>
      <c r="E23" s="45">
        <v>22</v>
      </c>
      <c r="F23" s="45">
        <v>22</v>
      </c>
      <c r="G23" s="45">
        <v>22</v>
      </c>
      <c r="H23" s="45">
        <v>22</v>
      </c>
      <c r="I23" s="45">
        <v>22</v>
      </c>
      <c r="J23" s="45">
        <v>22</v>
      </c>
      <c r="K23" s="45">
        <v>22</v>
      </c>
      <c r="L23" s="45">
        <v>22</v>
      </c>
      <c r="M23" s="45">
        <v>22</v>
      </c>
      <c r="N23" s="45">
        <v>22</v>
      </c>
      <c r="O23" s="45">
        <v>22</v>
      </c>
      <c r="P23" s="45">
        <v>22</v>
      </c>
      <c r="Q23" s="45">
        <v>22</v>
      </c>
      <c r="R23" s="45">
        <v>22</v>
      </c>
      <c r="S23" s="45">
        <v>22</v>
      </c>
      <c r="T23" s="45">
        <v>22</v>
      </c>
      <c r="U23" s="45">
        <v>22</v>
      </c>
      <c r="V23" s="45">
        <v>22</v>
      </c>
      <c r="W23" s="45">
        <v>22</v>
      </c>
      <c r="X23" s="45">
        <v>22</v>
      </c>
      <c r="Y23" s="45">
        <v>22</v>
      </c>
      <c r="Z23" s="45">
        <v>22</v>
      </c>
      <c r="AA23" s="45">
        <v>22</v>
      </c>
      <c r="AB23" s="45">
        <v>22</v>
      </c>
      <c r="AC23" s="45">
        <v>22</v>
      </c>
      <c r="AD23" s="45">
        <v>22</v>
      </c>
      <c r="AE23" s="45">
        <v>22</v>
      </c>
      <c r="AF23" s="45">
        <v>22</v>
      </c>
      <c r="AG23" s="51">
        <v>22.1</v>
      </c>
      <c r="AH23" s="48">
        <f t="shared" si="2"/>
        <v>22</v>
      </c>
      <c r="AI23" s="49">
        <f t="shared" si="3"/>
        <v>22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22</v>
      </c>
      <c r="C24" s="45">
        <v>22</v>
      </c>
      <c r="D24" s="45">
        <v>22</v>
      </c>
      <c r="E24" s="45">
        <v>22</v>
      </c>
      <c r="F24" s="45">
        <v>22</v>
      </c>
      <c r="G24" s="45">
        <v>22</v>
      </c>
      <c r="H24" s="45">
        <v>22</v>
      </c>
      <c r="I24" s="45">
        <v>22</v>
      </c>
      <c r="J24" s="45">
        <v>22</v>
      </c>
      <c r="K24" s="45">
        <v>22</v>
      </c>
      <c r="L24" s="45">
        <v>22</v>
      </c>
      <c r="M24" s="45">
        <v>22</v>
      </c>
      <c r="N24" s="45">
        <v>22</v>
      </c>
      <c r="O24" s="45">
        <v>22</v>
      </c>
      <c r="P24" s="45">
        <v>22</v>
      </c>
      <c r="Q24" s="45">
        <v>22</v>
      </c>
      <c r="R24" s="45">
        <v>22</v>
      </c>
      <c r="S24" s="45">
        <v>22</v>
      </c>
      <c r="T24" s="45">
        <v>22</v>
      </c>
      <c r="U24" s="45">
        <v>22</v>
      </c>
      <c r="V24" s="45">
        <v>22</v>
      </c>
      <c r="W24" s="45">
        <v>22</v>
      </c>
      <c r="X24" s="45">
        <v>22</v>
      </c>
      <c r="Y24" s="45">
        <v>22</v>
      </c>
      <c r="Z24" s="45">
        <v>22</v>
      </c>
      <c r="AA24" s="45">
        <v>22</v>
      </c>
      <c r="AB24" s="45">
        <v>22</v>
      </c>
      <c r="AC24" s="45">
        <v>22</v>
      </c>
      <c r="AD24" s="45">
        <v>22</v>
      </c>
      <c r="AE24" s="45">
        <v>22</v>
      </c>
      <c r="AF24" s="45">
        <v>22</v>
      </c>
      <c r="AG24" s="51">
        <v>22</v>
      </c>
      <c r="AH24" s="48">
        <f t="shared" si="2"/>
        <v>22</v>
      </c>
      <c r="AI24" s="49">
        <f t="shared" si="3"/>
        <v>22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22</v>
      </c>
      <c r="C25" s="45">
        <v>22</v>
      </c>
      <c r="D25" s="45">
        <v>18</v>
      </c>
      <c r="E25" s="45">
        <v>18</v>
      </c>
      <c r="F25" s="45">
        <v>18</v>
      </c>
      <c r="G25" s="45">
        <v>18</v>
      </c>
      <c r="H25" s="45">
        <v>18</v>
      </c>
      <c r="I25" s="45">
        <v>18</v>
      </c>
      <c r="J25" s="45">
        <v>18</v>
      </c>
      <c r="K25" s="45">
        <v>18</v>
      </c>
      <c r="L25" s="45">
        <v>18</v>
      </c>
      <c r="M25" s="45">
        <v>18</v>
      </c>
      <c r="N25" s="45">
        <v>18</v>
      </c>
      <c r="O25" s="45">
        <v>18</v>
      </c>
      <c r="P25" s="45">
        <v>18</v>
      </c>
      <c r="Q25" s="45">
        <v>18</v>
      </c>
      <c r="R25" s="45">
        <v>18</v>
      </c>
      <c r="S25" s="45">
        <v>18</v>
      </c>
      <c r="T25" s="45">
        <v>18</v>
      </c>
      <c r="U25" s="45">
        <v>18</v>
      </c>
      <c r="V25" s="45">
        <v>18</v>
      </c>
      <c r="W25" s="45">
        <v>18</v>
      </c>
      <c r="X25" s="45">
        <v>18</v>
      </c>
      <c r="Y25" s="45">
        <v>18</v>
      </c>
      <c r="Z25" s="45">
        <v>18</v>
      </c>
      <c r="AA25" s="45">
        <v>18</v>
      </c>
      <c r="AB25" s="45">
        <v>18</v>
      </c>
      <c r="AC25" s="45">
        <v>18</v>
      </c>
      <c r="AD25" s="45">
        <v>18</v>
      </c>
      <c r="AE25" s="45">
        <v>18</v>
      </c>
      <c r="AF25" s="45">
        <v>18</v>
      </c>
      <c r="AG25" s="51">
        <v>22</v>
      </c>
      <c r="AH25" s="48">
        <f t="shared" si="2"/>
        <v>22</v>
      </c>
      <c r="AI25" s="49">
        <f t="shared" si="3"/>
        <v>18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10</v>
      </c>
      <c r="X26" s="45">
        <v>10</v>
      </c>
      <c r="Y26" s="45">
        <v>10</v>
      </c>
      <c r="Z26" s="45">
        <v>10</v>
      </c>
      <c r="AA26" s="45">
        <v>10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>
        <v>14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14.9</v>
      </c>
      <c r="AH27" s="48">
        <f t="shared" si="2"/>
        <v>14</v>
      </c>
      <c r="AI27" s="49">
        <f t="shared" si="3"/>
        <v>14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51">
        <v>13.6</v>
      </c>
      <c r="AH28" s="48">
        <f t="shared" si="2"/>
        <v>6</v>
      </c>
      <c r="AI28" s="49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6</v>
      </c>
      <c r="C29" s="45">
        <v>6</v>
      </c>
      <c r="D29" s="45">
        <v>6</v>
      </c>
      <c r="E29" s="45">
        <v>6</v>
      </c>
      <c r="F29" s="45">
        <v>6</v>
      </c>
      <c r="G29" s="45">
        <v>6</v>
      </c>
      <c r="H29" s="45">
        <v>6</v>
      </c>
      <c r="I29" s="45">
        <v>6</v>
      </c>
      <c r="J29" s="45">
        <v>6</v>
      </c>
      <c r="K29" s="45">
        <v>6</v>
      </c>
      <c r="L29" s="45">
        <v>13</v>
      </c>
      <c r="M29" s="45">
        <v>13</v>
      </c>
      <c r="N29" s="45">
        <v>13</v>
      </c>
      <c r="O29" s="45">
        <v>13</v>
      </c>
      <c r="P29" s="45">
        <v>13</v>
      </c>
      <c r="Q29" s="45">
        <v>13</v>
      </c>
      <c r="R29" s="45">
        <v>13</v>
      </c>
      <c r="S29" s="45">
        <v>13</v>
      </c>
      <c r="T29" s="45">
        <v>13</v>
      </c>
      <c r="U29" s="45">
        <v>13</v>
      </c>
      <c r="V29" s="45">
        <v>13</v>
      </c>
      <c r="W29" s="45">
        <v>13</v>
      </c>
      <c r="X29" s="45">
        <v>13</v>
      </c>
      <c r="Y29" s="45">
        <v>13</v>
      </c>
      <c r="Z29" s="45">
        <v>13</v>
      </c>
      <c r="AA29" s="45">
        <v>13</v>
      </c>
      <c r="AB29" s="45">
        <v>13</v>
      </c>
      <c r="AC29" s="45">
        <v>13</v>
      </c>
      <c r="AD29" s="45">
        <v>13</v>
      </c>
      <c r="AE29" s="45">
        <v>13</v>
      </c>
      <c r="AF29" s="45">
        <v>5</v>
      </c>
      <c r="AG29" s="51">
        <v>13</v>
      </c>
      <c r="AH29" s="48">
        <f t="shared" si="2"/>
        <v>13</v>
      </c>
      <c r="AI29" s="49">
        <f t="shared" si="3"/>
        <v>5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12</v>
      </c>
      <c r="C30" s="45">
        <v>12</v>
      </c>
      <c r="D30" s="45">
        <v>12</v>
      </c>
      <c r="E30" s="45">
        <v>12</v>
      </c>
      <c r="F30" s="45">
        <v>12</v>
      </c>
      <c r="G30" s="45">
        <v>12</v>
      </c>
      <c r="H30" s="45">
        <v>12</v>
      </c>
      <c r="I30" s="45">
        <v>12</v>
      </c>
      <c r="J30" s="45">
        <v>12</v>
      </c>
      <c r="K30" s="45">
        <v>12</v>
      </c>
      <c r="L30" s="45">
        <v>12</v>
      </c>
      <c r="M30" s="45">
        <v>6</v>
      </c>
      <c r="N30" s="45">
        <v>6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6</v>
      </c>
      <c r="W30" s="45">
        <v>6</v>
      </c>
      <c r="X30" s="45">
        <v>12</v>
      </c>
      <c r="Y30" s="45">
        <v>12</v>
      </c>
      <c r="Z30" s="45">
        <v>12</v>
      </c>
      <c r="AA30" s="45">
        <v>5</v>
      </c>
      <c r="AB30" s="45">
        <v>5</v>
      </c>
      <c r="AC30" s="45">
        <v>0</v>
      </c>
      <c r="AD30" s="45">
        <v>0</v>
      </c>
      <c r="AE30" s="45">
        <v>0</v>
      </c>
      <c r="AF30" s="45">
        <v>0</v>
      </c>
      <c r="AG30" s="51">
        <v>12</v>
      </c>
      <c r="AH30" s="48">
        <f t="shared" si="2"/>
        <v>12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8</v>
      </c>
      <c r="C31" s="45">
        <v>8</v>
      </c>
      <c r="D31" s="45">
        <v>8</v>
      </c>
      <c r="E31" s="45">
        <v>8</v>
      </c>
      <c r="F31" s="45">
        <v>8</v>
      </c>
      <c r="G31" s="45">
        <v>8</v>
      </c>
      <c r="H31" s="45">
        <v>8</v>
      </c>
      <c r="I31" s="45">
        <v>8</v>
      </c>
      <c r="J31" s="45">
        <v>8</v>
      </c>
      <c r="K31" s="45">
        <v>8</v>
      </c>
      <c r="L31" s="45">
        <v>8</v>
      </c>
      <c r="M31" s="45">
        <v>8</v>
      </c>
      <c r="N31" s="45">
        <v>8</v>
      </c>
      <c r="O31" s="45">
        <v>8</v>
      </c>
      <c r="P31" s="45">
        <v>8</v>
      </c>
      <c r="Q31" s="45">
        <v>8</v>
      </c>
      <c r="R31" s="45">
        <v>8</v>
      </c>
      <c r="S31" s="45">
        <v>8</v>
      </c>
      <c r="T31" s="45">
        <v>8</v>
      </c>
      <c r="U31" s="45">
        <v>8</v>
      </c>
      <c r="V31" s="45">
        <v>8</v>
      </c>
      <c r="W31" s="45">
        <v>8</v>
      </c>
      <c r="X31" s="45">
        <v>8</v>
      </c>
      <c r="Y31" s="45">
        <v>8</v>
      </c>
      <c r="Z31" s="45">
        <v>8</v>
      </c>
      <c r="AA31" s="45">
        <v>8</v>
      </c>
      <c r="AB31" s="45">
        <v>8</v>
      </c>
      <c r="AC31" s="45">
        <v>8</v>
      </c>
      <c r="AD31" s="45">
        <v>8</v>
      </c>
      <c r="AE31" s="45">
        <v>8</v>
      </c>
      <c r="AF31" s="45">
        <v>8</v>
      </c>
      <c r="AG31" s="51">
        <v>12</v>
      </c>
      <c r="AH31" s="48">
        <f t="shared" si="2"/>
        <v>8</v>
      </c>
      <c r="AI31" s="49">
        <f t="shared" si="3"/>
        <v>8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</v>
      </c>
      <c r="C32" s="45">
        <v>2</v>
      </c>
      <c r="D32" s="45">
        <v>2</v>
      </c>
      <c r="E32" s="45">
        <v>2</v>
      </c>
      <c r="F32" s="45">
        <v>2</v>
      </c>
      <c r="G32" s="45">
        <v>2</v>
      </c>
      <c r="H32" s="45">
        <v>2</v>
      </c>
      <c r="I32" s="45">
        <v>2</v>
      </c>
      <c r="J32" s="45">
        <v>2</v>
      </c>
      <c r="K32" s="45">
        <v>2</v>
      </c>
      <c r="L32" s="45">
        <v>2</v>
      </c>
      <c r="M32" s="45">
        <v>2</v>
      </c>
      <c r="N32" s="45">
        <v>2</v>
      </c>
      <c r="O32" s="45">
        <v>8</v>
      </c>
      <c r="P32" s="45">
        <v>8</v>
      </c>
      <c r="Q32" s="45">
        <v>8</v>
      </c>
      <c r="R32" s="45">
        <v>8</v>
      </c>
      <c r="S32" s="45">
        <v>8</v>
      </c>
      <c r="T32" s="45">
        <v>8</v>
      </c>
      <c r="U32" s="45">
        <v>8</v>
      </c>
      <c r="V32" s="45">
        <v>8</v>
      </c>
      <c r="W32" s="45">
        <v>8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1">
        <v>12</v>
      </c>
      <c r="AH32" s="48">
        <f t="shared" si="2"/>
        <v>8</v>
      </c>
      <c r="AI32" s="49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8</v>
      </c>
      <c r="C33" s="45">
        <v>8</v>
      </c>
      <c r="D33" s="45">
        <v>8</v>
      </c>
      <c r="E33" s="45">
        <v>8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3">
        <v>22</v>
      </c>
      <c r="AH33" s="48">
        <f t="shared" si="2"/>
        <v>8</v>
      </c>
      <c r="AI33" s="49">
        <f t="shared" si="3"/>
        <v>8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6</v>
      </c>
      <c r="C34" s="45">
        <v>6</v>
      </c>
      <c r="D34" s="45">
        <v>6</v>
      </c>
      <c r="E34" s="45">
        <v>6</v>
      </c>
      <c r="F34" s="45">
        <v>6</v>
      </c>
      <c r="G34" s="45">
        <v>6</v>
      </c>
      <c r="H34" s="45">
        <v>6</v>
      </c>
      <c r="I34" s="45">
        <v>6</v>
      </c>
      <c r="J34" s="45">
        <v>6</v>
      </c>
      <c r="K34" s="45">
        <v>6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10</v>
      </c>
      <c r="X34" s="45">
        <v>10</v>
      </c>
      <c r="Y34" s="45">
        <v>10</v>
      </c>
      <c r="Z34" s="45">
        <v>10</v>
      </c>
      <c r="AA34" s="45">
        <v>10</v>
      </c>
      <c r="AB34" s="45">
        <v>10</v>
      </c>
      <c r="AC34" s="45">
        <v>10</v>
      </c>
      <c r="AD34" s="45">
        <v>10</v>
      </c>
      <c r="AE34" s="45">
        <v>10</v>
      </c>
      <c r="AF34" s="45">
        <v>10</v>
      </c>
      <c r="AG34" s="52">
        <v>11.88</v>
      </c>
      <c r="AH34" s="48">
        <f t="shared" si="2"/>
        <v>10</v>
      </c>
      <c r="AI34" s="49">
        <f t="shared" si="3"/>
        <v>0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9</v>
      </c>
      <c r="N35" s="45">
        <v>9</v>
      </c>
      <c r="O35" s="45">
        <v>9</v>
      </c>
      <c r="P35" s="45">
        <v>9</v>
      </c>
      <c r="Q35" s="45">
        <v>9</v>
      </c>
      <c r="R35" s="45">
        <v>9</v>
      </c>
      <c r="S35" s="45">
        <v>9</v>
      </c>
      <c r="T35" s="45">
        <v>9</v>
      </c>
      <c r="U35" s="45">
        <v>9</v>
      </c>
      <c r="V35" s="45">
        <v>9</v>
      </c>
      <c r="W35" s="45">
        <v>9</v>
      </c>
      <c r="X35" s="45">
        <v>9</v>
      </c>
      <c r="Y35" s="45">
        <v>9</v>
      </c>
      <c r="Z35" s="45">
        <v>9</v>
      </c>
      <c r="AA35" s="45">
        <v>9</v>
      </c>
      <c r="AB35" s="45">
        <v>9</v>
      </c>
      <c r="AC35" s="45">
        <v>9</v>
      </c>
      <c r="AD35" s="45">
        <v>9</v>
      </c>
      <c r="AE35" s="45">
        <v>9</v>
      </c>
      <c r="AF35" s="45">
        <v>9</v>
      </c>
      <c r="AG35" s="55">
        <v>11</v>
      </c>
      <c r="AH35" s="48">
        <f t="shared" si="2"/>
        <v>10</v>
      </c>
      <c r="AI35" s="49">
        <f t="shared" si="3"/>
        <v>9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8</v>
      </c>
      <c r="C36" s="45">
        <v>8</v>
      </c>
      <c r="D36" s="45">
        <v>8</v>
      </c>
      <c r="E36" s="45">
        <v>8</v>
      </c>
      <c r="F36" s="45">
        <v>8</v>
      </c>
      <c r="G36" s="45">
        <v>8</v>
      </c>
      <c r="H36" s="45">
        <v>8</v>
      </c>
      <c r="I36" s="45">
        <v>8</v>
      </c>
      <c r="J36" s="45">
        <v>8</v>
      </c>
      <c r="K36" s="45">
        <v>8</v>
      </c>
      <c r="L36" s="45">
        <v>8</v>
      </c>
      <c r="M36" s="45">
        <v>8</v>
      </c>
      <c r="N36" s="45">
        <v>8</v>
      </c>
      <c r="O36" s="45">
        <v>8</v>
      </c>
      <c r="P36" s="45">
        <v>8</v>
      </c>
      <c r="Q36" s="45">
        <v>8</v>
      </c>
      <c r="R36" s="45">
        <v>8</v>
      </c>
      <c r="S36" s="45">
        <v>8</v>
      </c>
      <c r="T36" s="45">
        <v>8</v>
      </c>
      <c r="U36" s="45">
        <v>8</v>
      </c>
      <c r="V36" s="45">
        <v>8</v>
      </c>
      <c r="W36" s="45">
        <v>8</v>
      </c>
      <c r="X36" s="45">
        <v>8</v>
      </c>
      <c r="Y36" s="45">
        <v>8</v>
      </c>
      <c r="Z36" s="45">
        <v>8</v>
      </c>
      <c r="AA36" s="45">
        <v>8</v>
      </c>
      <c r="AB36" s="45">
        <v>8</v>
      </c>
      <c r="AC36" s="45">
        <v>8</v>
      </c>
      <c r="AD36" s="45">
        <v>8</v>
      </c>
      <c r="AE36" s="45">
        <v>8</v>
      </c>
      <c r="AF36" s="45">
        <v>8</v>
      </c>
      <c r="AG36" s="55">
        <v>10</v>
      </c>
      <c r="AH36" s="48">
        <f t="shared" si="2"/>
        <v>8</v>
      </c>
      <c r="AI36" s="49">
        <f t="shared" si="3"/>
        <v>8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2</v>
      </c>
      <c r="N37" s="45">
        <v>2</v>
      </c>
      <c r="O37" s="45">
        <v>2</v>
      </c>
      <c r="P37" s="45">
        <v>2</v>
      </c>
      <c r="Q37" s="45">
        <v>2</v>
      </c>
      <c r="R37" s="45">
        <v>2</v>
      </c>
      <c r="S37" s="45">
        <v>2</v>
      </c>
      <c r="T37" s="45">
        <v>2</v>
      </c>
      <c r="U37" s="45">
        <v>2</v>
      </c>
      <c r="V37" s="45">
        <v>2</v>
      </c>
      <c r="W37" s="45">
        <v>2</v>
      </c>
      <c r="X37" s="45">
        <v>2</v>
      </c>
      <c r="Y37" s="45">
        <v>2</v>
      </c>
      <c r="Z37" s="45">
        <v>2</v>
      </c>
      <c r="AA37" s="45">
        <v>2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2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260</v>
      </c>
      <c r="C38" s="57">
        <v>260</v>
      </c>
      <c r="D38" s="57">
        <v>260</v>
      </c>
      <c r="E38" s="57">
        <v>260</v>
      </c>
      <c r="F38" s="57">
        <v>260</v>
      </c>
      <c r="G38" s="57">
        <v>260</v>
      </c>
      <c r="H38" s="57">
        <v>260</v>
      </c>
      <c r="I38" s="57">
        <v>260</v>
      </c>
      <c r="J38" s="57">
        <v>260</v>
      </c>
      <c r="K38" s="57">
        <v>260</v>
      </c>
      <c r="L38" s="57">
        <v>300</v>
      </c>
      <c r="M38" s="57">
        <v>300</v>
      </c>
      <c r="N38" s="57">
        <v>300</v>
      </c>
      <c r="O38" s="57">
        <v>300</v>
      </c>
      <c r="P38" s="57">
        <v>300</v>
      </c>
      <c r="Q38" s="57">
        <v>300</v>
      </c>
      <c r="R38" s="57">
        <v>300</v>
      </c>
      <c r="S38" s="57">
        <v>300</v>
      </c>
      <c r="T38" s="57">
        <v>300</v>
      </c>
      <c r="U38" s="57">
        <v>300</v>
      </c>
      <c r="V38" s="57">
        <v>300</v>
      </c>
      <c r="W38" s="57">
        <v>300</v>
      </c>
      <c r="X38" s="57">
        <v>300</v>
      </c>
      <c r="Y38" s="57">
        <v>300</v>
      </c>
      <c r="Z38" s="57">
        <v>300</v>
      </c>
      <c r="AA38" s="57">
        <v>300</v>
      </c>
      <c r="AB38" s="57">
        <v>300</v>
      </c>
      <c r="AC38" s="57">
        <v>300</v>
      </c>
      <c r="AD38" s="57">
        <v>300</v>
      </c>
      <c r="AE38" s="57">
        <v>300</v>
      </c>
      <c r="AF38" s="57">
        <v>300</v>
      </c>
      <c r="AG38" s="55">
        <v>85</v>
      </c>
      <c r="AH38" s="48">
        <f t="shared" si="2"/>
        <v>300</v>
      </c>
      <c r="AI38" s="49">
        <f t="shared" si="3"/>
        <v>260</v>
      </c>
      <c r="AK38" s="50"/>
    </row>
    <row r="39" spans="1:88" ht="15.75" thickBot="1" x14ac:dyDescent="0.3">
      <c r="A39" s="58" t="s">
        <v>47</v>
      </c>
      <c r="B39" s="59">
        <v>140.9</v>
      </c>
      <c r="C39" s="59">
        <v>150</v>
      </c>
      <c r="D39" s="59">
        <v>150</v>
      </c>
      <c r="E39" s="59">
        <f>84.5+66.8</f>
        <v>151.30000000000001</v>
      </c>
      <c r="F39" s="59">
        <f>84.1+66.1</f>
        <v>150.19999999999999</v>
      </c>
      <c r="G39" s="59">
        <f>83.5+65.8</f>
        <v>149.30000000000001</v>
      </c>
      <c r="H39" s="59">
        <f>84+47.6</f>
        <v>131.6</v>
      </c>
      <c r="I39" s="59">
        <f>83.9+48.1</f>
        <v>132</v>
      </c>
      <c r="J39" s="59">
        <f>83.5+65.8</f>
        <v>149.30000000000001</v>
      </c>
      <c r="K39" s="59">
        <f>84.8+67.9</f>
        <v>152.69999999999999</v>
      </c>
      <c r="L39" s="57">
        <f>83.5+67.6</f>
        <v>151.1</v>
      </c>
      <c r="M39" s="57">
        <f>67.8+82</f>
        <v>149.80000000000001</v>
      </c>
      <c r="N39" s="57">
        <f>67.8+82</f>
        <v>149.80000000000001</v>
      </c>
      <c r="O39" s="57">
        <f>67.8+83</f>
        <v>150.80000000000001</v>
      </c>
      <c r="P39" s="57">
        <f>68+83.6</f>
        <v>151.6</v>
      </c>
      <c r="Q39" s="57">
        <v>150</v>
      </c>
      <c r="R39" s="57">
        <f>79.8+66.2</f>
        <v>146</v>
      </c>
      <c r="S39" s="59">
        <f>65.5+83.4</f>
        <v>148.9</v>
      </c>
      <c r="T39" s="59">
        <f>65+60.4</f>
        <v>125.4</v>
      </c>
      <c r="U39" s="59">
        <v>140</v>
      </c>
      <c r="V39" s="59">
        <v>140</v>
      </c>
      <c r="W39" s="59">
        <v>140</v>
      </c>
      <c r="X39" s="59">
        <v>133</v>
      </c>
      <c r="Y39" s="59">
        <v>133</v>
      </c>
      <c r="Z39" s="59">
        <v>133</v>
      </c>
      <c r="AA39" s="59">
        <v>133</v>
      </c>
      <c r="AB39" s="59">
        <f>57.2+81</f>
        <v>138.19999999999999</v>
      </c>
      <c r="AC39" s="59">
        <f>61.4+81</f>
        <v>142.4</v>
      </c>
      <c r="AD39" s="59">
        <f>65+81</f>
        <v>146</v>
      </c>
      <c r="AE39" s="59">
        <f>65+81</f>
        <v>146</v>
      </c>
      <c r="AF39" s="59">
        <f>66.4+83.4</f>
        <v>149.80000000000001</v>
      </c>
      <c r="AG39" s="55">
        <v>240</v>
      </c>
      <c r="AH39" s="48">
        <f t="shared" si="2"/>
        <v>152.69999999999999</v>
      </c>
      <c r="AI39" s="49">
        <f t="shared" si="3"/>
        <v>125.4</v>
      </c>
      <c r="AK39" s="50"/>
    </row>
    <row r="40" spans="1:88" ht="15.75" thickBot="1" x14ac:dyDescent="0.3">
      <c r="A40" s="60" t="s">
        <v>48</v>
      </c>
      <c r="B40" s="61">
        <f t="shared" ref="B40:AG40" si="4">SUM(B11:B38)</f>
        <v>664.4</v>
      </c>
      <c r="C40" s="61">
        <f t="shared" si="4"/>
        <v>664.4</v>
      </c>
      <c r="D40" s="61">
        <f t="shared" si="4"/>
        <v>660.4</v>
      </c>
      <c r="E40" s="61">
        <f t="shared" si="4"/>
        <v>657.9</v>
      </c>
      <c r="F40" s="61">
        <f t="shared" si="4"/>
        <v>657.9</v>
      </c>
      <c r="G40" s="61">
        <f t="shared" si="4"/>
        <v>657.9</v>
      </c>
      <c r="H40" s="61">
        <f t="shared" si="4"/>
        <v>657.9</v>
      </c>
      <c r="I40" s="61">
        <f t="shared" si="4"/>
        <v>657.9</v>
      </c>
      <c r="J40" s="61">
        <f t="shared" si="4"/>
        <v>657.9</v>
      </c>
      <c r="K40" s="61">
        <f t="shared" si="4"/>
        <v>690.2</v>
      </c>
      <c r="L40" s="61">
        <f t="shared" si="4"/>
        <v>752.1</v>
      </c>
      <c r="M40" s="61">
        <f t="shared" si="4"/>
        <v>757.4</v>
      </c>
      <c r="N40" s="61">
        <f t="shared" si="4"/>
        <v>732.59999999999991</v>
      </c>
      <c r="O40" s="61">
        <f t="shared" si="4"/>
        <v>727.9</v>
      </c>
      <c r="P40" s="61">
        <f t="shared" si="4"/>
        <v>727.9</v>
      </c>
      <c r="Q40" s="61">
        <f t="shared" si="4"/>
        <v>716.7</v>
      </c>
      <c r="R40" s="61">
        <f t="shared" si="4"/>
        <v>716.7</v>
      </c>
      <c r="S40" s="61">
        <f t="shared" si="4"/>
        <v>717.5</v>
      </c>
      <c r="T40" s="61">
        <f t="shared" si="4"/>
        <v>717.5</v>
      </c>
      <c r="U40" s="61">
        <f t="shared" si="4"/>
        <v>717.5</v>
      </c>
      <c r="V40" s="61">
        <f t="shared" si="4"/>
        <v>743.1</v>
      </c>
      <c r="W40" s="61">
        <f t="shared" si="4"/>
        <v>783.1</v>
      </c>
      <c r="X40" s="61">
        <f t="shared" si="4"/>
        <v>831.9</v>
      </c>
      <c r="Y40" s="61">
        <f t="shared" si="4"/>
        <v>831.9</v>
      </c>
      <c r="Z40" s="61">
        <f t="shared" si="4"/>
        <v>820.9</v>
      </c>
      <c r="AA40" s="61">
        <f t="shared" si="4"/>
        <v>763.9</v>
      </c>
      <c r="AB40" s="61">
        <f t="shared" si="4"/>
        <v>740.9</v>
      </c>
      <c r="AC40" s="61">
        <f t="shared" si="4"/>
        <v>717</v>
      </c>
      <c r="AD40" s="61">
        <f t="shared" si="4"/>
        <v>717</v>
      </c>
      <c r="AE40" s="61">
        <f t="shared" si="4"/>
        <v>713</v>
      </c>
      <c r="AF40" s="61">
        <f t="shared" si="4"/>
        <v>705</v>
      </c>
      <c r="AG40" s="62">
        <f t="shared" si="4"/>
        <v>707.78000000000009</v>
      </c>
      <c r="AH40" s="48">
        <f t="shared" si="2"/>
        <v>831.9</v>
      </c>
      <c r="AI40" s="49">
        <f t="shared" si="3"/>
        <v>657.9</v>
      </c>
      <c r="AK40" s="50"/>
    </row>
    <row r="41" spans="1:88" x14ac:dyDescent="0.25">
      <c r="A41" s="6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2">
        <v>456</v>
      </c>
      <c r="AH41" s="48">
        <f t="shared" si="2"/>
        <v>0</v>
      </c>
      <c r="AI41" s="49">
        <f t="shared" si="3"/>
        <v>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50</v>
      </c>
      <c r="S42" s="65">
        <v>50</v>
      </c>
      <c r="T42" s="65">
        <v>50</v>
      </c>
      <c r="U42" s="65">
        <v>50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50</v>
      </c>
      <c r="AK42" s="50"/>
    </row>
    <row r="43" spans="1:88" ht="15.75" thickBot="1" x14ac:dyDescent="0.3">
      <c r="A43" s="66" t="s">
        <v>51</v>
      </c>
      <c r="B43" s="67">
        <v>19</v>
      </c>
      <c r="C43" s="67">
        <v>19</v>
      </c>
      <c r="D43" s="67">
        <v>19</v>
      </c>
      <c r="E43" s="67">
        <v>19.3</v>
      </c>
      <c r="F43" s="67">
        <v>19.3</v>
      </c>
      <c r="G43" s="67">
        <v>19.3</v>
      </c>
      <c r="H43" s="67">
        <v>19.2</v>
      </c>
      <c r="I43" s="67">
        <v>19.3</v>
      </c>
      <c r="J43" s="67">
        <v>19.3</v>
      </c>
      <c r="K43" s="67">
        <v>22</v>
      </c>
      <c r="L43" s="67">
        <v>22</v>
      </c>
      <c r="M43" s="67">
        <v>22.5</v>
      </c>
      <c r="N43" s="67">
        <v>22.5</v>
      </c>
      <c r="O43" s="67">
        <v>22.5</v>
      </c>
      <c r="P43" s="67">
        <v>22.5</v>
      </c>
      <c r="Q43" s="67">
        <v>22.5</v>
      </c>
      <c r="R43" s="67">
        <v>22.5</v>
      </c>
      <c r="S43" s="67">
        <v>22.5</v>
      </c>
      <c r="T43" s="67">
        <v>22.5</v>
      </c>
      <c r="U43" s="67">
        <v>22.5</v>
      </c>
      <c r="V43" s="67">
        <v>22.5</v>
      </c>
      <c r="W43" s="67">
        <v>22.5</v>
      </c>
      <c r="X43" s="67">
        <v>22.5</v>
      </c>
      <c r="Y43" s="67">
        <v>22.5</v>
      </c>
      <c r="Z43" s="67">
        <v>22.5</v>
      </c>
      <c r="AA43" s="67">
        <v>22.5</v>
      </c>
      <c r="AB43" s="67">
        <v>22.5</v>
      </c>
      <c r="AC43" s="67">
        <v>22.5</v>
      </c>
      <c r="AD43" s="67">
        <v>22.5</v>
      </c>
      <c r="AE43" s="67">
        <v>22.5</v>
      </c>
      <c r="AF43" s="67">
        <v>22.5</v>
      </c>
      <c r="AG43" s="68">
        <v>22.1</v>
      </c>
      <c r="AH43" s="48">
        <f t="shared" si="2"/>
        <v>22.5</v>
      </c>
      <c r="AI43" s="49">
        <f t="shared" si="3"/>
        <v>19</v>
      </c>
      <c r="AK43" s="50"/>
    </row>
    <row r="44" spans="1:88" ht="15.75" thickBot="1" x14ac:dyDescent="0.3">
      <c r="A44" s="69" t="s">
        <v>52</v>
      </c>
      <c r="B44" s="61">
        <f t="shared" ref="B44:AG44" si="5">SUM(B41:B43)</f>
        <v>79</v>
      </c>
      <c r="C44" s="61">
        <f t="shared" si="5"/>
        <v>79</v>
      </c>
      <c r="D44" s="61">
        <f t="shared" si="5"/>
        <v>79</v>
      </c>
      <c r="E44" s="61">
        <f t="shared" si="5"/>
        <v>79.3</v>
      </c>
      <c r="F44" s="61">
        <f t="shared" si="5"/>
        <v>79.3</v>
      </c>
      <c r="G44" s="61">
        <f t="shared" si="5"/>
        <v>79.3</v>
      </c>
      <c r="H44" s="61">
        <f t="shared" si="5"/>
        <v>79.2</v>
      </c>
      <c r="I44" s="61">
        <f t="shared" si="5"/>
        <v>79.3</v>
      </c>
      <c r="J44" s="61">
        <f t="shared" si="5"/>
        <v>79.3</v>
      </c>
      <c r="K44" s="61">
        <f t="shared" si="5"/>
        <v>82</v>
      </c>
      <c r="L44" s="61">
        <f t="shared" si="5"/>
        <v>82</v>
      </c>
      <c r="M44" s="61">
        <f t="shared" si="5"/>
        <v>82.5</v>
      </c>
      <c r="N44" s="61">
        <f t="shared" si="5"/>
        <v>82.5</v>
      </c>
      <c r="O44" s="61">
        <f t="shared" si="5"/>
        <v>82.5</v>
      </c>
      <c r="P44" s="61">
        <f t="shared" si="5"/>
        <v>82.5</v>
      </c>
      <c r="Q44" s="61">
        <f t="shared" si="5"/>
        <v>82.5</v>
      </c>
      <c r="R44" s="61">
        <f t="shared" si="5"/>
        <v>72.5</v>
      </c>
      <c r="S44" s="61">
        <f t="shared" si="5"/>
        <v>72.5</v>
      </c>
      <c r="T44" s="61">
        <f t="shared" si="5"/>
        <v>72.5</v>
      </c>
      <c r="U44" s="61">
        <f t="shared" si="5"/>
        <v>72.5</v>
      </c>
      <c r="V44" s="61">
        <f t="shared" si="5"/>
        <v>82.5</v>
      </c>
      <c r="W44" s="61">
        <f t="shared" si="5"/>
        <v>82.5</v>
      </c>
      <c r="X44" s="61">
        <f t="shared" si="5"/>
        <v>82.5</v>
      </c>
      <c r="Y44" s="61">
        <f t="shared" si="5"/>
        <v>82.5</v>
      </c>
      <c r="Z44" s="61">
        <f t="shared" si="5"/>
        <v>82.5</v>
      </c>
      <c r="AA44" s="61">
        <f t="shared" si="5"/>
        <v>82.5</v>
      </c>
      <c r="AB44" s="61">
        <f t="shared" si="5"/>
        <v>82.5</v>
      </c>
      <c r="AC44" s="61">
        <f t="shared" si="5"/>
        <v>82.5</v>
      </c>
      <c r="AD44" s="61">
        <f t="shared" si="5"/>
        <v>82.5</v>
      </c>
      <c r="AE44" s="61">
        <f t="shared" si="5"/>
        <v>82.5</v>
      </c>
      <c r="AF44" s="61">
        <f t="shared" si="5"/>
        <v>82.5</v>
      </c>
      <c r="AG44" s="62">
        <f t="shared" si="5"/>
        <v>538.1</v>
      </c>
      <c r="AH44" s="48">
        <f t="shared" si="2"/>
        <v>82.5</v>
      </c>
      <c r="AI44" s="49">
        <f t="shared" si="3"/>
        <v>72.5</v>
      </c>
      <c r="AK44" s="50"/>
    </row>
    <row r="45" spans="1:88" x14ac:dyDescent="0.25">
      <c r="A45" s="44" t="s">
        <v>53</v>
      </c>
      <c r="B45" s="45">
        <v>90</v>
      </c>
      <c r="C45" s="45">
        <v>80</v>
      </c>
      <c r="D45" s="45">
        <v>80</v>
      </c>
      <c r="E45" s="45">
        <v>80.900000000000006</v>
      </c>
      <c r="F45" s="45">
        <v>80.8</v>
      </c>
      <c r="G45" s="45">
        <v>90.8</v>
      </c>
      <c r="H45" s="45">
        <v>122</v>
      </c>
      <c r="I45" s="45">
        <v>126.4</v>
      </c>
      <c r="J45" s="45">
        <v>141.6</v>
      </c>
      <c r="K45" s="45">
        <v>142.6</v>
      </c>
      <c r="L45" s="45">
        <v>142.6</v>
      </c>
      <c r="M45" s="45">
        <v>143.5</v>
      </c>
      <c r="N45" s="45">
        <v>131.19999999999999</v>
      </c>
      <c r="O45" s="45">
        <v>131.19999999999999</v>
      </c>
      <c r="P45" s="45">
        <v>131.19999999999999</v>
      </c>
      <c r="Q45" s="45">
        <v>131.30000000000001</v>
      </c>
      <c r="R45" s="45">
        <v>131.30000000000001</v>
      </c>
      <c r="S45" s="45">
        <v>131.30000000000001</v>
      </c>
      <c r="T45" s="45">
        <v>140.5</v>
      </c>
      <c r="U45" s="45">
        <v>132</v>
      </c>
      <c r="V45" s="45">
        <v>140</v>
      </c>
      <c r="W45" s="45">
        <v>140</v>
      </c>
      <c r="X45" s="45">
        <v>140</v>
      </c>
      <c r="Y45" s="45">
        <v>140</v>
      </c>
      <c r="Z45" s="45">
        <v>140</v>
      </c>
      <c r="AA45" s="45">
        <v>140</v>
      </c>
      <c r="AB45" s="45">
        <v>140.30000000000001</v>
      </c>
      <c r="AC45" s="45">
        <v>132.19999999999999</v>
      </c>
      <c r="AD45" s="45">
        <v>121</v>
      </c>
      <c r="AE45" s="45">
        <v>91</v>
      </c>
      <c r="AF45" s="45">
        <v>85</v>
      </c>
      <c r="AG45" s="52">
        <v>144</v>
      </c>
      <c r="AH45" s="48">
        <f t="shared" si="2"/>
        <v>143.5</v>
      </c>
      <c r="AI45" s="49">
        <f t="shared" si="3"/>
        <v>80</v>
      </c>
      <c r="AK45" s="50"/>
    </row>
    <row r="46" spans="1:88" x14ac:dyDescent="0.25">
      <c r="A46" s="54" t="s">
        <v>54</v>
      </c>
      <c r="B46" s="65">
        <v>46</v>
      </c>
      <c r="C46" s="65">
        <v>46</v>
      </c>
      <c r="D46" s="65">
        <v>46</v>
      </c>
      <c r="E46" s="65">
        <v>45.6</v>
      </c>
      <c r="F46" s="65">
        <v>46</v>
      </c>
      <c r="G46" s="65">
        <v>46</v>
      </c>
      <c r="H46" s="65">
        <v>46.1</v>
      </c>
      <c r="I46" s="65">
        <v>46.5</v>
      </c>
      <c r="J46" s="65">
        <v>61.8</v>
      </c>
      <c r="K46" s="65">
        <v>73.400000000000006</v>
      </c>
      <c r="L46" s="65">
        <v>73.599999999999994</v>
      </c>
      <c r="M46" s="65">
        <v>71.7</v>
      </c>
      <c r="N46" s="65">
        <v>71.7</v>
      </c>
      <c r="O46" s="65">
        <v>71.7</v>
      </c>
      <c r="P46" s="65">
        <v>71.7</v>
      </c>
      <c r="Q46" s="45">
        <v>62</v>
      </c>
      <c r="R46" s="45">
        <v>62</v>
      </c>
      <c r="S46" s="45">
        <v>60.5</v>
      </c>
      <c r="T46" s="45">
        <v>62.2</v>
      </c>
      <c r="U46" s="65">
        <v>69</v>
      </c>
      <c r="V46" s="65">
        <v>70</v>
      </c>
      <c r="W46" s="65">
        <v>70</v>
      </c>
      <c r="X46" s="65">
        <v>71</v>
      </c>
      <c r="Y46" s="65">
        <v>71</v>
      </c>
      <c r="Z46" s="65">
        <v>71</v>
      </c>
      <c r="AA46" s="65">
        <v>71</v>
      </c>
      <c r="AB46" s="65">
        <v>69.900000000000006</v>
      </c>
      <c r="AC46" s="65">
        <v>62.1</v>
      </c>
      <c r="AD46" s="65">
        <v>62.1</v>
      </c>
      <c r="AE46" s="65">
        <v>45.4</v>
      </c>
      <c r="AF46" s="65">
        <v>24.9</v>
      </c>
      <c r="AG46" s="55">
        <v>70</v>
      </c>
      <c r="AH46" s="48">
        <f t="shared" si="2"/>
        <v>73.599999999999994</v>
      </c>
      <c r="AI46" s="49">
        <f t="shared" si="3"/>
        <v>24.9</v>
      </c>
      <c r="AK46" s="50"/>
    </row>
    <row r="47" spans="1:88" x14ac:dyDescent="0.25">
      <c r="A47" s="54" t="s">
        <v>55</v>
      </c>
      <c r="B47" s="65">
        <v>45</v>
      </c>
      <c r="C47" s="65">
        <v>36</v>
      </c>
      <c r="D47" s="65">
        <v>32</v>
      </c>
      <c r="E47" s="65">
        <v>32</v>
      </c>
      <c r="F47" s="65">
        <v>36.200000000000003</v>
      </c>
      <c r="G47" s="65">
        <v>43</v>
      </c>
      <c r="H47" s="65">
        <v>42.5</v>
      </c>
      <c r="I47" s="65">
        <v>57.8</v>
      </c>
      <c r="J47" s="65">
        <v>57.8</v>
      </c>
      <c r="K47" s="65">
        <v>70.099999999999994</v>
      </c>
      <c r="L47" s="65">
        <v>70.3</v>
      </c>
      <c r="M47" s="65">
        <v>65.400000000000006</v>
      </c>
      <c r="N47" s="65">
        <v>62</v>
      </c>
      <c r="O47" s="65">
        <v>53.2</v>
      </c>
      <c r="P47" s="65">
        <v>53.2</v>
      </c>
      <c r="Q47" s="45">
        <v>54.6</v>
      </c>
      <c r="R47" s="45">
        <v>54.6</v>
      </c>
      <c r="S47" s="45">
        <v>54.7</v>
      </c>
      <c r="T47" s="45">
        <v>65.2</v>
      </c>
      <c r="U47" s="65">
        <v>67</v>
      </c>
      <c r="V47" s="65">
        <v>70</v>
      </c>
      <c r="W47" s="65">
        <v>70</v>
      </c>
      <c r="X47" s="65">
        <v>70</v>
      </c>
      <c r="Y47" s="65">
        <v>70</v>
      </c>
      <c r="Z47" s="65">
        <v>70</v>
      </c>
      <c r="AA47" s="65">
        <v>70</v>
      </c>
      <c r="AB47" s="65">
        <v>70.8</v>
      </c>
      <c r="AC47" s="65">
        <v>70.8</v>
      </c>
      <c r="AD47" s="65">
        <v>51</v>
      </c>
      <c r="AE47" s="65">
        <v>50.7</v>
      </c>
      <c r="AF47" s="65">
        <v>35</v>
      </c>
      <c r="AG47" s="55">
        <v>69</v>
      </c>
      <c r="AH47" s="48">
        <f t="shared" si="2"/>
        <v>70.8</v>
      </c>
      <c r="AI47" s="49">
        <f t="shared" si="3"/>
        <v>32</v>
      </c>
      <c r="AK47" s="50"/>
    </row>
    <row r="48" spans="1:88" x14ac:dyDescent="0.25">
      <c r="A48" s="54" t="s">
        <v>56</v>
      </c>
      <c r="B48" s="57">
        <v>22</v>
      </c>
      <c r="C48" s="57">
        <v>22</v>
      </c>
      <c r="D48" s="57">
        <v>22</v>
      </c>
      <c r="E48" s="57">
        <v>23</v>
      </c>
      <c r="F48" s="57">
        <v>23</v>
      </c>
      <c r="G48" s="57">
        <v>54</v>
      </c>
      <c r="H48" s="57">
        <v>60</v>
      </c>
      <c r="I48" s="57">
        <v>60</v>
      </c>
      <c r="J48" s="57">
        <v>60</v>
      </c>
      <c r="K48" s="57">
        <v>60</v>
      </c>
      <c r="L48" s="57">
        <v>60</v>
      </c>
      <c r="M48" s="65">
        <v>60.2</v>
      </c>
      <c r="N48" s="65">
        <v>60.2</v>
      </c>
      <c r="O48" s="65">
        <v>60.2</v>
      </c>
      <c r="P48" s="65">
        <v>60.2</v>
      </c>
      <c r="Q48" s="45">
        <v>50.9</v>
      </c>
      <c r="R48" s="45">
        <v>50.9</v>
      </c>
      <c r="S48" s="45">
        <v>50.9</v>
      </c>
      <c r="T48" s="45">
        <v>55.4</v>
      </c>
      <c r="U48" s="45">
        <v>60</v>
      </c>
      <c r="V48" s="65">
        <v>60</v>
      </c>
      <c r="W48" s="65">
        <v>70</v>
      </c>
      <c r="X48" s="65">
        <v>70</v>
      </c>
      <c r="Y48" s="65">
        <v>70</v>
      </c>
      <c r="Z48" s="65">
        <v>70</v>
      </c>
      <c r="AA48" s="65">
        <v>70</v>
      </c>
      <c r="AB48" s="65">
        <v>60</v>
      </c>
      <c r="AC48" s="65">
        <v>60</v>
      </c>
      <c r="AD48" s="65">
        <v>40</v>
      </c>
      <c r="AE48" s="65">
        <v>30</v>
      </c>
      <c r="AF48" s="65">
        <v>30</v>
      </c>
      <c r="AG48" s="55">
        <v>60</v>
      </c>
      <c r="AH48" s="48">
        <f t="shared" si="2"/>
        <v>70</v>
      </c>
      <c r="AI48" s="49">
        <f t="shared" si="3"/>
        <v>22</v>
      </c>
      <c r="AK48" s="50"/>
    </row>
    <row r="49" spans="1:41" x14ac:dyDescent="0.25">
      <c r="A49" s="54" t="s">
        <v>57</v>
      </c>
      <c r="B49" s="57">
        <v>0</v>
      </c>
      <c r="C49" s="57">
        <v>15</v>
      </c>
      <c r="D49" s="57">
        <v>15</v>
      </c>
      <c r="E49" s="57">
        <v>13.5</v>
      </c>
      <c r="F49" s="57">
        <v>13.5</v>
      </c>
      <c r="G49" s="57">
        <v>13</v>
      </c>
      <c r="H49" s="57">
        <v>13</v>
      </c>
      <c r="I49" s="57">
        <v>13</v>
      </c>
      <c r="J49" s="57">
        <v>13</v>
      </c>
      <c r="K49" s="57">
        <v>30</v>
      </c>
      <c r="L49" s="57">
        <v>30</v>
      </c>
      <c r="M49" s="65">
        <v>30</v>
      </c>
      <c r="N49" s="65">
        <v>30</v>
      </c>
      <c r="O49" s="65">
        <v>25</v>
      </c>
      <c r="P49" s="65">
        <v>25</v>
      </c>
      <c r="Q49" s="45">
        <v>25.9</v>
      </c>
      <c r="R49" s="45">
        <v>25.9</v>
      </c>
      <c r="S49" s="45">
        <v>25.8</v>
      </c>
      <c r="T49" s="45">
        <v>25.8</v>
      </c>
      <c r="U49" s="45">
        <v>25.8</v>
      </c>
      <c r="V49" s="65">
        <v>13</v>
      </c>
      <c r="W49" s="65">
        <v>25</v>
      </c>
      <c r="X49" s="65">
        <v>25</v>
      </c>
      <c r="Y49" s="65">
        <v>30</v>
      </c>
      <c r="Z49" s="65">
        <v>30</v>
      </c>
      <c r="AA49" s="65">
        <v>25</v>
      </c>
      <c r="AB49" s="65">
        <v>25</v>
      </c>
      <c r="AC49" s="65">
        <v>13.5</v>
      </c>
      <c r="AD49" s="65">
        <v>13.5</v>
      </c>
      <c r="AE49" s="65">
        <v>13.5</v>
      </c>
      <c r="AF49" s="65">
        <v>13.9</v>
      </c>
      <c r="AG49" s="55">
        <v>30</v>
      </c>
      <c r="AH49" s="48">
        <f t="shared" si="2"/>
        <v>30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2</v>
      </c>
      <c r="N50" s="65">
        <v>8</v>
      </c>
      <c r="O50" s="65">
        <v>8</v>
      </c>
      <c r="P50" s="65">
        <v>8</v>
      </c>
      <c r="Q50" s="65">
        <v>8</v>
      </c>
      <c r="R50" s="65">
        <v>8</v>
      </c>
      <c r="S50" s="65">
        <v>8</v>
      </c>
      <c r="T50" s="65">
        <v>8</v>
      </c>
      <c r="U50" s="65">
        <v>8</v>
      </c>
      <c r="V50" s="45">
        <v>4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45">
        <v>0</v>
      </c>
      <c r="AC50" s="45">
        <v>0</v>
      </c>
      <c r="AD50" s="45">
        <v>0</v>
      </c>
      <c r="AE50" s="45">
        <v>0</v>
      </c>
      <c r="AF50" s="45">
        <v>0</v>
      </c>
      <c r="AG50" s="55">
        <v>25</v>
      </c>
      <c r="AH50" s="48">
        <f t="shared" si="2"/>
        <v>8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14</v>
      </c>
      <c r="C51" s="65">
        <v>10</v>
      </c>
      <c r="D51" s="65">
        <v>10</v>
      </c>
      <c r="E51" s="65">
        <v>10</v>
      </c>
      <c r="F51" s="65">
        <v>10</v>
      </c>
      <c r="G51" s="65">
        <v>10</v>
      </c>
      <c r="H51" s="65">
        <v>10</v>
      </c>
      <c r="I51" s="65">
        <v>10</v>
      </c>
      <c r="J51" s="65">
        <v>10</v>
      </c>
      <c r="K51" s="65">
        <v>10</v>
      </c>
      <c r="L51" s="65">
        <v>10</v>
      </c>
      <c r="M51" s="65">
        <v>14.4</v>
      </c>
      <c r="N51" s="65">
        <v>14.4</v>
      </c>
      <c r="O51" s="65">
        <v>14.4</v>
      </c>
      <c r="P51" s="65">
        <v>14.4</v>
      </c>
      <c r="Q51" s="65">
        <v>14.5</v>
      </c>
      <c r="R51" s="65">
        <v>14.5</v>
      </c>
      <c r="S51" s="65">
        <v>14.5</v>
      </c>
      <c r="T51" s="65">
        <v>14.5</v>
      </c>
      <c r="U51" s="65">
        <v>14.5</v>
      </c>
      <c r="V51" s="45">
        <v>14.6</v>
      </c>
      <c r="W51" s="45">
        <v>14.6</v>
      </c>
      <c r="X51" s="45">
        <v>14.6</v>
      </c>
      <c r="Y51" s="45">
        <v>14.6</v>
      </c>
      <c r="Z51" s="45">
        <v>14.6</v>
      </c>
      <c r="AA51" s="45">
        <v>14.6</v>
      </c>
      <c r="AB51" s="45">
        <v>14.6</v>
      </c>
      <c r="AC51" s="45">
        <v>14.6</v>
      </c>
      <c r="AD51" s="45">
        <v>14.6</v>
      </c>
      <c r="AE51" s="45">
        <v>14.6</v>
      </c>
      <c r="AF51" s="45">
        <v>14.6</v>
      </c>
      <c r="AG51" s="55">
        <v>24</v>
      </c>
      <c r="AH51" s="48">
        <f t="shared" si="2"/>
        <v>14.6</v>
      </c>
      <c r="AI51" s="49">
        <f t="shared" si="3"/>
        <v>10</v>
      </c>
      <c r="AK51" s="50"/>
    </row>
    <row r="52" spans="1:41" x14ac:dyDescent="0.25">
      <c r="A52" s="54" t="s">
        <v>60</v>
      </c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12.3</v>
      </c>
      <c r="C53" s="65">
        <v>12.3</v>
      </c>
      <c r="D53" s="65">
        <v>9.8000000000000007</v>
      </c>
      <c r="E53" s="65">
        <v>9.8000000000000007</v>
      </c>
      <c r="F53" s="65">
        <v>9.8000000000000007</v>
      </c>
      <c r="G53" s="65">
        <v>9.8000000000000007</v>
      </c>
      <c r="H53" s="65">
        <v>9.8000000000000007</v>
      </c>
      <c r="I53" s="65">
        <v>9.8000000000000007</v>
      </c>
      <c r="J53" s="65">
        <v>9.8000000000000007</v>
      </c>
      <c r="K53" s="65">
        <v>9.8000000000000007</v>
      </c>
      <c r="L53" s="65">
        <v>9.8000000000000007</v>
      </c>
      <c r="M53" s="65">
        <v>11.1</v>
      </c>
      <c r="N53" s="65">
        <v>11.1</v>
      </c>
      <c r="O53" s="65">
        <v>11.1</v>
      </c>
      <c r="P53" s="65">
        <v>11.1</v>
      </c>
      <c r="Q53" s="65">
        <v>11.6</v>
      </c>
      <c r="R53" s="65">
        <v>11.6</v>
      </c>
      <c r="S53" s="65">
        <v>11.6</v>
      </c>
      <c r="T53" s="65">
        <v>11.6</v>
      </c>
      <c r="U53" s="65">
        <v>11.6</v>
      </c>
      <c r="V53" s="65">
        <v>10.7</v>
      </c>
      <c r="W53" s="65">
        <v>10.7</v>
      </c>
      <c r="X53" s="65">
        <v>10.7</v>
      </c>
      <c r="Y53" s="65">
        <v>10.7</v>
      </c>
      <c r="Z53" s="65">
        <v>10.7</v>
      </c>
      <c r="AA53" s="65">
        <v>10.7</v>
      </c>
      <c r="AB53" s="65">
        <v>10.7</v>
      </c>
      <c r="AC53" s="65">
        <v>10.7</v>
      </c>
      <c r="AD53" s="65">
        <v>10.7</v>
      </c>
      <c r="AE53" s="65">
        <v>10.7</v>
      </c>
      <c r="AF53" s="65">
        <v>10.7</v>
      </c>
      <c r="AG53" s="55">
        <v>14.1</v>
      </c>
      <c r="AH53" s="48">
        <f t="shared" si="2"/>
        <v>12.3</v>
      </c>
      <c r="AI53" s="49">
        <f t="shared" si="3"/>
        <v>9.8000000000000007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7.2</v>
      </c>
      <c r="C54" s="65">
        <v>7.2</v>
      </c>
      <c r="D54" s="65">
        <v>7.2</v>
      </c>
      <c r="E54" s="65">
        <v>7.2</v>
      </c>
      <c r="F54" s="65">
        <v>7.2</v>
      </c>
      <c r="G54" s="65">
        <v>7.2</v>
      </c>
      <c r="H54" s="65">
        <v>7.2</v>
      </c>
      <c r="I54" s="65">
        <v>14</v>
      </c>
      <c r="J54" s="65">
        <v>14</v>
      </c>
      <c r="K54" s="65">
        <v>14</v>
      </c>
      <c r="L54" s="65">
        <v>14</v>
      </c>
      <c r="M54" s="65">
        <v>13.8</v>
      </c>
      <c r="N54" s="65">
        <v>13.8</v>
      </c>
      <c r="O54" s="65">
        <v>13.8</v>
      </c>
      <c r="P54" s="65">
        <v>7</v>
      </c>
      <c r="Q54" s="65">
        <v>7</v>
      </c>
      <c r="R54" s="65">
        <v>7</v>
      </c>
      <c r="S54" s="65">
        <v>7</v>
      </c>
      <c r="T54" s="65">
        <v>7</v>
      </c>
      <c r="U54" s="65">
        <v>7</v>
      </c>
      <c r="V54" s="65">
        <v>14</v>
      </c>
      <c r="W54" s="65">
        <v>14</v>
      </c>
      <c r="X54" s="65">
        <v>14</v>
      </c>
      <c r="Y54" s="65">
        <v>14</v>
      </c>
      <c r="Z54" s="65">
        <v>14</v>
      </c>
      <c r="AA54" s="65">
        <v>14</v>
      </c>
      <c r="AB54" s="65">
        <v>14</v>
      </c>
      <c r="AC54" s="65">
        <v>14</v>
      </c>
      <c r="AD54" s="65">
        <v>7.3</v>
      </c>
      <c r="AE54" s="65">
        <v>7.3</v>
      </c>
      <c r="AF54" s="65">
        <v>7.3</v>
      </c>
      <c r="AG54" s="55">
        <v>14</v>
      </c>
      <c r="AH54" s="48">
        <f t="shared" si="2"/>
        <v>14</v>
      </c>
      <c r="AI54" s="49">
        <f t="shared" si="3"/>
        <v>7</v>
      </c>
      <c r="AK54" s="50"/>
    </row>
    <row r="55" spans="1:41" x14ac:dyDescent="0.25">
      <c r="A55" s="54" t="s">
        <v>63</v>
      </c>
      <c r="B55" s="65">
        <v>6.8</v>
      </c>
      <c r="C55" s="65">
        <v>6.8</v>
      </c>
      <c r="D55" s="65">
        <v>6.8</v>
      </c>
      <c r="E55" s="65">
        <v>6.8</v>
      </c>
      <c r="F55" s="65">
        <v>6.8</v>
      </c>
      <c r="G55" s="65">
        <v>6.8</v>
      </c>
      <c r="H55" s="65">
        <v>6.8</v>
      </c>
      <c r="I55" s="65">
        <v>6.8</v>
      </c>
      <c r="J55" s="65">
        <v>6.8</v>
      </c>
      <c r="K55" s="65">
        <v>6.8</v>
      </c>
      <c r="L55" s="65">
        <v>6.8</v>
      </c>
      <c r="M55" s="65">
        <v>6.8</v>
      </c>
      <c r="N55" s="65">
        <v>6.8</v>
      </c>
      <c r="O55" s="65">
        <v>6.8</v>
      </c>
      <c r="P55" s="65">
        <v>6.8</v>
      </c>
      <c r="Q55" s="65">
        <v>6.7</v>
      </c>
      <c r="R55" s="65">
        <v>6.7</v>
      </c>
      <c r="S55" s="65">
        <v>6.7</v>
      </c>
      <c r="T55" s="65">
        <v>6.7</v>
      </c>
      <c r="U55" s="65">
        <v>6.7</v>
      </c>
      <c r="V55" s="65">
        <v>6.7</v>
      </c>
      <c r="W55" s="65">
        <v>6.7</v>
      </c>
      <c r="X55" s="65">
        <v>6.7</v>
      </c>
      <c r="Y55" s="65">
        <v>6.7</v>
      </c>
      <c r="Z55" s="65">
        <v>6.7</v>
      </c>
      <c r="AA55" s="65">
        <v>6.7</v>
      </c>
      <c r="AB55" s="65">
        <v>6.7</v>
      </c>
      <c r="AC55" s="65">
        <v>6.7</v>
      </c>
      <c r="AD55" s="65">
        <v>6.7</v>
      </c>
      <c r="AE55" s="65">
        <v>6.7</v>
      </c>
      <c r="AF55" s="65">
        <v>6.7</v>
      </c>
      <c r="AG55" s="55">
        <v>10.050000000000001</v>
      </c>
      <c r="AH55" s="48">
        <f t="shared" si="2"/>
        <v>6.8</v>
      </c>
      <c r="AI55" s="49">
        <f t="shared" si="3"/>
        <v>6.7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:AG58" si="6">SUM(B45:B57)</f>
        <v>253.04</v>
      </c>
      <c r="C58" s="61">
        <f t="shared" si="6"/>
        <v>245.04</v>
      </c>
      <c r="D58" s="61">
        <f t="shared" si="6"/>
        <v>238.54</v>
      </c>
      <c r="E58" s="61">
        <f t="shared" si="6"/>
        <v>238.54</v>
      </c>
      <c r="F58" s="61">
        <f t="shared" si="6"/>
        <v>243.04</v>
      </c>
      <c r="G58" s="61">
        <f t="shared" si="6"/>
        <v>290.34000000000003</v>
      </c>
      <c r="H58" s="61">
        <f t="shared" si="6"/>
        <v>327.14000000000004</v>
      </c>
      <c r="I58" s="61">
        <f t="shared" si="6"/>
        <v>354.04</v>
      </c>
      <c r="J58" s="61">
        <f t="shared" si="6"/>
        <v>384.54</v>
      </c>
      <c r="K58" s="61">
        <f t="shared" si="6"/>
        <v>426.44000000000005</v>
      </c>
      <c r="L58" s="61">
        <f t="shared" si="6"/>
        <v>426.84000000000003</v>
      </c>
      <c r="M58" s="61">
        <f t="shared" si="6"/>
        <v>428.64000000000004</v>
      </c>
      <c r="N58" s="61">
        <f t="shared" si="6"/>
        <v>418.94</v>
      </c>
      <c r="O58" s="61">
        <f t="shared" si="6"/>
        <v>405.14</v>
      </c>
      <c r="P58" s="61">
        <f t="shared" si="6"/>
        <v>398.34</v>
      </c>
      <c r="Q58" s="61">
        <f t="shared" si="6"/>
        <v>382.24</v>
      </c>
      <c r="R58" s="61">
        <f t="shared" si="6"/>
        <v>382.24</v>
      </c>
      <c r="S58" s="61">
        <f t="shared" si="6"/>
        <v>380.74</v>
      </c>
      <c r="T58" s="61">
        <f t="shared" si="6"/>
        <v>406.64</v>
      </c>
      <c r="U58" s="61">
        <f t="shared" si="6"/>
        <v>411.34000000000003</v>
      </c>
      <c r="V58" s="61">
        <f t="shared" si="6"/>
        <v>412.74</v>
      </c>
      <c r="W58" s="61">
        <f t="shared" si="6"/>
        <v>430.74</v>
      </c>
      <c r="X58" s="61">
        <f t="shared" si="6"/>
        <v>431.74</v>
      </c>
      <c r="Y58" s="61">
        <f t="shared" si="6"/>
        <v>436.74</v>
      </c>
      <c r="Z58" s="61">
        <f t="shared" si="6"/>
        <v>436.74</v>
      </c>
      <c r="AA58" s="61">
        <f t="shared" si="6"/>
        <v>431.74</v>
      </c>
      <c r="AB58" s="61">
        <f t="shared" si="6"/>
        <v>421.74</v>
      </c>
      <c r="AC58" s="61">
        <f t="shared" si="6"/>
        <v>394.34</v>
      </c>
      <c r="AD58" s="61">
        <f t="shared" si="6"/>
        <v>336.64000000000004</v>
      </c>
      <c r="AE58" s="61">
        <f t="shared" si="6"/>
        <v>279.64</v>
      </c>
      <c r="AF58" s="61">
        <f t="shared" si="6"/>
        <v>237.83999999999997</v>
      </c>
      <c r="AG58" s="62">
        <f t="shared" si="6"/>
        <v>489.91</v>
      </c>
      <c r="AH58" s="48">
        <f t="shared" si="2"/>
        <v>436.74</v>
      </c>
      <c r="AI58" s="49">
        <f t="shared" si="3"/>
        <v>237.83999999999997</v>
      </c>
      <c r="AK58" s="50"/>
    </row>
    <row r="59" spans="1:41" x14ac:dyDescent="0.25">
      <c r="A59" s="44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/>
      <c r="AF59" s="45"/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/>
      <c r="AF60" s="65"/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67">
        <v>0</v>
      </c>
      <c r="AB61" s="67">
        <v>0</v>
      </c>
      <c r="AC61" s="67">
        <v>0</v>
      </c>
      <c r="AD61" s="67">
        <v>0</v>
      </c>
      <c r="AE61" s="67"/>
      <c r="AF61" s="67"/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AG62" si="7">SUM(B59:B61)</f>
        <v>0</v>
      </c>
      <c r="C62" s="61">
        <f t="shared" si="7"/>
        <v>0</v>
      </c>
      <c r="D62" s="61">
        <f t="shared" si="7"/>
        <v>0</v>
      </c>
      <c r="E62" s="61">
        <f t="shared" si="7"/>
        <v>0</v>
      </c>
      <c r="F62" s="61">
        <f t="shared" si="7"/>
        <v>0</v>
      </c>
      <c r="G62" s="61">
        <f t="shared" si="7"/>
        <v>0</v>
      </c>
      <c r="H62" s="61">
        <f t="shared" si="7"/>
        <v>0</v>
      </c>
      <c r="I62" s="61">
        <f t="shared" si="7"/>
        <v>0</v>
      </c>
      <c r="J62" s="61">
        <f t="shared" si="7"/>
        <v>0</v>
      </c>
      <c r="K62" s="61">
        <f t="shared" si="7"/>
        <v>0</v>
      </c>
      <c r="L62" s="61">
        <f t="shared" si="7"/>
        <v>0</v>
      </c>
      <c r="M62" s="61">
        <f t="shared" si="7"/>
        <v>0</v>
      </c>
      <c r="N62" s="61">
        <f t="shared" si="7"/>
        <v>0</v>
      </c>
      <c r="O62" s="61">
        <f t="shared" si="7"/>
        <v>0</v>
      </c>
      <c r="P62" s="61">
        <f t="shared" si="7"/>
        <v>0</v>
      </c>
      <c r="Q62" s="61">
        <f t="shared" si="7"/>
        <v>0</v>
      </c>
      <c r="R62" s="61">
        <f t="shared" si="7"/>
        <v>0</v>
      </c>
      <c r="S62" s="61">
        <f t="shared" si="7"/>
        <v>0</v>
      </c>
      <c r="T62" s="61">
        <f t="shared" si="7"/>
        <v>0</v>
      </c>
      <c r="U62" s="61">
        <f t="shared" si="7"/>
        <v>0</v>
      </c>
      <c r="V62" s="61">
        <f t="shared" si="7"/>
        <v>0</v>
      </c>
      <c r="W62" s="61">
        <f t="shared" si="7"/>
        <v>0</v>
      </c>
      <c r="X62" s="61">
        <f t="shared" si="7"/>
        <v>0</v>
      </c>
      <c r="Y62" s="61">
        <f t="shared" si="7"/>
        <v>0</v>
      </c>
      <c r="Z62" s="61">
        <f t="shared" si="7"/>
        <v>0</v>
      </c>
      <c r="AA62" s="61">
        <f t="shared" si="7"/>
        <v>0</v>
      </c>
      <c r="AB62" s="61">
        <f t="shared" si="7"/>
        <v>0</v>
      </c>
      <c r="AC62" s="61">
        <f t="shared" si="7"/>
        <v>0</v>
      </c>
      <c r="AD62" s="61">
        <f t="shared" si="7"/>
        <v>0</v>
      </c>
      <c r="AE62" s="61">
        <f t="shared" si="7"/>
        <v>0</v>
      </c>
      <c r="AF62" s="61">
        <f t="shared" si="7"/>
        <v>0</v>
      </c>
      <c r="AG62" s="62">
        <f t="shared" si="7"/>
        <v>106</v>
      </c>
      <c r="AH62" s="48">
        <f t="shared" si="2"/>
        <v>0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-254</v>
      </c>
      <c r="C65" s="65">
        <v>-270</v>
      </c>
      <c r="D65" s="65">
        <v>-274</v>
      </c>
      <c r="E65" s="65">
        <v>-256</v>
      </c>
      <c r="F65" s="65">
        <v>-258</v>
      </c>
      <c r="G65" s="65">
        <v>-260</v>
      </c>
      <c r="H65" s="65">
        <v>-250</v>
      </c>
      <c r="I65" s="65">
        <v>-262</v>
      </c>
      <c r="J65" s="65">
        <v>-269</v>
      </c>
      <c r="K65" s="65">
        <v>-280</v>
      </c>
      <c r="L65" s="65">
        <v>-276</v>
      </c>
      <c r="M65" s="65">
        <v>-292</v>
      </c>
      <c r="N65" s="65">
        <v>-289</v>
      </c>
      <c r="O65" s="65">
        <v>-291</v>
      </c>
      <c r="P65" s="65">
        <v>-288</v>
      </c>
      <c r="Q65" s="65">
        <v>-276</v>
      </c>
      <c r="R65" s="65">
        <v>-263</v>
      </c>
      <c r="S65" s="65">
        <v>-271.60000000000002</v>
      </c>
      <c r="T65" s="65">
        <v>-241</v>
      </c>
      <c r="U65" s="65">
        <v>-257</v>
      </c>
      <c r="V65" s="65">
        <v>-254</v>
      </c>
      <c r="W65" s="65">
        <v>-164</v>
      </c>
      <c r="X65" s="65">
        <v>-46</v>
      </c>
      <c r="Y65" s="65">
        <v>-86</v>
      </c>
      <c r="Z65" s="65">
        <v>-137</v>
      </c>
      <c r="AA65" s="65">
        <v>-149</v>
      </c>
      <c r="AB65" s="65">
        <v>-170</v>
      </c>
      <c r="AC65" s="65">
        <v>-200</v>
      </c>
      <c r="AD65" s="65">
        <v>-211</v>
      </c>
      <c r="AE65" s="65">
        <v>-241</v>
      </c>
      <c r="AF65" s="65">
        <v>-233</v>
      </c>
      <c r="AG65" s="75"/>
      <c r="AH65" s="48">
        <f t="shared" si="2"/>
        <v>-46</v>
      </c>
      <c r="AI65" s="49">
        <f t="shared" si="3"/>
        <v>-292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>
        <v>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45">
        <v>0</v>
      </c>
      <c r="N68" s="45">
        <v>0</v>
      </c>
      <c r="O68" s="45">
        <v>0</v>
      </c>
      <c r="P68" s="45">
        <v>0</v>
      </c>
      <c r="Q68" s="45">
        <v>0</v>
      </c>
      <c r="R68" s="45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45">
        <v>0</v>
      </c>
      <c r="N70" s="45">
        <v>0</v>
      </c>
      <c r="O70" s="45">
        <v>0</v>
      </c>
      <c r="P70" s="45">
        <v>0</v>
      </c>
      <c r="Q70" s="45">
        <v>0</v>
      </c>
      <c r="R70" s="45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9">
        <v>0</v>
      </c>
      <c r="C72" s="79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45">
        <v>0</v>
      </c>
      <c r="N72" s="45">
        <v>0</v>
      </c>
      <c r="O72" s="45">
        <v>0</v>
      </c>
      <c r="P72" s="45">
        <v>0</v>
      </c>
      <c r="Q72" s="45">
        <v>0</v>
      </c>
      <c r="R72" s="45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9">
        <v>0</v>
      </c>
      <c r="C73" s="79">
        <v>0</v>
      </c>
      <c r="D73" s="79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45">
        <v>0</v>
      </c>
      <c r="N73" s="45">
        <v>0</v>
      </c>
      <c r="O73" s="45">
        <v>0</v>
      </c>
      <c r="P73" s="45">
        <v>0</v>
      </c>
      <c r="Q73" s="45">
        <v>0</v>
      </c>
      <c r="R73" s="45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v>0</v>
      </c>
      <c r="C74" s="61">
        <f t="shared" ref="C74:AF74" si="8">SUMIF(C63:C73,"&gt;0")</f>
        <v>0</v>
      </c>
      <c r="D74" s="61">
        <f t="shared" si="8"/>
        <v>0</v>
      </c>
      <c r="E74" s="61">
        <f t="shared" si="8"/>
        <v>0</v>
      </c>
      <c r="F74" s="61">
        <f t="shared" si="8"/>
        <v>0</v>
      </c>
      <c r="G74" s="61">
        <f t="shared" si="8"/>
        <v>0</v>
      </c>
      <c r="H74" s="61">
        <f t="shared" si="8"/>
        <v>0</v>
      </c>
      <c r="I74" s="61">
        <f t="shared" si="8"/>
        <v>0</v>
      </c>
      <c r="J74" s="61">
        <f t="shared" si="8"/>
        <v>0</v>
      </c>
      <c r="K74" s="61">
        <f t="shared" si="8"/>
        <v>0</v>
      </c>
      <c r="L74" s="61">
        <f t="shared" si="8"/>
        <v>0</v>
      </c>
      <c r="M74" s="61">
        <f t="shared" si="8"/>
        <v>0</v>
      </c>
      <c r="N74" s="61">
        <f t="shared" si="8"/>
        <v>0</v>
      </c>
      <c r="O74" s="61">
        <f t="shared" si="8"/>
        <v>0</v>
      </c>
      <c r="P74" s="61">
        <f t="shared" si="8"/>
        <v>0</v>
      </c>
      <c r="Q74" s="61">
        <f t="shared" si="8"/>
        <v>0</v>
      </c>
      <c r="R74" s="61">
        <f t="shared" si="8"/>
        <v>0</v>
      </c>
      <c r="S74" s="61">
        <f t="shared" si="8"/>
        <v>0</v>
      </c>
      <c r="T74" s="61">
        <f t="shared" si="8"/>
        <v>0</v>
      </c>
      <c r="U74" s="61">
        <f t="shared" si="8"/>
        <v>0</v>
      </c>
      <c r="V74" s="61">
        <f t="shared" si="8"/>
        <v>0</v>
      </c>
      <c r="W74" s="61">
        <f t="shared" si="8"/>
        <v>0</v>
      </c>
      <c r="X74" s="61">
        <f t="shared" si="8"/>
        <v>0</v>
      </c>
      <c r="Y74" s="61">
        <f t="shared" si="8"/>
        <v>0</v>
      </c>
      <c r="Z74" s="61">
        <f t="shared" si="8"/>
        <v>0</v>
      </c>
      <c r="AA74" s="61">
        <f t="shared" si="8"/>
        <v>0</v>
      </c>
      <c r="AB74" s="61">
        <f t="shared" si="8"/>
        <v>0</v>
      </c>
      <c r="AC74" s="61">
        <f t="shared" si="8"/>
        <v>0</v>
      </c>
      <c r="AD74" s="61">
        <f t="shared" si="8"/>
        <v>0</v>
      </c>
      <c r="AE74" s="61">
        <f t="shared" si="8"/>
        <v>0</v>
      </c>
      <c r="AF74" s="61">
        <f t="shared" si="8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44" t="s">
        <v>83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/>
      <c r="AD75" s="76"/>
      <c r="AE75" s="76"/>
      <c r="AF75" s="76"/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/>
      <c r="AD76" s="77"/>
      <c r="AE76" s="77"/>
      <c r="AF76" s="77"/>
      <c r="AG76" s="75">
        <v>14.4</v>
      </c>
      <c r="AH76" s="48">
        <f t="shared" ref="AH76:AH109" si="9">MAX(B76:AF76)</f>
        <v>0</v>
      </c>
      <c r="AI76" s="49">
        <f t="shared" ref="AI76:AI109" si="10">MIN(B76:AF76)</f>
        <v>0</v>
      </c>
      <c r="AK76" s="50"/>
    </row>
    <row r="77" spans="1:37" ht="15.75" thickBot="1" x14ac:dyDescent="0.3">
      <c r="A77" s="78" t="s">
        <v>85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79">
        <v>0</v>
      </c>
      <c r="AC77" s="79"/>
      <c r="AD77" s="79"/>
      <c r="AE77" s="79"/>
      <c r="AF77" s="79"/>
      <c r="AG77" s="80">
        <v>2</v>
      </c>
      <c r="AH77" s="48">
        <f t="shared" si="9"/>
        <v>0</v>
      </c>
      <c r="AI77" s="49">
        <f t="shared" si="10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9"/>
        <v>0</v>
      </c>
      <c r="AI78" s="49">
        <f t="shared" si="10"/>
        <v>0</v>
      </c>
    </row>
    <row r="79" spans="1:37" ht="15.75" thickBot="1" x14ac:dyDescent="0.3">
      <c r="A79" s="74" t="s">
        <v>87</v>
      </c>
      <c r="B79" s="83">
        <f t="shared" ref="B79:AG79" si="11">B40+B44+B62+B58+B74+B78</f>
        <v>996.43999999999994</v>
      </c>
      <c r="C79" s="83">
        <f t="shared" si="11"/>
        <v>988.43999999999994</v>
      </c>
      <c r="D79" s="83">
        <f t="shared" si="11"/>
        <v>977.93999999999994</v>
      </c>
      <c r="E79" s="83">
        <f t="shared" si="11"/>
        <v>975.7399999999999</v>
      </c>
      <c r="F79" s="83">
        <f t="shared" si="11"/>
        <v>980.2399999999999</v>
      </c>
      <c r="G79" s="83">
        <f t="shared" si="11"/>
        <v>1027.54</v>
      </c>
      <c r="H79" s="83">
        <f t="shared" si="11"/>
        <v>1064.24</v>
      </c>
      <c r="I79" s="83">
        <f t="shared" si="11"/>
        <v>1091.24</v>
      </c>
      <c r="J79" s="83">
        <f t="shared" si="11"/>
        <v>1121.74</v>
      </c>
      <c r="K79" s="83">
        <f t="shared" si="11"/>
        <v>1198.6400000000001</v>
      </c>
      <c r="L79" s="83">
        <f t="shared" si="11"/>
        <v>1260.94</v>
      </c>
      <c r="M79" s="83">
        <f t="shared" si="11"/>
        <v>1268.54</v>
      </c>
      <c r="N79" s="83">
        <f t="shared" si="11"/>
        <v>1234.04</v>
      </c>
      <c r="O79" s="83">
        <f t="shared" si="11"/>
        <v>1215.54</v>
      </c>
      <c r="P79" s="83">
        <f t="shared" si="11"/>
        <v>1208.74</v>
      </c>
      <c r="Q79" s="83">
        <f t="shared" si="11"/>
        <v>1181.44</v>
      </c>
      <c r="R79" s="83">
        <f t="shared" si="11"/>
        <v>1171.44</v>
      </c>
      <c r="S79" s="83">
        <f t="shared" si="11"/>
        <v>1170.74</v>
      </c>
      <c r="T79" s="83">
        <f t="shared" si="11"/>
        <v>1196.6399999999999</v>
      </c>
      <c r="U79" s="83">
        <f t="shared" si="11"/>
        <v>1201.3400000000001</v>
      </c>
      <c r="V79" s="83">
        <f t="shared" si="11"/>
        <v>1238.3400000000001</v>
      </c>
      <c r="W79" s="83">
        <f t="shared" si="11"/>
        <v>1296.3400000000001</v>
      </c>
      <c r="X79" s="83">
        <f t="shared" si="11"/>
        <v>1346.1399999999999</v>
      </c>
      <c r="Y79" s="83">
        <f t="shared" si="11"/>
        <v>1351.1399999999999</v>
      </c>
      <c r="Z79" s="83">
        <f t="shared" si="11"/>
        <v>1340.1399999999999</v>
      </c>
      <c r="AA79" s="83">
        <f t="shared" si="11"/>
        <v>1278.1399999999999</v>
      </c>
      <c r="AB79" s="83">
        <f t="shared" si="11"/>
        <v>1245.1399999999999</v>
      </c>
      <c r="AC79" s="83">
        <f t="shared" si="11"/>
        <v>1193.8399999999999</v>
      </c>
      <c r="AD79" s="83">
        <f t="shared" si="11"/>
        <v>1136.1400000000001</v>
      </c>
      <c r="AE79" s="83">
        <f t="shared" si="11"/>
        <v>1075.1399999999999</v>
      </c>
      <c r="AF79" s="83">
        <f t="shared" si="11"/>
        <v>1025.3399999999999</v>
      </c>
      <c r="AG79" s="62">
        <f t="shared" si="11"/>
        <v>1897.1900000000003</v>
      </c>
      <c r="AH79" s="48">
        <f t="shared" si="9"/>
        <v>1351.1399999999999</v>
      </c>
      <c r="AI79" s="49">
        <f t="shared" si="10"/>
        <v>975.7399999999999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9"/>
        <v>0</v>
      </c>
      <c r="AI80" s="49">
        <f t="shared" si="10"/>
        <v>0</v>
      </c>
    </row>
    <row r="81" spans="1:37" ht="15.75" thickBot="1" x14ac:dyDescent="0.3">
      <c r="A81" s="74" t="s">
        <v>89</v>
      </c>
      <c r="B81" s="83">
        <f t="shared" ref="B81:AF81" si="12">B79+B80</f>
        <v>996.43999999999994</v>
      </c>
      <c r="C81" s="83">
        <f t="shared" si="12"/>
        <v>988.43999999999994</v>
      </c>
      <c r="D81" s="83">
        <f t="shared" si="12"/>
        <v>977.93999999999994</v>
      </c>
      <c r="E81" s="83">
        <f t="shared" si="12"/>
        <v>975.7399999999999</v>
      </c>
      <c r="F81" s="83">
        <f t="shared" si="12"/>
        <v>980.2399999999999</v>
      </c>
      <c r="G81" s="83">
        <f t="shared" si="12"/>
        <v>1027.54</v>
      </c>
      <c r="H81" s="83">
        <f t="shared" si="12"/>
        <v>1064.24</v>
      </c>
      <c r="I81" s="83">
        <f t="shared" si="12"/>
        <v>1091.24</v>
      </c>
      <c r="J81" s="83">
        <f t="shared" si="12"/>
        <v>1121.74</v>
      </c>
      <c r="K81" s="83">
        <f t="shared" si="12"/>
        <v>1198.6400000000001</v>
      </c>
      <c r="L81" s="83">
        <f t="shared" si="12"/>
        <v>1260.94</v>
      </c>
      <c r="M81" s="83">
        <f t="shared" si="12"/>
        <v>1268.54</v>
      </c>
      <c r="N81" s="83">
        <f t="shared" si="12"/>
        <v>1234.04</v>
      </c>
      <c r="O81" s="83">
        <f t="shared" si="12"/>
        <v>1215.54</v>
      </c>
      <c r="P81" s="83">
        <f t="shared" si="12"/>
        <v>1208.74</v>
      </c>
      <c r="Q81" s="83">
        <f t="shared" si="12"/>
        <v>1181.44</v>
      </c>
      <c r="R81" s="83">
        <f t="shared" si="12"/>
        <v>1171.44</v>
      </c>
      <c r="S81" s="83">
        <f t="shared" si="12"/>
        <v>1170.74</v>
      </c>
      <c r="T81" s="83">
        <f t="shared" si="12"/>
        <v>1196.6399999999999</v>
      </c>
      <c r="U81" s="83">
        <f t="shared" si="12"/>
        <v>1201.3400000000001</v>
      </c>
      <c r="V81" s="83">
        <f t="shared" si="12"/>
        <v>1238.3400000000001</v>
      </c>
      <c r="W81" s="83">
        <f t="shared" si="12"/>
        <v>1296.3400000000001</v>
      </c>
      <c r="X81" s="83">
        <f t="shared" si="12"/>
        <v>1346.1399999999999</v>
      </c>
      <c r="Y81" s="83">
        <f t="shared" si="12"/>
        <v>1351.1399999999999</v>
      </c>
      <c r="Z81" s="83">
        <f t="shared" si="12"/>
        <v>1340.1399999999999</v>
      </c>
      <c r="AA81" s="83">
        <f t="shared" si="12"/>
        <v>1278.1399999999999</v>
      </c>
      <c r="AB81" s="83">
        <f t="shared" si="12"/>
        <v>1245.1399999999999</v>
      </c>
      <c r="AC81" s="83">
        <f t="shared" si="12"/>
        <v>1193.8399999999999</v>
      </c>
      <c r="AD81" s="83">
        <f t="shared" si="12"/>
        <v>1136.1400000000001</v>
      </c>
      <c r="AE81" s="83">
        <f t="shared" si="12"/>
        <v>1075.1399999999999</v>
      </c>
      <c r="AF81" s="83">
        <f t="shared" si="12"/>
        <v>1025.3399999999999</v>
      </c>
      <c r="AG81" s="81">
        <f>AG78+AG74+AG62+AG58+AG40+AG80</f>
        <v>1359.0900000000001</v>
      </c>
      <c r="AH81" s="48">
        <f t="shared" si="9"/>
        <v>1351.1399999999999</v>
      </c>
      <c r="AI81" s="49">
        <f t="shared" si="10"/>
        <v>975.7399999999999</v>
      </c>
    </row>
    <row r="82" spans="1:37" ht="15.75" thickBot="1" x14ac:dyDescent="0.3">
      <c r="A82" s="74" t="s">
        <v>90</v>
      </c>
      <c r="B82" s="83">
        <f t="shared" ref="B82:AF82" si="13">B81-B89</f>
        <v>742.43999999999994</v>
      </c>
      <c r="C82" s="83">
        <f t="shared" si="13"/>
        <v>718.43999999999994</v>
      </c>
      <c r="D82" s="83">
        <f t="shared" si="13"/>
        <v>703.93999999999994</v>
      </c>
      <c r="E82" s="83">
        <f t="shared" si="13"/>
        <v>719.7399999999999</v>
      </c>
      <c r="F82" s="83">
        <f t="shared" si="13"/>
        <v>722.2399999999999</v>
      </c>
      <c r="G82" s="83">
        <f t="shared" si="13"/>
        <v>767.54</v>
      </c>
      <c r="H82" s="83">
        <f t="shared" si="13"/>
        <v>814.24</v>
      </c>
      <c r="I82" s="83">
        <f t="shared" si="13"/>
        <v>829.24</v>
      </c>
      <c r="J82" s="83">
        <f t="shared" si="13"/>
        <v>852.74</v>
      </c>
      <c r="K82" s="83">
        <f t="shared" si="13"/>
        <v>918.6400000000001</v>
      </c>
      <c r="L82" s="83">
        <f t="shared" si="13"/>
        <v>984.94</v>
      </c>
      <c r="M82" s="83">
        <f t="shared" si="13"/>
        <v>976.54</v>
      </c>
      <c r="N82" s="83">
        <f t="shared" si="13"/>
        <v>945.04</v>
      </c>
      <c r="O82" s="83">
        <f t="shared" si="13"/>
        <v>924.54</v>
      </c>
      <c r="P82" s="83">
        <f t="shared" si="13"/>
        <v>920.74</v>
      </c>
      <c r="Q82" s="83">
        <f t="shared" si="13"/>
        <v>905.44</v>
      </c>
      <c r="R82" s="83">
        <f t="shared" si="13"/>
        <v>908.44</v>
      </c>
      <c r="S82" s="83">
        <f t="shared" si="13"/>
        <v>899.14</v>
      </c>
      <c r="T82" s="83">
        <f t="shared" si="13"/>
        <v>955.63999999999987</v>
      </c>
      <c r="U82" s="83">
        <f t="shared" si="13"/>
        <v>944.34000000000015</v>
      </c>
      <c r="V82" s="83">
        <f t="shared" si="13"/>
        <v>984.34000000000015</v>
      </c>
      <c r="W82" s="83">
        <f t="shared" si="13"/>
        <v>1132.3400000000001</v>
      </c>
      <c r="X82" s="83">
        <f t="shared" si="13"/>
        <v>1300.1399999999999</v>
      </c>
      <c r="Y82" s="83">
        <f t="shared" si="13"/>
        <v>1265.1399999999999</v>
      </c>
      <c r="Z82" s="83">
        <f t="shared" si="13"/>
        <v>1203.1399999999999</v>
      </c>
      <c r="AA82" s="83">
        <f t="shared" si="13"/>
        <v>1129.1399999999999</v>
      </c>
      <c r="AB82" s="83">
        <f t="shared" si="13"/>
        <v>1075.1399999999999</v>
      </c>
      <c r="AC82" s="83">
        <f t="shared" si="13"/>
        <v>993.83999999999992</v>
      </c>
      <c r="AD82" s="83">
        <f t="shared" si="13"/>
        <v>925.1400000000001</v>
      </c>
      <c r="AE82" s="83">
        <f t="shared" si="13"/>
        <v>834.13999999999987</v>
      </c>
      <c r="AF82" s="83">
        <f t="shared" si="13"/>
        <v>792.33999999999992</v>
      </c>
      <c r="AG82" s="81"/>
      <c r="AH82" s="48">
        <f t="shared" si="9"/>
        <v>1300.1399999999999</v>
      </c>
      <c r="AI82" s="49">
        <f t="shared" si="10"/>
        <v>703.93999999999994</v>
      </c>
    </row>
    <row r="83" spans="1:37" x14ac:dyDescent="0.25">
      <c r="A83" s="44" t="s">
        <v>74</v>
      </c>
      <c r="B83" s="76">
        <f t="shared" ref="B83:AF83" si="14">IF(B66&lt;0,B66*-1,0)</f>
        <v>0</v>
      </c>
      <c r="C83" s="76">
        <f t="shared" si="14"/>
        <v>0</v>
      </c>
      <c r="D83" s="76">
        <f t="shared" si="14"/>
        <v>0</v>
      </c>
      <c r="E83" s="76">
        <f t="shared" si="14"/>
        <v>0</v>
      </c>
      <c r="F83" s="76">
        <f t="shared" si="14"/>
        <v>0</v>
      </c>
      <c r="G83" s="76">
        <f t="shared" si="14"/>
        <v>0</v>
      </c>
      <c r="H83" s="76">
        <f t="shared" si="14"/>
        <v>0</v>
      </c>
      <c r="I83" s="76">
        <f t="shared" si="14"/>
        <v>0</v>
      </c>
      <c r="J83" s="76">
        <f t="shared" si="14"/>
        <v>0</v>
      </c>
      <c r="K83" s="76">
        <f t="shared" si="14"/>
        <v>0</v>
      </c>
      <c r="L83" s="76">
        <f t="shared" si="14"/>
        <v>0</v>
      </c>
      <c r="M83" s="76">
        <f t="shared" si="14"/>
        <v>0</v>
      </c>
      <c r="N83" s="76">
        <f t="shared" si="14"/>
        <v>0</v>
      </c>
      <c r="O83" s="76">
        <f t="shared" si="14"/>
        <v>0</v>
      </c>
      <c r="P83" s="76">
        <f t="shared" si="14"/>
        <v>0</v>
      </c>
      <c r="Q83" s="76">
        <f t="shared" si="14"/>
        <v>0</v>
      </c>
      <c r="R83" s="76">
        <f t="shared" si="14"/>
        <v>0</v>
      </c>
      <c r="S83" s="76">
        <f t="shared" si="14"/>
        <v>0</v>
      </c>
      <c r="T83" s="76">
        <f t="shared" si="14"/>
        <v>0</v>
      </c>
      <c r="U83" s="76">
        <f t="shared" si="14"/>
        <v>0</v>
      </c>
      <c r="V83" s="76">
        <f t="shared" si="14"/>
        <v>0</v>
      </c>
      <c r="W83" s="76">
        <f t="shared" si="14"/>
        <v>0</v>
      </c>
      <c r="X83" s="76">
        <f t="shared" si="14"/>
        <v>0</v>
      </c>
      <c r="Y83" s="76">
        <f t="shared" si="14"/>
        <v>0</v>
      </c>
      <c r="Z83" s="76">
        <f t="shared" si="14"/>
        <v>0</v>
      </c>
      <c r="AA83" s="76">
        <f t="shared" si="14"/>
        <v>0</v>
      </c>
      <c r="AB83" s="76">
        <f t="shared" si="14"/>
        <v>0</v>
      </c>
      <c r="AC83" s="76">
        <f t="shared" si="14"/>
        <v>0</v>
      </c>
      <c r="AD83" s="76">
        <f t="shared" si="14"/>
        <v>0</v>
      </c>
      <c r="AE83" s="76">
        <f t="shared" si="14"/>
        <v>0</v>
      </c>
      <c r="AF83" s="76">
        <f t="shared" si="14"/>
        <v>0</v>
      </c>
      <c r="AG83" s="52"/>
      <c r="AH83" s="48">
        <f t="shared" si="9"/>
        <v>0</v>
      </c>
      <c r="AI83" s="49">
        <f t="shared" si="10"/>
        <v>0</v>
      </c>
    </row>
    <row r="84" spans="1:37" x14ac:dyDescent="0.25">
      <c r="A84" s="54" t="s">
        <v>72</v>
      </c>
      <c r="B84" s="76">
        <f t="shared" ref="B84:AF84" si="15">IF(B64&lt;0,B64*-1,0)</f>
        <v>0</v>
      </c>
      <c r="C84" s="76">
        <f t="shared" si="15"/>
        <v>0</v>
      </c>
      <c r="D84" s="76">
        <f t="shared" si="15"/>
        <v>0</v>
      </c>
      <c r="E84" s="76">
        <f t="shared" si="15"/>
        <v>0</v>
      </c>
      <c r="F84" s="76">
        <f t="shared" si="15"/>
        <v>0</v>
      </c>
      <c r="G84" s="76">
        <f t="shared" si="15"/>
        <v>0</v>
      </c>
      <c r="H84" s="76">
        <f t="shared" si="15"/>
        <v>0</v>
      </c>
      <c r="I84" s="76">
        <f t="shared" si="15"/>
        <v>0</v>
      </c>
      <c r="J84" s="76">
        <f t="shared" si="15"/>
        <v>0</v>
      </c>
      <c r="K84" s="76">
        <f t="shared" si="15"/>
        <v>0</v>
      </c>
      <c r="L84" s="76">
        <f t="shared" si="15"/>
        <v>0</v>
      </c>
      <c r="M84" s="76">
        <f t="shared" si="15"/>
        <v>0</v>
      </c>
      <c r="N84" s="76">
        <f t="shared" si="15"/>
        <v>0</v>
      </c>
      <c r="O84" s="76">
        <f t="shared" si="15"/>
        <v>0</v>
      </c>
      <c r="P84" s="76">
        <f t="shared" si="15"/>
        <v>0</v>
      </c>
      <c r="Q84" s="76">
        <f t="shared" si="15"/>
        <v>0</v>
      </c>
      <c r="R84" s="76">
        <f t="shared" si="15"/>
        <v>0</v>
      </c>
      <c r="S84" s="76">
        <f t="shared" si="15"/>
        <v>0</v>
      </c>
      <c r="T84" s="76">
        <f t="shared" si="15"/>
        <v>0</v>
      </c>
      <c r="U84" s="76">
        <f t="shared" si="15"/>
        <v>0</v>
      </c>
      <c r="V84" s="76">
        <f t="shared" si="15"/>
        <v>0</v>
      </c>
      <c r="W84" s="76">
        <f t="shared" si="15"/>
        <v>0</v>
      </c>
      <c r="X84" s="76">
        <f t="shared" si="15"/>
        <v>0</v>
      </c>
      <c r="Y84" s="76">
        <f t="shared" si="15"/>
        <v>0</v>
      </c>
      <c r="Z84" s="76">
        <f t="shared" si="15"/>
        <v>0</v>
      </c>
      <c r="AA84" s="76">
        <f t="shared" si="15"/>
        <v>0</v>
      </c>
      <c r="AB84" s="76">
        <f t="shared" si="15"/>
        <v>0</v>
      </c>
      <c r="AC84" s="76">
        <f t="shared" si="15"/>
        <v>0</v>
      </c>
      <c r="AD84" s="76">
        <f t="shared" si="15"/>
        <v>0</v>
      </c>
      <c r="AE84" s="76">
        <f t="shared" si="15"/>
        <v>0</v>
      </c>
      <c r="AF84" s="76">
        <f t="shared" si="15"/>
        <v>0</v>
      </c>
      <c r="AG84" s="55"/>
      <c r="AH84" s="48">
        <f t="shared" si="9"/>
        <v>0</v>
      </c>
      <c r="AI84" s="49">
        <f t="shared" si="10"/>
        <v>0</v>
      </c>
    </row>
    <row r="85" spans="1:37" x14ac:dyDescent="0.25">
      <c r="A85" s="78" t="s">
        <v>91</v>
      </c>
      <c r="B85" s="76">
        <f t="shared" ref="B85:AF85" si="16">IF(B67&lt;0,B67*-1,0)</f>
        <v>0</v>
      </c>
      <c r="C85" s="76">
        <f t="shared" si="16"/>
        <v>0</v>
      </c>
      <c r="D85" s="76">
        <f t="shared" si="16"/>
        <v>0</v>
      </c>
      <c r="E85" s="76">
        <f t="shared" si="16"/>
        <v>0</v>
      </c>
      <c r="F85" s="76">
        <f t="shared" si="16"/>
        <v>0</v>
      </c>
      <c r="G85" s="76">
        <f t="shared" si="16"/>
        <v>0</v>
      </c>
      <c r="H85" s="76">
        <f t="shared" si="16"/>
        <v>0</v>
      </c>
      <c r="I85" s="76">
        <f t="shared" si="16"/>
        <v>0</v>
      </c>
      <c r="J85" s="76">
        <f t="shared" si="16"/>
        <v>0</v>
      </c>
      <c r="K85" s="76">
        <f t="shared" si="16"/>
        <v>0</v>
      </c>
      <c r="L85" s="76">
        <f t="shared" si="16"/>
        <v>0</v>
      </c>
      <c r="M85" s="76">
        <f t="shared" si="16"/>
        <v>0</v>
      </c>
      <c r="N85" s="76">
        <f t="shared" si="16"/>
        <v>0</v>
      </c>
      <c r="O85" s="76">
        <f t="shared" si="16"/>
        <v>0</v>
      </c>
      <c r="P85" s="76">
        <f t="shared" si="16"/>
        <v>0</v>
      </c>
      <c r="Q85" s="76">
        <f t="shared" si="16"/>
        <v>0</v>
      </c>
      <c r="R85" s="76">
        <f t="shared" si="16"/>
        <v>0</v>
      </c>
      <c r="S85" s="76">
        <f t="shared" si="16"/>
        <v>0</v>
      </c>
      <c r="T85" s="76">
        <f t="shared" si="16"/>
        <v>0</v>
      </c>
      <c r="U85" s="76">
        <f t="shared" si="16"/>
        <v>0</v>
      </c>
      <c r="V85" s="76">
        <f t="shared" si="16"/>
        <v>0</v>
      </c>
      <c r="W85" s="76">
        <f t="shared" si="16"/>
        <v>0</v>
      </c>
      <c r="X85" s="76">
        <f t="shared" si="16"/>
        <v>0</v>
      </c>
      <c r="Y85" s="76">
        <f t="shared" si="16"/>
        <v>0</v>
      </c>
      <c r="Z85" s="76">
        <f t="shared" si="16"/>
        <v>0</v>
      </c>
      <c r="AA85" s="76">
        <f t="shared" si="16"/>
        <v>0</v>
      </c>
      <c r="AB85" s="76">
        <f t="shared" si="16"/>
        <v>0</v>
      </c>
      <c r="AC85" s="76">
        <f t="shared" si="16"/>
        <v>0</v>
      </c>
      <c r="AD85" s="76">
        <f t="shared" si="16"/>
        <v>0</v>
      </c>
      <c r="AE85" s="76">
        <f t="shared" si="16"/>
        <v>0</v>
      </c>
      <c r="AF85" s="76">
        <f t="shared" si="16"/>
        <v>0</v>
      </c>
      <c r="AG85" s="86"/>
      <c r="AH85" s="48">
        <f t="shared" si="9"/>
        <v>0</v>
      </c>
      <c r="AI85" s="49">
        <f t="shared" si="10"/>
        <v>0</v>
      </c>
    </row>
    <row r="86" spans="1:37" x14ac:dyDescent="0.25">
      <c r="A86" s="78" t="s">
        <v>92</v>
      </c>
      <c r="B86" s="76">
        <f t="shared" ref="B86:AF86" si="17">IF(B65&lt;0,B65*-1,0)</f>
        <v>254</v>
      </c>
      <c r="C86" s="76">
        <f t="shared" si="17"/>
        <v>270</v>
      </c>
      <c r="D86" s="76">
        <f t="shared" si="17"/>
        <v>274</v>
      </c>
      <c r="E86" s="76">
        <f t="shared" si="17"/>
        <v>256</v>
      </c>
      <c r="F86" s="76">
        <f t="shared" si="17"/>
        <v>258</v>
      </c>
      <c r="G86" s="76">
        <f t="shared" si="17"/>
        <v>260</v>
      </c>
      <c r="H86" s="76">
        <f t="shared" si="17"/>
        <v>250</v>
      </c>
      <c r="I86" s="76">
        <f t="shared" si="17"/>
        <v>262</v>
      </c>
      <c r="J86" s="76">
        <f t="shared" si="17"/>
        <v>269</v>
      </c>
      <c r="K86" s="76">
        <f t="shared" si="17"/>
        <v>280</v>
      </c>
      <c r="L86" s="76">
        <f t="shared" si="17"/>
        <v>276</v>
      </c>
      <c r="M86" s="76">
        <f t="shared" si="17"/>
        <v>292</v>
      </c>
      <c r="N86" s="76">
        <f t="shared" si="17"/>
        <v>289</v>
      </c>
      <c r="O86" s="76">
        <f t="shared" si="17"/>
        <v>291</v>
      </c>
      <c r="P86" s="76">
        <f t="shared" si="17"/>
        <v>288</v>
      </c>
      <c r="Q86" s="76">
        <f t="shared" si="17"/>
        <v>276</v>
      </c>
      <c r="R86" s="76">
        <f t="shared" si="17"/>
        <v>263</v>
      </c>
      <c r="S86" s="76">
        <f t="shared" si="17"/>
        <v>271.60000000000002</v>
      </c>
      <c r="T86" s="76">
        <f t="shared" si="17"/>
        <v>241</v>
      </c>
      <c r="U86" s="76">
        <f t="shared" si="17"/>
        <v>257</v>
      </c>
      <c r="V86" s="76">
        <f t="shared" si="17"/>
        <v>254</v>
      </c>
      <c r="W86" s="76">
        <f t="shared" si="17"/>
        <v>164</v>
      </c>
      <c r="X86" s="76">
        <f t="shared" si="17"/>
        <v>46</v>
      </c>
      <c r="Y86" s="76">
        <f t="shared" si="17"/>
        <v>86</v>
      </c>
      <c r="Z86" s="76">
        <f t="shared" si="17"/>
        <v>137</v>
      </c>
      <c r="AA86" s="76">
        <f t="shared" si="17"/>
        <v>149</v>
      </c>
      <c r="AB86" s="76">
        <f t="shared" si="17"/>
        <v>170</v>
      </c>
      <c r="AC86" s="76">
        <f t="shared" si="17"/>
        <v>200</v>
      </c>
      <c r="AD86" s="76">
        <f t="shared" si="17"/>
        <v>211</v>
      </c>
      <c r="AE86" s="76">
        <f t="shared" si="17"/>
        <v>241</v>
      </c>
      <c r="AF86" s="76">
        <f t="shared" si="17"/>
        <v>233</v>
      </c>
      <c r="AG86" s="86"/>
      <c r="AH86" s="48">
        <f t="shared" si="9"/>
        <v>292</v>
      </c>
      <c r="AI86" s="49">
        <f t="shared" si="10"/>
        <v>46</v>
      </c>
    </row>
    <row r="87" spans="1:37" x14ac:dyDescent="0.25">
      <c r="A87" s="78" t="s">
        <v>71</v>
      </c>
      <c r="B87" s="76">
        <f t="shared" ref="B87:AF87" si="18">IF(B63&lt;0,B63*-1,0)</f>
        <v>0</v>
      </c>
      <c r="C87" s="76">
        <f t="shared" si="18"/>
        <v>0</v>
      </c>
      <c r="D87" s="76">
        <f t="shared" si="18"/>
        <v>0</v>
      </c>
      <c r="E87" s="76">
        <f t="shared" si="18"/>
        <v>0</v>
      </c>
      <c r="F87" s="76">
        <f t="shared" si="18"/>
        <v>0</v>
      </c>
      <c r="G87" s="76">
        <f t="shared" si="18"/>
        <v>0</v>
      </c>
      <c r="H87" s="76">
        <f t="shared" si="18"/>
        <v>0</v>
      </c>
      <c r="I87" s="76">
        <f t="shared" si="18"/>
        <v>0</v>
      </c>
      <c r="J87" s="76">
        <f t="shared" si="18"/>
        <v>0</v>
      </c>
      <c r="K87" s="76">
        <f t="shared" si="18"/>
        <v>0</v>
      </c>
      <c r="L87" s="76">
        <f t="shared" si="18"/>
        <v>0</v>
      </c>
      <c r="M87" s="76">
        <f t="shared" si="18"/>
        <v>0</v>
      </c>
      <c r="N87" s="76">
        <f t="shared" si="18"/>
        <v>0</v>
      </c>
      <c r="O87" s="76">
        <f t="shared" si="18"/>
        <v>0</v>
      </c>
      <c r="P87" s="76">
        <f t="shared" si="18"/>
        <v>0</v>
      </c>
      <c r="Q87" s="76">
        <f t="shared" si="18"/>
        <v>0</v>
      </c>
      <c r="R87" s="76">
        <f t="shared" si="18"/>
        <v>0</v>
      </c>
      <c r="S87" s="76">
        <f t="shared" si="18"/>
        <v>0</v>
      </c>
      <c r="T87" s="76">
        <f t="shared" si="18"/>
        <v>0</v>
      </c>
      <c r="U87" s="76">
        <f t="shared" si="18"/>
        <v>0</v>
      </c>
      <c r="V87" s="76">
        <f t="shared" si="18"/>
        <v>0</v>
      </c>
      <c r="W87" s="76">
        <f t="shared" si="18"/>
        <v>0</v>
      </c>
      <c r="X87" s="76">
        <f t="shared" si="18"/>
        <v>0</v>
      </c>
      <c r="Y87" s="76">
        <f t="shared" si="18"/>
        <v>0</v>
      </c>
      <c r="Z87" s="76">
        <f t="shared" si="18"/>
        <v>0</v>
      </c>
      <c r="AA87" s="76">
        <f t="shared" si="18"/>
        <v>0</v>
      </c>
      <c r="AB87" s="76">
        <f t="shared" si="18"/>
        <v>0</v>
      </c>
      <c r="AC87" s="76">
        <f t="shared" si="18"/>
        <v>0</v>
      </c>
      <c r="AD87" s="76">
        <f t="shared" si="18"/>
        <v>0</v>
      </c>
      <c r="AE87" s="76">
        <f t="shared" si="18"/>
        <v>0</v>
      </c>
      <c r="AF87" s="76">
        <f t="shared" si="18"/>
        <v>0</v>
      </c>
      <c r="AG87" s="86"/>
      <c r="AH87" s="48">
        <f t="shared" si="9"/>
        <v>0</v>
      </c>
      <c r="AI87" s="49">
        <f t="shared" si="10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9"/>
        <v>0</v>
      </c>
      <c r="AI88" s="49">
        <f t="shared" si="10"/>
        <v>0</v>
      </c>
    </row>
    <row r="89" spans="1:37" ht="15.75" thickBot="1" x14ac:dyDescent="0.3">
      <c r="A89" s="87" t="s">
        <v>94</v>
      </c>
      <c r="B89" s="61">
        <f t="shared" ref="B89:AF89" si="19">SUM(B83:B88)</f>
        <v>254</v>
      </c>
      <c r="C89" s="61">
        <f t="shared" si="19"/>
        <v>270</v>
      </c>
      <c r="D89" s="61">
        <f t="shared" si="19"/>
        <v>274</v>
      </c>
      <c r="E89" s="61">
        <f t="shared" si="19"/>
        <v>256</v>
      </c>
      <c r="F89" s="61">
        <f t="shared" si="19"/>
        <v>258</v>
      </c>
      <c r="G89" s="61">
        <f t="shared" si="19"/>
        <v>260</v>
      </c>
      <c r="H89" s="61">
        <f t="shared" si="19"/>
        <v>250</v>
      </c>
      <c r="I89" s="61">
        <f t="shared" si="19"/>
        <v>262</v>
      </c>
      <c r="J89" s="61">
        <f t="shared" si="19"/>
        <v>269</v>
      </c>
      <c r="K89" s="61">
        <f t="shared" si="19"/>
        <v>280</v>
      </c>
      <c r="L89" s="61">
        <f t="shared" si="19"/>
        <v>276</v>
      </c>
      <c r="M89" s="61">
        <f t="shared" si="19"/>
        <v>292</v>
      </c>
      <c r="N89" s="61">
        <f t="shared" si="19"/>
        <v>289</v>
      </c>
      <c r="O89" s="61">
        <f t="shared" si="19"/>
        <v>291</v>
      </c>
      <c r="P89" s="61">
        <f t="shared" si="19"/>
        <v>288</v>
      </c>
      <c r="Q89" s="61">
        <f t="shared" si="19"/>
        <v>276</v>
      </c>
      <c r="R89" s="61">
        <f t="shared" si="19"/>
        <v>263</v>
      </c>
      <c r="S89" s="61">
        <f t="shared" si="19"/>
        <v>271.60000000000002</v>
      </c>
      <c r="T89" s="61">
        <f t="shared" si="19"/>
        <v>241</v>
      </c>
      <c r="U89" s="61">
        <f t="shared" si="19"/>
        <v>257</v>
      </c>
      <c r="V89" s="61">
        <f t="shared" si="19"/>
        <v>254</v>
      </c>
      <c r="W89" s="61">
        <f t="shared" si="19"/>
        <v>164</v>
      </c>
      <c r="X89" s="61">
        <f t="shared" si="19"/>
        <v>46</v>
      </c>
      <c r="Y89" s="61">
        <f t="shared" si="19"/>
        <v>86</v>
      </c>
      <c r="Z89" s="61">
        <f t="shared" si="19"/>
        <v>137</v>
      </c>
      <c r="AA89" s="61">
        <f t="shared" si="19"/>
        <v>149</v>
      </c>
      <c r="AB89" s="61">
        <f t="shared" si="19"/>
        <v>170</v>
      </c>
      <c r="AC89" s="61">
        <f t="shared" si="19"/>
        <v>200</v>
      </c>
      <c r="AD89" s="61">
        <f t="shared" si="19"/>
        <v>211</v>
      </c>
      <c r="AE89" s="61">
        <f t="shared" si="19"/>
        <v>241</v>
      </c>
      <c r="AF89" s="61">
        <f t="shared" si="19"/>
        <v>233</v>
      </c>
      <c r="AG89" s="81"/>
      <c r="AH89" s="48">
        <f t="shared" si="9"/>
        <v>292</v>
      </c>
      <c r="AI89" s="49">
        <f t="shared" si="10"/>
        <v>46</v>
      </c>
      <c r="AK89" s="50"/>
    </row>
    <row r="90" spans="1:37" ht="15.75" thickBot="1" x14ac:dyDescent="0.3">
      <c r="A90" s="74" t="s">
        <v>95</v>
      </c>
      <c r="B90" s="61">
        <f t="shared" ref="B90:AF90" si="20">B74-B89</f>
        <v>-254</v>
      </c>
      <c r="C90" s="61">
        <f t="shared" si="20"/>
        <v>-270</v>
      </c>
      <c r="D90" s="61">
        <f t="shared" si="20"/>
        <v>-274</v>
      </c>
      <c r="E90" s="61">
        <f t="shared" si="20"/>
        <v>-256</v>
      </c>
      <c r="F90" s="61">
        <f t="shared" si="20"/>
        <v>-258</v>
      </c>
      <c r="G90" s="61">
        <f t="shared" si="20"/>
        <v>-260</v>
      </c>
      <c r="H90" s="61">
        <f t="shared" si="20"/>
        <v>-250</v>
      </c>
      <c r="I90" s="61">
        <f t="shared" si="20"/>
        <v>-262</v>
      </c>
      <c r="J90" s="61">
        <f t="shared" si="20"/>
        <v>-269</v>
      </c>
      <c r="K90" s="61">
        <f t="shared" si="20"/>
        <v>-280</v>
      </c>
      <c r="L90" s="61">
        <f t="shared" si="20"/>
        <v>-276</v>
      </c>
      <c r="M90" s="61">
        <f t="shared" si="20"/>
        <v>-292</v>
      </c>
      <c r="N90" s="61">
        <f t="shared" si="20"/>
        <v>-289</v>
      </c>
      <c r="O90" s="61">
        <f t="shared" si="20"/>
        <v>-291</v>
      </c>
      <c r="P90" s="61">
        <f t="shared" si="20"/>
        <v>-288</v>
      </c>
      <c r="Q90" s="61">
        <f t="shared" si="20"/>
        <v>-276</v>
      </c>
      <c r="R90" s="61">
        <f t="shared" si="20"/>
        <v>-263</v>
      </c>
      <c r="S90" s="61">
        <f t="shared" si="20"/>
        <v>-271.60000000000002</v>
      </c>
      <c r="T90" s="61">
        <f t="shared" si="20"/>
        <v>-241</v>
      </c>
      <c r="U90" s="61">
        <f t="shared" si="20"/>
        <v>-257</v>
      </c>
      <c r="V90" s="61">
        <f t="shared" si="20"/>
        <v>-254</v>
      </c>
      <c r="W90" s="61">
        <f t="shared" si="20"/>
        <v>-164</v>
      </c>
      <c r="X90" s="61">
        <f t="shared" si="20"/>
        <v>-46</v>
      </c>
      <c r="Y90" s="61">
        <f t="shared" si="20"/>
        <v>-86</v>
      </c>
      <c r="Z90" s="61">
        <f t="shared" si="20"/>
        <v>-137</v>
      </c>
      <c r="AA90" s="61">
        <f t="shared" si="20"/>
        <v>-149</v>
      </c>
      <c r="AB90" s="61">
        <f t="shared" si="20"/>
        <v>-170</v>
      </c>
      <c r="AC90" s="61">
        <f t="shared" si="20"/>
        <v>-200</v>
      </c>
      <c r="AD90" s="61">
        <f t="shared" si="20"/>
        <v>-211</v>
      </c>
      <c r="AE90" s="61">
        <f t="shared" si="20"/>
        <v>-241</v>
      </c>
      <c r="AF90" s="61">
        <f t="shared" si="20"/>
        <v>-233</v>
      </c>
      <c r="AG90" s="81"/>
      <c r="AH90" s="48">
        <f t="shared" si="9"/>
        <v>-46</v>
      </c>
      <c r="AI90" s="49">
        <f t="shared" si="10"/>
        <v>-292</v>
      </c>
    </row>
    <row r="91" spans="1:37" x14ac:dyDescent="0.25">
      <c r="A91" s="88" t="s">
        <v>96</v>
      </c>
      <c r="B91" s="89">
        <v>50.003</v>
      </c>
      <c r="C91" s="89">
        <v>49.985999999999997</v>
      </c>
      <c r="D91" s="89">
        <v>50.033999999999999</v>
      </c>
      <c r="E91" s="89">
        <v>49.987000000000002</v>
      </c>
      <c r="F91" s="89">
        <v>50.039000000000001</v>
      </c>
      <c r="G91" s="89">
        <v>50.02</v>
      </c>
      <c r="H91" s="89">
        <v>49.963000000000001</v>
      </c>
      <c r="I91" s="89">
        <v>49.970999999999997</v>
      </c>
      <c r="J91" s="89">
        <v>49.970999999999997</v>
      </c>
      <c r="K91" s="89">
        <v>49.911999999999999</v>
      </c>
      <c r="L91" s="89">
        <v>49.957000000000001</v>
      </c>
      <c r="M91" s="89">
        <v>49.98</v>
      </c>
      <c r="N91" s="89">
        <v>50.064</v>
      </c>
      <c r="O91" s="89">
        <v>50.055999999999997</v>
      </c>
      <c r="P91" s="89">
        <v>49.970999999999997</v>
      </c>
      <c r="Q91" s="89">
        <v>49.981000000000002</v>
      </c>
      <c r="R91" s="89">
        <v>49.955199999999998</v>
      </c>
      <c r="S91" s="89">
        <v>50.064999999999998</v>
      </c>
      <c r="T91" s="89">
        <v>49.960999999999999</v>
      </c>
      <c r="U91" s="89">
        <v>49.960999999999999</v>
      </c>
      <c r="V91" s="89">
        <v>49.984999999999999</v>
      </c>
      <c r="W91" s="89">
        <v>49.984999999999999</v>
      </c>
      <c r="X91" s="89">
        <v>49.863999999999997</v>
      </c>
      <c r="Y91" s="89">
        <v>49.863999999999997</v>
      </c>
      <c r="Z91" s="89">
        <v>50.1</v>
      </c>
      <c r="AA91" s="89">
        <v>50.133000000000003</v>
      </c>
      <c r="AB91" s="89">
        <v>50.07</v>
      </c>
      <c r="AC91" s="89">
        <v>49.997999999999998</v>
      </c>
      <c r="AD91" s="89">
        <v>50</v>
      </c>
      <c r="AE91" s="89">
        <v>50.05</v>
      </c>
      <c r="AF91" s="89">
        <v>50.024000000000001</v>
      </c>
      <c r="AG91" s="90"/>
      <c r="AH91" s="48">
        <f t="shared" si="9"/>
        <v>50.133000000000003</v>
      </c>
      <c r="AI91" s="49">
        <f t="shared" si="10"/>
        <v>49.863999999999997</v>
      </c>
    </row>
    <row r="92" spans="1:37" x14ac:dyDescent="0.25">
      <c r="A92" s="91" t="s">
        <v>97</v>
      </c>
      <c r="B92" s="65">
        <v>129</v>
      </c>
      <c r="C92" s="65">
        <v>129</v>
      </c>
      <c r="D92" s="65">
        <v>129</v>
      </c>
      <c r="E92" s="65">
        <v>129.69999999999999</v>
      </c>
      <c r="F92" s="65">
        <v>129.69999999999999</v>
      </c>
      <c r="G92" s="65">
        <v>129.80000000000001</v>
      </c>
      <c r="H92" s="65">
        <v>129.80000000000001</v>
      </c>
      <c r="I92" s="65">
        <v>128.19999999999999</v>
      </c>
      <c r="J92" s="65">
        <v>127.3</v>
      </c>
      <c r="K92" s="65">
        <v>126.3</v>
      </c>
      <c r="L92" s="65">
        <v>125</v>
      </c>
      <c r="M92" s="65">
        <v>125.8</v>
      </c>
      <c r="N92" s="65">
        <v>126</v>
      </c>
      <c r="O92" s="65">
        <v>125.8</v>
      </c>
      <c r="P92" s="65">
        <v>126.3</v>
      </c>
      <c r="Q92" s="65">
        <v>127.3</v>
      </c>
      <c r="R92" s="65">
        <v>126.8</v>
      </c>
      <c r="S92" s="65">
        <v>126.6</v>
      </c>
      <c r="T92" s="65">
        <v>126.9</v>
      </c>
      <c r="U92" s="65">
        <v>126.9</v>
      </c>
      <c r="V92" s="65">
        <v>127</v>
      </c>
      <c r="W92" s="65">
        <v>127</v>
      </c>
      <c r="X92" s="65">
        <v>127</v>
      </c>
      <c r="Y92" s="65">
        <v>127</v>
      </c>
      <c r="Z92" s="65">
        <v>127</v>
      </c>
      <c r="AA92" s="65">
        <v>128</v>
      </c>
      <c r="AB92" s="65">
        <v>127.9</v>
      </c>
      <c r="AC92" s="65">
        <v>128.5</v>
      </c>
      <c r="AD92" s="65">
        <v>129</v>
      </c>
      <c r="AE92" s="65">
        <v>129.4</v>
      </c>
      <c r="AF92" s="65">
        <v>130.4</v>
      </c>
      <c r="AG92" s="92"/>
      <c r="AH92" s="48">
        <f t="shared" si="9"/>
        <v>130.4</v>
      </c>
      <c r="AI92" s="49">
        <f t="shared" si="10"/>
        <v>125</v>
      </c>
    </row>
    <row r="93" spans="1:37" x14ac:dyDescent="0.25">
      <c r="A93" s="91" t="s">
        <v>98</v>
      </c>
      <c r="B93" s="65">
        <v>132</v>
      </c>
      <c r="C93" s="65">
        <v>132</v>
      </c>
      <c r="D93" s="65">
        <v>132</v>
      </c>
      <c r="E93" s="65">
        <v>133</v>
      </c>
      <c r="F93" s="65">
        <v>132.80000000000001</v>
      </c>
      <c r="G93" s="65">
        <v>132.80000000000001</v>
      </c>
      <c r="H93" s="65">
        <v>132.80000000000001</v>
      </c>
      <c r="I93" s="65">
        <v>131.4</v>
      </c>
      <c r="J93" s="65">
        <v>129.80000000000001</v>
      </c>
      <c r="K93" s="65">
        <v>128.9</v>
      </c>
      <c r="L93" s="65">
        <v>127.8</v>
      </c>
      <c r="M93" s="65">
        <v>128.19999999999999</v>
      </c>
      <c r="N93" s="65">
        <v>128.6</v>
      </c>
      <c r="O93" s="65">
        <v>128.19999999999999</v>
      </c>
      <c r="P93" s="65">
        <v>128.80000000000001</v>
      </c>
      <c r="Q93" s="65">
        <v>129.69999999999999</v>
      </c>
      <c r="R93" s="65">
        <v>129.19999999999999</v>
      </c>
      <c r="S93" s="65">
        <v>129.30000000000001</v>
      </c>
      <c r="T93" s="65">
        <v>129.4</v>
      </c>
      <c r="U93" s="65">
        <v>129.4</v>
      </c>
      <c r="V93" s="65">
        <v>129</v>
      </c>
      <c r="W93" s="65">
        <v>129</v>
      </c>
      <c r="X93" s="65">
        <v>128</v>
      </c>
      <c r="Y93" s="65">
        <v>128</v>
      </c>
      <c r="Z93" s="65">
        <v>128</v>
      </c>
      <c r="AA93" s="65">
        <v>130</v>
      </c>
      <c r="AB93" s="65">
        <v>130.6</v>
      </c>
      <c r="AC93" s="65">
        <v>131.30000000000001</v>
      </c>
      <c r="AD93" s="65">
        <v>132</v>
      </c>
      <c r="AE93" s="65">
        <v>132.30000000000001</v>
      </c>
      <c r="AF93" s="65">
        <v>132.9</v>
      </c>
      <c r="AG93" s="92"/>
      <c r="AH93" s="48">
        <f t="shared" si="9"/>
        <v>133</v>
      </c>
      <c r="AI93" s="49">
        <f t="shared" si="10"/>
        <v>127.8</v>
      </c>
    </row>
    <row r="94" spans="1:37" x14ac:dyDescent="0.25">
      <c r="A94" s="91" t="s">
        <v>99</v>
      </c>
      <c r="B94" s="65">
        <v>133</v>
      </c>
      <c r="C94" s="65">
        <v>133</v>
      </c>
      <c r="D94" s="65">
        <v>133</v>
      </c>
      <c r="E94" s="65">
        <v>133.5</v>
      </c>
      <c r="F94" s="65">
        <v>132.30000000000001</v>
      </c>
      <c r="G94" s="65">
        <v>132.30000000000001</v>
      </c>
      <c r="H94" s="65">
        <v>132.30000000000001</v>
      </c>
      <c r="I94" s="65">
        <v>132.6</v>
      </c>
      <c r="J94" s="65">
        <v>130.69999999999999</v>
      </c>
      <c r="K94" s="65">
        <v>130.30000000000001</v>
      </c>
      <c r="L94" s="65">
        <v>130.30000000000001</v>
      </c>
      <c r="M94" s="65">
        <v>130</v>
      </c>
      <c r="N94" s="65">
        <v>128.69999999999999</v>
      </c>
      <c r="O94" s="65">
        <v>128.9</v>
      </c>
      <c r="P94" s="65">
        <v>128.80000000000001</v>
      </c>
      <c r="Q94" s="65">
        <v>129</v>
      </c>
      <c r="R94" s="65">
        <v>129</v>
      </c>
      <c r="S94" s="65">
        <v>128.9</v>
      </c>
      <c r="T94" s="65">
        <v>129.19999999999999</v>
      </c>
      <c r="U94" s="65">
        <v>129.19999999999999</v>
      </c>
      <c r="V94" s="65">
        <v>129</v>
      </c>
      <c r="W94" s="65">
        <v>129</v>
      </c>
      <c r="X94" s="65">
        <v>129</v>
      </c>
      <c r="Y94" s="65">
        <v>129</v>
      </c>
      <c r="Z94" s="65">
        <v>129</v>
      </c>
      <c r="AA94" s="65">
        <v>131</v>
      </c>
      <c r="AB94" s="65">
        <v>132.1</v>
      </c>
      <c r="AC94" s="65">
        <v>131.4</v>
      </c>
      <c r="AD94" s="65">
        <v>131.1</v>
      </c>
      <c r="AE94" s="65">
        <v>131.5</v>
      </c>
      <c r="AF94" s="65">
        <v>131.80000000000001</v>
      </c>
      <c r="AG94" s="92"/>
      <c r="AH94" s="48">
        <f t="shared" si="9"/>
        <v>133.5</v>
      </c>
      <c r="AI94" s="49">
        <f t="shared" si="10"/>
        <v>128.69999999999999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>
        <v>133</v>
      </c>
      <c r="W95" s="65">
        <v>133</v>
      </c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9"/>
        <v>133</v>
      </c>
      <c r="AI95" s="49">
        <f t="shared" si="10"/>
        <v>133</v>
      </c>
    </row>
    <row r="96" spans="1:37" x14ac:dyDescent="0.25">
      <c r="A96" s="93" t="s">
        <v>101</v>
      </c>
      <c r="B96" s="94">
        <v>133</v>
      </c>
      <c r="C96" s="94">
        <v>133</v>
      </c>
      <c r="D96" s="94">
        <v>133</v>
      </c>
      <c r="E96" s="94">
        <v>133.6</v>
      </c>
      <c r="F96" s="94">
        <v>134.5</v>
      </c>
      <c r="G96" s="94">
        <v>134.30000000000001</v>
      </c>
      <c r="H96" s="94">
        <v>134.30000000000001</v>
      </c>
      <c r="I96" s="94">
        <v>132.1</v>
      </c>
      <c r="J96" s="94">
        <v>130.4</v>
      </c>
      <c r="K96" s="94">
        <v>131.19999999999999</v>
      </c>
      <c r="L96" s="94">
        <v>130.80000000000001</v>
      </c>
      <c r="M96" s="94">
        <v>132.6</v>
      </c>
      <c r="N96" s="94">
        <v>132</v>
      </c>
      <c r="O96" s="94">
        <v>131.1</v>
      </c>
      <c r="P96" s="94">
        <v>134.30000000000001</v>
      </c>
      <c r="Q96" s="94">
        <v>131.4</v>
      </c>
      <c r="R96" s="94">
        <v>133.5</v>
      </c>
      <c r="S96" s="94">
        <v>132.4</v>
      </c>
      <c r="T96" s="94">
        <v>132.1</v>
      </c>
      <c r="U96" s="94">
        <v>132.1</v>
      </c>
      <c r="V96" s="94">
        <v>133</v>
      </c>
      <c r="W96" s="94">
        <v>133</v>
      </c>
      <c r="X96" s="94">
        <v>132</v>
      </c>
      <c r="Y96" s="94">
        <v>132</v>
      </c>
      <c r="Z96" s="94">
        <v>132</v>
      </c>
      <c r="AA96" s="94">
        <v>135</v>
      </c>
      <c r="AB96" s="94">
        <v>134.1</v>
      </c>
      <c r="AC96" s="94">
        <v>134.9</v>
      </c>
      <c r="AD96" s="94">
        <v>135.19999999999999</v>
      </c>
      <c r="AE96" s="94">
        <v>134.80000000000001</v>
      </c>
      <c r="AF96" s="94">
        <v>135</v>
      </c>
      <c r="AG96" s="95"/>
      <c r="AH96" s="48">
        <f t="shared" si="9"/>
        <v>135.19999999999999</v>
      </c>
      <c r="AI96" s="49">
        <f t="shared" si="10"/>
        <v>130.4</v>
      </c>
    </row>
    <row r="97" spans="1:37" x14ac:dyDescent="0.25">
      <c r="A97" s="91" t="s">
        <v>102</v>
      </c>
      <c r="B97" s="65">
        <v>130</v>
      </c>
      <c r="C97" s="65">
        <v>130</v>
      </c>
      <c r="D97" s="65">
        <v>130</v>
      </c>
      <c r="E97" s="65">
        <v>132.6</v>
      </c>
      <c r="F97" s="65">
        <v>133.1</v>
      </c>
      <c r="G97" s="65">
        <v>132.30000000000001</v>
      </c>
      <c r="H97" s="65">
        <v>132.30000000000001</v>
      </c>
      <c r="I97" s="65">
        <v>127.8</v>
      </c>
      <c r="J97" s="65">
        <v>124.4</v>
      </c>
      <c r="K97" s="65">
        <v>130.19999999999999</v>
      </c>
      <c r="L97" s="65">
        <v>129.1</v>
      </c>
      <c r="M97" s="65">
        <v>129.4</v>
      </c>
      <c r="N97" s="65">
        <v>128.30000000000001</v>
      </c>
      <c r="O97" s="65">
        <v>127.5</v>
      </c>
      <c r="P97" s="65">
        <v>130.19999999999999</v>
      </c>
      <c r="Q97" s="65">
        <v>133</v>
      </c>
      <c r="R97" s="65">
        <v>131.69999999999999</v>
      </c>
      <c r="S97" s="65">
        <v>129.9</v>
      </c>
      <c r="T97" s="65">
        <v>130.1</v>
      </c>
      <c r="U97" s="65">
        <v>130.1</v>
      </c>
      <c r="V97" s="65">
        <v>132</v>
      </c>
      <c r="W97" s="65">
        <v>132</v>
      </c>
      <c r="X97" s="65">
        <v>131</v>
      </c>
      <c r="Y97" s="65">
        <v>131</v>
      </c>
      <c r="Z97" s="65">
        <v>131</v>
      </c>
      <c r="AA97" s="65">
        <v>133</v>
      </c>
      <c r="AB97" s="65">
        <v>133</v>
      </c>
      <c r="AC97" s="65">
        <v>133.5</v>
      </c>
      <c r="AD97" s="65">
        <v>134.19999999999999</v>
      </c>
      <c r="AE97" s="65">
        <v>134.69999999999999</v>
      </c>
      <c r="AF97" s="65">
        <v>134.4</v>
      </c>
      <c r="AG97" s="92"/>
      <c r="AH97" s="48">
        <f t="shared" si="9"/>
        <v>134.69999999999999</v>
      </c>
      <c r="AI97" s="49">
        <f t="shared" si="10"/>
        <v>124.4</v>
      </c>
    </row>
    <row r="98" spans="1:37" ht="15.75" thickBot="1" x14ac:dyDescent="0.3">
      <c r="A98" s="91" t="s">
        <v>103</v>
      </c>
      <c r="B98" s="96">
        <v>66.7</v>
      </c>
      <c r="C98" s="96">
        <v>66.7</v>
      </c>
      <c r="D98" s="96">
        <v>66.7</v>
      </c>
      <c r="E98" s="96">
        <v>67.2</v>
      </c>
      <c r="F98" s="96">
        <v>67.099999999999994</v>
      </c>
      <c r="G98" s="96">
        <v>67</v>
      </c>
      <c r="H98" s="96">
        <v>67</v>
      </c>
      <c r="I98" s="96">
        <v>66.099999999999994</v>
      </c>
      <c r="J98" s="96">
        <v>65.099999999999994</v>
      </c>
      <c r="K98" s="96">
        <v>64.900000000000006</v>
      </c>
      <c r="L98" s="96">
        <v>64.2</v>
      </c>
      <c r="M98" s="96">
        <v>64.400000000000006</v>
      </c>
      <c r="N98" s="96">
        <v>64.599999999999994</v>
      </c>
      <c r="O98" s="96">
        <v>64.3</v>
      </c>
      <c r="P98" s="96">
        <v>64.599999999999994</v>
      </c>
      <c r="Q98" s="96">
        <v>65.099999999999994</v>
      </c>
      <c r="R98" s="96">
        <v>64.8</v>
      </c>
      <c r="S98" s="96">
        <v>64.900000000000006</v>
      </c>
      <c r="T98" s="96">
        <v>64.8</v>
      </c>
      <c r="U98" s="96">
        <v>64.8</v>
      </c>
      <c r="V98" s="96">
        <v>65</v>
      </c>
      <c r="W98" s="96">
        <v>65</v>
      </c>
      <c r="X98" s="96">
        <v>64</v>
      </c>
      <c r="Y98" s="96">
        <v>64</v>
      </c>
      <c r="Z98" s="96">
        <v>64</v>
      </c>
      <c r="AA98" s="96">
        <v>66</v>
      </c>
      <c r="AB98" s="96">
        <v>65.599999999999994</v>
      </c>
      <c r="AC98" s="96">
        <v>66.099999999999994</v>
      </c>
      <c r="AD98" s="96">
        <v>66.5</v>
      </c>
      <c r="AE98" s="96">
        <v>66.7</v>
      </c>
      <c r="AF98" s="96">
        <v>66.7</v>
      </c>
      <c r="AG98" s="97"/>
      <c r="AH98" s="48">
        <f t="shared" si="9"/>
        <v>67.2</v>
      </c>
      <c r="AI98" s="49">
        <f t="shared" si="10"/>
        <v>64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9"/>
        <v>0</v>
      </c>
      <c r="AI99" s="49">
        <f t="shared" si="10"/>
        <v>0</v>
      </c>
    </row>
    <row r="100" spans="1:37" ht="15.75" thickBot="1" x14ac:dyDescent="0.3">
      <c r="A100" s="99" t="s">
        <v>104</v>
      </c>
      <c r="B100" s="100">
        <f t="shared" ref="B100:AF100" si="21">SUM(B15,B20,B22:B23,B48,B50:B51,B53,B55,B101:B105,B127,B133,B139,B148,B150,B162,B169,B172:B173,B180,B182,B184,B188:B190,B192:B194,B199,B205:B206,B208:B210,B218,B223)</f>
        <v>49.099999999999994</v>
      </c>
      <c r="C100" s="100">
        <f t="shared" si="21"/>
        <v>43.039999999999992</v>
      </c>
      <c r="D100" s="100">
        <f t="shared" si="21"/>
        <v>41.539999999999992</v>
      </c>
      <c r="E100" s="100">
        <f t="shared" si="21"/>
        <v>46.939999999999991</v>
      </c>
      <c r="F100" s="100">
        <f t="shared" si="21"/>
        <v>45.639999999999993</v>
      </c>
      <c r="G100" s="100">
        <f t="shared" si="21"/>
        <v>74.939999999999969</v>
      </c>
      <c r="H100" s="100">
        <f t="shared" si="21"/>
        <v>91.54000000000002</v>
      </c>
      <c r="I100" s="100">
        <f t="shared" si="21"/>
        <v>110.64000000000001</v>
      </c>
      <c r="J100" s="100">
        <f t="shared" si="21"/>
        <v>149.94</v>
      </c>
      <c r="K100" s="100">
        <f t="shared" si="21"/>
        <v>176.74</v>
      </c>
      <c r="L100" s="100">
        <f t="shared" si="21"/>
        <v>177.44</v>
      </c>
      <c r="M100" s="100">
        <f t="shared" si="21"/>
        <v>191.64000000000001</v>
      </c>
      <c r="N100" s="100">
        <f t="shared" si="21"/>
        <v>171.54000000000002</v>
      </c>
      <c r="O100" s="100">
        <f t="shared" si="21"/>
        <v>168.84</v>
      </c>
      <c r="P100" s="100">
        <f t="shared" si="21"/>
        <v>160.94</v>
      </c>
      <c r="Q100" s="100">
        <f t="shared" si="21"/>
        <v>152.69999999999999</v>
      </c>
      <c r="R100" s="100">
        <f t="shared" si="21"/>
        <v>148.20000000000002</v>
      </c>
      <c r="S100" s="100">
        <f t="shared" si="21"/>
        <v>153.60000000000002</v>
      </c>
      <c r="T100" s="100">
        <f t="shared" si="21"/>
        <v>157.09999999999997</v>
      </c>
      <c r="U100" s="100">
        <f t="shared" si="21"/>
        <v>167.79999999999995</v>
      </c>
      <c r="V100" s="100">
        <f t="shared" si="21"/>
        <v>176</v>
      </c>
      <c r="W100" s="100">
        <f t="shared" si="21"/>
        <v>231</v>
      </c>
      <c r="X100" s="100">
        <f t="shared" si="21"/>
        <v>282</v>
      </c>
      <c r="Y100" s="100">
        <f t="shared" si="21"/>
        <v>282</v>
      </c>
      <c r="Z100" s="100">
        <f t="shared" si="21"/>
        <v>261</v>
      </c>
      <c r="AA100" s="100">
        <f t="shared" si="21"/>
        <v>216</v>
      </c>
      <c r="AB100" s="100">
        <f t="shared" si="21"/>
        <v>174.09999999999997</v>
      </c>
      <c r="AC100" s="100">
        <f t="shared" si="21"/>
        <v>155.19999999999999</v>
      </c>
      <c r="AD100" s="100">
        <f t="shared" si="21"/>
        <v>122.80000000000003</v>
      </c>
      <c r="AE100" s="100">
        <f t="shared" si="21"/>
        <v>86.8</v>
      </c>
      <c r="AF100" s="100">
        <f t="shared" si="21"/>
        <v>56.300000000000011</v>
      </c>
      <c r="AG100" s="101"/>
      <c r="AH100" s="48">
        <f t="shared" si="9"/>
        <v>282</v>
      </c>
      <c r="AI100" s="49">
        <f t="shared" si="10"/>
        <v>41.539999999999992</v>
      </c>
    </row>
    <row r="101" spans="1:37" x14ac:dyDescent="0.25">
      <c r="A101" s="88" t="s">
        <v>105</v>
      </c>
      <c r="B101" s="102">
        <v>31</v>
      </c>
      <c r="C101" s="102">
        <v>30</v>
      </c>
      <c r="D101" s="102">
        <v>32</v>
      </c>
      <c r="E101" s="102">
        <v>28</v>
      </c>
      <c r="F101" s="102">
        <v>29</v>
      </c>
      <c r="G101" s="102">
        <v>28.7</v>
      </c>
      <c r="H101" s="102">
        <v>33</v>
      </c>
      <c r="I101" s="102">
        <v>37.6</v>
      </c>
      <c r="J101" s="102">
        <v>43.2</v>
      </c>
      <c r="K101" s="102">
        <v>50</v>
      </c>
      <c r="L101" s="102">
        <v>54.7</v>
      </c>
      <c r="M101" s="102">
        <v>57.1</v>
      </c>
      <c r="N101" s="102">
        <v>51.4</v>
      </c>
      <c r="O101" s="102">
        <v>50.6</v>
      </c>
      <c r="P101" s="102">
        <v>49.6</v>
      </c>
      <c r="Q101" s="102">
        <v>47.9</v>
      </c>
      <c r="R101" s="102">
        <v>48.8</v>
      </c>
      <c r="S101" s="102">
        <v>47.9</v>
      </c>
      <c r="T101" s="102">
        <v>47.1</v>
      </c>
      <c r="U101" s="102">
        <v>50</v>
      </c>
      <c r="V101" s="102">
        <v>54</v>
      </c>
      <c r="W101" s="102">
        <v>60</v>
      </c>
      <c r="X101" s="102">
        <v>59</v>
      </c>
      <c r="Y101" s="102">
        <v>59</v>
      </c>
      <c r="Z101" s="102">
        <v>63</v>
      </c>
      <c r="AA101" s="102">
        <v>56</v>
      </c>
      <c r="AB101" s="102">
        <v>54.4</v>
      </c>
      <c r="AC101" s="102">
        <v>50.2</v>
      </c>
      <c r="AD101" s="102">
        <v>43.8</v>
      </c>
      <c r="AE101" s="102">
        <v>38.4</v>
      </c>
      <c r="AF101" s="102">
        <v>25</v>
      </c>
      <c r="AG101" s="103">
        <v>75</v>
      </c>
      <c r="AH101" s="48">
        <f t="shared" si="9"/>
        <v>63</v>
      </c>
      <c r="AI101" s="49">
        <f t="shared" si="10"/>
        <v>25</v>
      </c>
    </row>
    <row r="102" spans="1:37" x14ac:dyDescent="0.25">
      <c r="A102" s="91" t="s">
        <v>106</v>
      </c>
      <c r="B102" s="104">
        <v>48</v>
      </c>
      <c r="C102" s="104">
        <v>48</v>
      </c>
      <c r="D102" s="104">
        <v>50</v>
      </c>
      <c r="E102" s="104">
        <v>45</v>
      </c>
      <c r="F102" s="104">
        <v>46</v>
      </c>
      <c r="G102" s="104">
        <v>44.1</v>
      </c>
      <c r="H102" s="104">
        <v>49</v>
      </c>
      <c r="I102" s="104">
        <v>54</v>
      </c>
      <c r="J102" s="104">
        <v>62</v>
      </c>
      <c r="K102" s="104">
        <v>71</v>
      </c>
      <c r="L102" s="104">
        <v>80</v>
      </c>
      <c r="M102" s="104">
        <v>82.1</v>
      </c>
      <c r="N102" s="104">
        <v>73.599999999999994</v>
      </c>
      <c r="O102" s="104">
        <v>73.2</v>
      </c>
      <c r="P102" s="104">
        <v>71.900000000000006</v>
      </c>
      <c r="Q102" s="104">
        <v>69.599999999999994</v>
      </c>
      <c r="R102" s="104">
        <v>70.3</v>
      </c>
      <c r="S102" s="104">
        <v>69.7</v>
      </c>
      <c r="T102" s="104">
        <v>67.599999999999994</v>
      </c>
      <c r="U102" s="104">
        <v>72</v>
      </c>
      <c r="V102" s="104">
        <v>77</v>
      </c>
      <c r="W102" s="104">
        <v>87</v>
      </c>
      <c r="X102" s="104">
        <v>84</v>
      </c>
      <c r="Y102" s="104">
        <v>84</v>
      </c>
      <c r="Z102" s="104">
        <v>92</v>
      </c>
      <c r="AA102" s="104">
        <v>80</v>
      </c>
      <c r="AB102" s="104">
        <v>77.5</v>
      </c>
      <c r="AC102" s="104">
        <v>71.2</v>
      </c>
      <c r="AD102" s="104">
        <v>62.4</v>
      </c>
      <c r="AE102" s="104">
        <v>56.4</v>
      </c>
      <c r="AF102" s="104">
        <v>37.799999999999997</v>
      </c>
      <c r="AG102" s="103">
        <v>240</v>
      </c>
      <c r="AH102" s="48">
        <f t="shared" si="9"/>
        <v>92</v>
      </c>
      <c r="AI102" s="49">
        <f t="shared" si="10"/>
        <v>37.799999999999997</v>
      </c>
    </row>
    <row r="103" spans="1:37" x14ac:dyDescent="0.25">
      <c r="A103" s="91" t="s">
        <v>107</v>
      </c>
      <c r="B103" s="104">
        <v>-134</v>
      </c>
      <c r="C103" s="104">
        <v>-136</v>
      </c>
      <c r="D103" s="104">
        <v>-139</v>
      </c>
      <c r="E103" s="104">
        <v>-127</v>
      </c>
      <c r="F103" s="104">
        <v>-130</v>
      </c>
      <c r="G103" s="104">
        <v>-130</v>
      </c>
      <c r="H103" s="104">
        <v>-130</v>
      </c>
      <c r="I103" s="104">
        <v>-122</v>
      </c>
      <c r="J103" s="104">
        <v>-102</v>
      </c>
      <c r="K103" s="104">
        <v>-100</v>
      </c>
      <c r="L103" s="104">
        <v>-112</v>
      </c>
      <c r="M103" s="104">
        <f>-58.3-62.2</f>
        <v>-120.5</v>
      </c>
      <c r="N103" s="104">
        <f>-58.6-62.6</f>
        <v>-121.2</v>
      </c>
      <c r="O103" s="104">
        <f>-60-63.4</f>
        <v>-123.4</v>
      </c>
      <c r="P103" s="104">
        <f>-62-66</f>
        <v>-128</v>
      </c>
      <c r="Q103" s="104">
        <v>-122.8</v>
      </c>
      <c r="R103" s="104">
        <f>-62-66</f>
        <v>-128</v>
      </c>
      <c r="S103" s="104">
        <v>-122</v>
      </c>
      <c r="T103" s="104">
        <f>-58.1-62.9</f>
        <v>-121</v>
      </c>
      <c r="U103" s="104">
        <v>-123</v>
      </c>
      <c r="V103" s="104">
        <v>-126</v>
      </c>
      <c r="W103" s="104">
        <v>-106</v>
      </c>
      <c r="X103" s="104">
        <v>-70</v>
      </c>
      <c r="Y103" s="104">
        <v>-70</v>
      </c>
      <c r="Z103" s="104">
        <v>-98</v>
      </c>
      <c r="AA103" s="104">
        <v>-103</v>
      </c>
      <c r="AB103" s="104">
        <f>-56.8-61</f>
        <v>-117.8</v>
      </c>
      <c r="AC103" s="104">
        <f>-60.2-64</f>
        <v>-124.2</v>
      </c>
      <c r="AD103" s="104">
        <f>-58.3-61.9</f>
        <v>-120.19999999999999</v>
      </c>
      <c r="AE103" s="104">
        <f>-63.8-68</f>
        <v>-131.80000000000001</v>
      </c>
      <c r="AF103" s="104">
        <f>-62-66</f>
        <v>-128</v>
      </c>
      <c r="AG103" s="103">
        <v>240</v>
      </c>
      <c r="AH103" s="48">
        <f t="shared" si="9"/>
        <v>-70</v>
      </c>
      <c r="AI103" s="49">
        <f t="shared" si="10"/>
        <v>-139</v>
      </c>
    </row>
    <row r="104" spans="1:37" x14ac:dyDescent="0.25">
      <c r="A104" s="91" t="s">
        <v>108</v>
      </c>
      <c r="B104" s="104">
        <v>0</v>
      </c>
      <c r="C104" s="104">
        <v>0</v>
      </c>
      <c r="D104" s="104">
        <v>0</v>
      </c>
      <c r="E104" s="104">
        <v>1.4</v>
      </c>
      <c r="F104" s="104">
        <v>1.1000000000000001</v>
      </c>
      <c r="G104" s="104">
        <v>1.6</v>
      </c>
      <c r="H104" s="104">
        <v>3</v>
      </c>
      <c r="I104" s="104">
        <v>4.5</v>
      </c>
      <c r="J104" s="104">
        <v>10.199999999999999</v>
      </c>
      <c r="K104" s="104">
        <v>10.199999999999999</v>
      </c>
      <c r="L104" s="104">
        <v>9.1999999999999993</v>
      </c>
      <c r="M104" s="104">
        <v>9.1</v>
      </c>
      <c r="N104" s="104">
        <v>8.3000000000000007</v>
      </c>
      <c r="O104" s="104">
        <v>9</v>
      </c>
      <c r="P104" s="104">
        <v>8</v>
      </c>
      <c r="Q104" s="104">
        <v>8.3000000000000007</v>
      </c>
      <c r="R104" s="104">
        <v>7.4</v>
      </c>
      <c r="S104" s="104">
        <v>8.3000000000000007</v>
      </c>
      <c r="T104" s="104">
        <v>9.1999999999999993</v>
      </c>
      <c r="U104" s="104">
        <v>10</v>
      </c>
      <c r="V104" s="104">
        <v>11</v>
      </c>
      <c r="W104" s="104">
        <v>14</v>
      </c>
      <c r="X104" s="104">
        <v>19</v>
      </c>
      <c r="Y104" s="104">
        <v>19</v>
      </c>
      <c r="Z104" s="104">
        <v>14</v>
      </c>
      <c r="AA104" s="104">
        <v>12</v>
      </c>
      <c r="AB104" s="104">
        <v>10</v>
      </c>
      <c r="AC104" s="104">
        <v>8</v>
      </c>
      <c r="AD104" s="104">
        <v>6.8</v>
      </c>
      <c r="AE104" s="104">
        <v>3.8</v>
      </c>
      <c r="AF104" s="104">
        <v>1.5</v>
      </c>
      <c r="AG104" s="103">
        <v>60</v>
      </c>
      <c r="AH104" s="48">
        <f t="shared" si="9"/>
        <v>19</v>
      </c>
      <c r="AI104" s="49">
        <f t="shared" si="10"/>
        <v>0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0</v>
      </c>
      <c r="Y105" s="106">
        <v>0</v>
      </c>
      <c r="Z105" s="106">
        <v>0</v>
      </c>
      <c r="AA105" s="106">
        <v>0</v>
      </c>
      <c r="AB105" s="106">
        <v>0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9"/>
        <v>0</v>
      </c>
      <c r="AI105" s="49">
        <f t="shared" si="10"/>
        <v>0</v>
      </c>
    </row>
    <row r="106" spans="1:37" x14ac:dyDescent="0.25">
      <c r="A106" s="105" t="s">
        <v>110</v>
      </c>
      <c r="B106" s="106">
        <v>-57</v>
      </c>
      <c r="C106" s="106">
        <v>-58</v>
      </c>
      <c r="D106" s="106">
        <v>-61</v>
      </c>
      <c r="E106" s="106">
        <v>-51</v>
      </c>
      <c r="F106" s="106">
        <v>-53</v>
      </c>
      <c r="G106" s="106">
        <v>-52</v>
      </c>
      <c r="H106" s="106">
        <v>-53</v>
      </c>
      <c r="I106" s="106">
        <v>-51</v>
      </c>
      <c r="J106" s="106">
        <v>-44</v>
      </c>
      <c r="K106" s="106">
        <v>-47</v>
      </c>
      <c r="L106" s="106">
        <v>-56</v>
      </c>
      <c r="M106" s="106">
        <v>-61.1</v>
      </c>
      <c r="N106" s="106">
        <v>-59.8</v>
      </c>
      <c r="O106" s="106">
        <v>-61.1</v>
      </c>
      <c r="P106" s="106">
        <v>-60.7</v>
      </c>
      <c r="Q106" s="106">
        <v>-60.7</v>
      </c>
      <c r="R106" s="106">
        <v>-63.7</v>
      </c>
      <c r="S106" s="106">
        <v>-58.1</v>
      </c>
      <c r="T106" s="106">
        <v>-59.1</v>
      </c>
      <c r="U106" s="106">
        <v>-59</v>
      </c>
      <c r="V106" s="106">
        <v>-63</v>
      </c>
      <c r="W106" s="106">
        <v>-42</v>
      </c>
      <c r="X106" s="106">
        <v>-13</v>
      </c>
      <c r="Y106" s="106">
        <v>-13</v>
      </c>
      <c r="Z106" s="106">
        <v>-38</v>
      </c>
      <c r="AA106" s="106">
        <v>-36</v>
      </c>
      <c r="AB106" s="106">
        <v>-47.1</v>
      </c>
      <c r="AC106" s="106">
        <v>-51.3</v>
      </c>
      <c r="AD106" s="106">
        <v>-47</v>
      </c>
      <c r="AE106" s="106">
        <v>-57.3</v>
      </c>
      <c r="AF106" s="106">
        <v>-51.2</v>
      </c>
      <c r="AG106" s="107"/>
      <c r="AH106" s="48">
        <f t="shared" si="9"/>
        <v>-13</v>
      </c>
      <c r="AI106" s="49">
        <f t="shared" si="10"/>
        <v>-63.7</v>
      </c>
    </row>
    <row r="107" spans="1:37" x14ac:dyDescent="0.25">
      <c r="A107" s="105" t="s">
        <v>111</v>
      </c>
      <c r="B107" s="106">
        <v>-27</v>
      </c>
      <c r="C107" s="106">
        <v>-36</v>
      </c>
      <c r="D107" s="106">
        <v>-43</v>
      </c>
      <c r="E107" s="106">
        <v>-25</v>
      </c>
      <c r="F107" s="106">
        <v>-22</v>
      </c>
      <c r="G107" s="106">
        <v>-20</v>
      </c>
      <c r="H107" s="106">
        <v>-39</v>
      </c>
      <c r="I107" s="106">
        <v>-39</v>
      </c>
      <c r="J107" s="106">
        <v>-44</v>
      </c>
      <c r="K107" s="106">
        <v>-53</v>
      </c>
      <c r="L107" s="106">
        <v>-50</v>
      </c>
      <c r="M107" s="106">
        <v>-76.2</v>
      </c>
      <c r="N107" s="106">
        <v>-74.2</v>
      </c>
      <c r="O107" s="106">
        <v>-80</v>
      </c>
      <c r="P107" s="106">
        <v>-69</v>
      </c>
      <c r="Q107" s="106">
        <v>-72.7</v>
      </c>
      <c r="R107" s="106">
        <v>-33.4</v>
      </c>
      <c r="S107" s="106">
        <v>-33.799999999999997</v>
      </c>
      <c r="T107" s="106">
        <v>-40</v>
      </c>
      <c r="U107" s="106">
        <v>-38</v>
      </c>
      <c r="V107" s="106">
        <v>-34</v>
      </c>
      <c r="W107" s="106">
        <v>-35</v>
      </c>
      <c r="X107" s="106">
        <v>-45</v>
      </c>
      <c r="Y107" s="106">
        <v>-45</v>
      </c>
      <c r="Z107" s="106">
        <v>-41</v>
      </c>
      <c r="AA107" s="106">
        <v>-38</v>
      </c>
      <c r="AB107" s="106">
        <v>-34.200000000000003</v>
      </c>
      <c r="AC107" s="106">
        <v>-36.799999999999997</v>
      </c>
      <c r="AD107" s="106">
        <v>-37</v>
      </c>
      <c r="AE107" s="106">
        <v>-44.1</v>
      </c>
      <c r="AF107" s="106">
        <v>-50.2</v>
      </c>
      <c r="AG107" s="108"/>
      <c r="AH107" s="48">
        <f t="shared" si="9"/>
        <v>-20</v>
      </c>
      <c r="AI107" s="49">
        <f t="shared" si="10"/>
        <v>-80</v>
      </c>
    </row>
    <row r="108" spans="1:37" x14ac:dyDescent="0.25">
      <c r="A108" s="109" t="s">
        <v>112</v>
      </c>
      <c r="B108" s="94">
        <v>108</v>
      </c>
      <c r="C108" s="94">
        <v>112</v>
      </c>
      <c r="D108" s="94">
        <v>112</v>
      </c>
      <c r="E108" s="94">
        <v>112</v>
      </c>
      <c r="F108" s="94">
        <v>111</v>
      </c>
      <c r="G108" s="94">
        <v>111</v>
      </c>
      <c r="H108" s="94">
        <v>92</v>
      </c>
      <c r="I108" s="94">
        <v>95</v>
      </c>
      <c r="J108" s="94">
        <v>107</v>
      </c>
      <c r="K108" s="94">
        <v>108</v>
      </c>
      <c r="L108" s="94">
        <v>103</v>
      </c>
      <c r="M108" s="94">
        <v>100.3</v>
      </c>
      <c r="N108" s="94">
        <v>100.6</v>
      </c>
      <c r="O108" s="94">
        <v>103</v>
      </c>
      <c r="P108" s="94">
        <v>104.7</v>
      </c>
      <c r="Q108" s="94">
        <v>100.2</v>
      </c>
      <c r="R108" s="94">
        <v>98.4</v>
      </c>
      <c r="S108" s="94">
        <v>95.2</v>
      </c>
      <c r="T108" s="94">
        <v>76.400000000000006</v>
      </c>
      <c r="U108" s="94">
        <v>90</v>
      </c>
      <c r="V108" s="94">
        <v>86</v>
      </c>
      <c r="W108" s="94">
        <v>66</v>
      </c>
      <c r="X108" s="94">
        <v>62</v>
      </c>
      <c r="Y108" s="94">
        <v>62</v>
      </c>
      <c r="Z108" s="94">
        <v>79</v>
      </c>
      <c r="AA108" s="94">
        <v>87</v>
      </c>
      <c r="AB108" s="94">
        <v>84.1</v>
      </c>
      <c r="AC108" s="94">
        <v>93</v>
      </c>
      <c r="AD108" s="94">
        <v>100.1</v>
      </c>
      <c r="AE108" s="94">
        <v>104.2</v>
      </c>
      <c r="AF108" s="94">
        <v>108.5</v>
      </c>
      <c r="AG108" s="108"/>
      <c r="AH108" s="48">
        <f t="shared" si="9"/>
        <v>112</v>
      </c>
      <c r="AI108" s="49">
        <f t="shared" si="10"/>
        <v>62</v>
      </c>
    </row>
    <row r="109" spans="1:37" ht="15.75" thickBot="1" x14ac:dyDescent="0.3">
      <c r="A109" s="109" t="s">
        <v>113</v>
      </c>
      <c r="B109" s="94">
        <v>102</v>
      </c>
      <c r="C109" s="94">
        <v>103</v>
      </c>
      <c r="D109" s="94">
        <v>106</v>
      </c>
      <c r="E109" s="94">
        <v>96</v>
      </c>
      <c r="F109" s="94">
        <v>98</v>
      </c>
      <c r="G109" s="94">
        <v>98</v>
      </c>
      <c r="H109" s="94">
        <v>97</v>
      </c>
      <c r="I109" s="94">
        <v>93</v>
      </c>
      <c r="J109" s="94">
        <v>83</v>
      </c>
      <c r="K109" s="94">
        <v>85</v>
      </c>
      <c r="L109" s="94">
        <v>95</v>
      </c>
      <c r="M109" s="94">
        <v>101.4</v>
      </c>
      <c r="N109" s="94">
        <v>98.3</v>
      </c>
      <c r="O109" s="94">
        <v>98.6</v>
      </c>
      <c r="P109" s="94">
        <v>99.7</v>
      </c>
      <c r="Q109" s="94">
        <v>92.8</v>
      </c>
      <c r="R109" s="94">
        <v>97.4</v>
      </c>
      <c r="S109" s="94">
        <v>95.7</v>
      </c>
      <c r="T109" s="94">
        <v>95.1</v>
      </c>
      <c r="U109" s="94">
        <v>95</v>
      </c>
      <c r="V109" s="94">
        <v>98</v>
      </c>
      <c r="W109" s="94">
        <v>86</v>
      </c>
      <c r="X109" s="94">
        <v>63</v>
      </c>
      <c r="Y109" s="94">
        <v>63</v>
      </c>
      <c r="Z109" s="94">
        <v>88</v>
      </c>
      <c r="AA109" s="94">
        <v>86</v>
      </c>
      <c r="AB109" s="94">
        <v>95.6</v>
      </c>
      <c r="AC109" s="94">
        <v>97.6</v>
      </c>
      <c r="AD109" s="94">
        <v>95</v>
      </c>
      <c r="AE109" s="94">
        <v>100</v>
      </c>
      <c r="AF109" s="94">
        <v>93.4</v>
      </c>
      <c r="AG109" s="108"/>
      <c r="AH109" s="48">
        <f t="shared" si="9"/>
        <v>106</v>
      </c>
      <c r="AI109" s="49">
        <f t="shared" si="10"/>
        <v>63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22">SUM(B111:B215)</f>
        <v>0</v>
      </c>
      <c r="C216" s="125">
        <f t="shared" si="22"/>
        <v>0</v>
      </c>
      <c r="D216" s="125">
        <f t="shared" si="22"/>
        <v>0</v>
      </c>
      <c r="E216" s="125">
        <f t="shared" si="22"/>
        <v>0</v>
      </c>
      <c r="F216" s="125">
        <f t="shared" si="22"/>
        <v>0</v>
      </c>
      <c r="G216" s="125">
        <f t="shared" si="22"/>
        <v>0</v>
      </c>
      <c r="H216" s="125">
        <f t="shared" si="22"/>
        <v>0</v>
      </c>
      <c r="I216" s="125">
        <f t="shared" si="22"/>
        <v>0</v>
      </c>
      <c r="J216" s="125">
        <f t="shared" si="22"/>
        <v>0</v>
      </c>
      <c r="K216" s="125">
        <f t="shared" si="22"/>
        <v>0</v>
      </c>
      <c r="L216" s="125">
        <f t="shared" si="22"/>
        <v>0</v>
      </c>
      <c r="M216" s="125">
        <f t="shared" si="22"/>
        <v>0</v>
      </c>
      <c r="N216" s="125">
        <f t="shared" si="22"/>
        <v>0</v>
      </c>
      <c r="O216" s="125">
        <f t="shared" si="22"/>
        <v>0</v>
      </c>
      <c r="P216" s="125">
        <f t="shared" si="22"/>
        <v>0</v>
      </c>
      <c r="Q216" s="125">
        <f t="shared" si="22"/>
        <v>0</v>
      </c>
      <c r="R216" s="125">
        <f t="shared" si="22"/>
        <v>0</v>
      </c>
      <c r="S216" s="125">
        <f t="shared" si="22"/>
        <v>0</v>
      </c>
      <c r="T216" s="125">
        <f t="shared" si="22"/>
        <v>0</v>
      </c>
      <c r="U216" s="125">
        <f t="shared" si="22"/>
        <v>0</v>
      </c>
      <c r="V216" s="125">
        <f t="shared" si="22"/>
        <v>0</v>
      </c>
      <c r="W216" s="125">
        <f t="shared" si="22"/>
        <v>0</v>
      </c>
      <c r="X216" s="125">
        <f t="shared" si="22"/>
        <v>0</v>
      </c>
      <c r="Y216" s="125">
        <f t="shared" si="22"/>
        <v>0</v>
      </c>
      <c r="Z216" s="125">
        <f t="shared" si="22"/>
        <v>0</v>
      </c>
      <c r="AA216" s="125">
        <f t="shared" si="22"/>
        <v>0</v>
      </c>
      <c r="AB216" s="125">
        <f t="shared" si="22"/>
        <v>0</v>
      </c>
      <c r="AC216" s="125">
        <f t="shared" si="22"/>
        <v>0</v>
      </c>
      <c r="AD216" s="125">
        <f t="shared" si="22"/>
        <v>0</v>
      </c>
      <c r="AE216" s="125">
        <f t="shared" si="22"/>
        <v>0</v>
      </c>
      <c r="AF216" s="126">
        <f t="shared" si="22"/>
        <v>0</v>
      </c>
      <c r="AG216" s="127">
        <f t="shared" si="22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23">AF218</f>
        <v>0</v>
      </c>
      <c r="C218" s="129">
        <v>0.3</v>
      </c>
      <c r="D218" s="129">
        <f t="shared" ref="D218:P223" si="24">C218</f>
        <v>0.3</v>
      </c>
      <c r="E218" s="129">
        <f t="shared" si="24"/>
        <v>0.3</v>
      </c>
      <c r="F218" s="129">
        <f t="shared" si="24"/>
        <v>0.3</v>
      </c>
      <c r="G218" s="129">
        <f t="shared" si="24"/>
        <v>0.3</v>
      </c>
      <c r="H218" s="129">
        <f t="shared" si="24"/>
        <v>0.3</v>
      </c>
      <c r="I218" s="129">
        <f t="shared" si="24"/>
        <v>0.3</v>
      </c>
      <c r="J218" s="129">
        <f t="shared" si="24"/>
        <v>0.3</v>
      </c>
      <c r="K218" s="129">
        <f t="shared" si="24"/>
        <v>0.3</v>
      </c>
      <c r="L218" s="129">
        <f t="shared" si="24"/>
        <v>0.3</v>
      </c>
      <c r="M218" s="129">
        <f t="shared" si="24"/>
        <v>0.3</v>
      </c>
      <c r="N218" s="129">
        <f t="shared" si="24"/>
        <v>0.3</v>
      </c>
      <c r="O218" s="129">
        <f t="shared" si="24"/>
        <v>0.3</v>
      </c>
      <c r="P218" s="129">
        <f t="shared" si="24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23"/>
        <v>0</v>
      </c>
      <c r="C219" s="117">
        <v>0.4</v>
      </c>
      <c r="D219" s="117">
        <f t="shared" si="24"/>
        <v>0.4</v>
      </c>
      <c r="E219" s="117">
        <f t="shared" si="24"/>
        <v>0.4</v>
      </c>
      <c r="F219" s="117">
        <f t="shared" si="24"/>
        <v>0.4</v>
      </c>
      <c r="G219" s="117">
        <f t="shared" si="24"/>
        <v>0.4</v>
      </c>
      <c r="H219" s="117">
        <f t="shared" si="24"/>
        <v>0.4</v>
      </c>
      <c r="I219" s="117">
        <f t="shared" si="24"/>
        <v>0.4</v>
      </c>
      <c r="J219" s="117">
        <f t="shared" si="24"/>
        <v>0.4</v>
      </c>
      <c r="K219" s="117">
        <f t="shared" si="24"/>
        <v>0.4</v>
      </c>
      <c r="L219" s="117">
        <f t="shared" si="24"/>
        <v>0.4</v>
      </c>
      <c r="M219" s="117">
        <f t="shared" si="24"/>
        <v>0.4</v>
      </c>
      <c r="N219" s="117">
        <f t="shared" si="24"/>
        <v>0.4</v>
      </c>
      <c r="O219" s="117">
        <f t="shared" si="24"/>
        <v>0.4</v>
      </c>
      <c r="P219" s="117">
        <f t="shared" si="24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23"/>
        <v>0</v>
      </c>
      <c r="C220" s="117">
        <v>1.5</v>
      </c>
      <c r="D220" s="117">
        <f t="shared" si="24"/>
        <v>1.5</v>
      </c>
      <c r="E220" s="117">
        <f t="shared" si="24"/>
        <v>1.5</v>
      </c>
      <c r="F220" s="117">
        <f t="shared" si="24"/>
        <v>1.5</v>
      </c>
      <c r="G220" s="117">
        <f t="shared" si="24"/>
        <v>1.5</v>
      </c>
      <c r="H220" s="117">
        <f t="shared" si="24"/>
        <v>1.5</v>
      </c>
      <c r="I220" s="117">
        <f t="shared" si="24"/>
        <v>1.5</v>
      </c>
      <c r="J220" s="117">
        <f t="shared" si="24"/>
        <v>1.5</v>
      </c>
      <c r="K220" s="117">
        <f t="shared" si="24"/>
        <v>1.5</v>
      </c>
      <c r="L220" s="117">
        <f t="shared" si="24"/>
        <v>1.5</v>
      </c>
      <c r="M220" s="117">
        <f t="shared" si="24"/>
        <v>1.5</v>
      </c>
      <c r="N220" s="117">
        <f t="shared" si="24"/>
        <v>1.5</v>
      </c>
      <c r="O220" s="117">
        <f t="shared" si="24"/>
        <v>1.5</v>
      </c>
      <c r="P220" s="117">
        <f t="shared" si="24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23"/>
        <v>0</v>
      </c>
      <c r="C221" s="117">
        <v>0.3</v>
      </c>
      <c r="D221" s="117">
        <f t="shared" si="24"/>
        <v>0.3</v>
      </c>
      <c r="E221" s="117">
        <f t="shared" si="24"/>
        <v>0.3</v>
      </c>
      <c r="F221" s="117">
        <f t="shared" si="24"/>
        <v>0.3</v>
      </c>
      <c r="G221" s="117">
        <f t="shared" si="24"/>
        <v>0.3</v>
      </c>
      <c r="H221" s="117">
        <f t="shared" si="24"/>
        <v>0.3</v>
      </c>
      <c r="I221" s="117">
        <f t="shared" si="24"/>
        <v>0.3</v>
      </c>
      <c r="J221" s="117">
        <f t="shared" si="24"/>
        <v>0.3</v>
      </c>
      <c r="K221" s="117">
        <f t="shared" si="24"/>
        <v>0.3</v>
      </c>
      <c r="L221" s="117">
        <f t="shared" si="24"/>
        <v>0.3</v>
      </c>
      <c r="M221" s="117">
        <f t="shared" si="24"/>
        <v>0.3</v>
      </c>
      <c r="N221" s="117">
        <f t="shared" si="24"/>
        <v>0.3</v>
      </c>
      <c r="O221" s="117">
        <f t="shared" si="24"/>
        <v>0.3</v>
      </c>
      <c r="P221" s="117">
        <f t="shared" si="24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23"/>
        <v>0</v>
      </c>
      <c r="C222" s="117">
        <v>0.4</v>
      </c>
      <c r="D222" s="117">
        <f t="shared" si="24"/>
        <v>0.4</v>
      </c>
      <c r="E222" s="117">
        <f t="shared" si="24"/>
        <v>0.4</v>
      </c>
      <c r="F222" s="117">
        <f t="shared" si="24"/>
        <v>0.4</v>
      </c>
      <c r="G222" s="117">
        <f t="shared" si="24"/>
        <v>0.4</v>
      </c>
      <c r="H222" s="117">
        <f t="shared" si="24"/>
        <v>0.4</v>
      </c>
      <c r="I222" s="117">
        <f t="shared" si="24"/>
        <v>0.4</v>
      </c>
      <c r="J222" s="117">
        <f t="shared" si="24"/>
        <v>0.4</v>
      </c>
      <c r="K222" s="117">
        <f t="shared" si="24"/>
        <v>0.4</v>
      </c>
      <c r="L222" s="117">
        <f t="shared" si="24"/>
        <v>0.4</v>
      </c>
      <c r="M222" s="117">
        <f t="shared" si="24"/>
        <v>0.4</v>
      </c>
      <c r="N222" s="117">
        <f t="shared" si="24"/>
        <v>0.4</v>
      </c>
      <c r="O222" s="117">
        <f t="shared" si="24"/>
        <v>0.4</v>
      </c>
      <c r="P222" s="117">
        <f t="shared" si="24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23"/>
        <v>0</v>
      </c>
      <c r="C223" s="121">
        <v>0.64</v>
      </c>
      <c r="D223" s="121">
        <f t="shared" si="24"/>
        <v>0.64</v>
      </c>
      <c r="E223" s="121">
        <f t="shared" si="24"/>
        <v>0.64</v>
      </c>
      <c r="F223" s="121">
        <f t="shared" si="24"/>
        <v>0.64</v>
      </c>
      <c r="G223" s="121">
        <f t="shared" si="24"/>
        <v>0.64</v>
      </c>
      <c r="H223" s="121">
        <f t="shared" si="24"/>
        <v>0.64</v>
      </c>
      <c r="I223" s="121">
        <f t="shared" si="24"/>
        <v>0.64</v>
      </c>
      <c r="J223" s="121">
        <f t="shared" si="24"/>
        <v>0.64</v>
      </c>
      <c r="K223" s="121">
        <f t="shared" si="24"/>
        <v>0.64</v>
      </c>
      <c r="L223" s="121">
        <f t="shared" si="24"/>
        <v>0.64</v>
      </c>
      <c r="M223" s="121">
        <f t="shared" si="24"/>
        <v>0.64</v>
      </c>
      <c r="N223" s="121">
        <f t="shared" si="24"/>
        <v>0.64</v>
      </c>
      <c r="O223" s="121">
        <f t="shared" si="24"/>
        <v>0.64</v>
      </c>
      <c r="P223" s="121">
        <f t="shared" si="24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5">SUM(B218:B223)</f>
        <v>0</v>
      </c>
      <c r="C224" s="125">
        <f t="shared" si="25"/>
        <v>3.54</v>
      </c>
      <c r="D224" s="125">
        <f t="shared" si="25"/>
        <v>3.54</v>
      </c>
      <c r="E224" s="125">
        <f t="shared" si="25"/>
        <v>3.54</v>
      </c>
      <c r="F224" s="125">
        <f t="shared" si="25"/>
        <v>3.54</v>
      </c>
      <c r="G224" s="125">
        <f t="shared" si="25"/>
        <v>3.54</v>
      </c>
      <c r="H224" s="125">
        <f t="shared" si="25"/>
        <v>3.54</v>
      </c>
      <c r="I224" s="125">
        <f t="shared" si="25"/>
        <v>3.54</v>
      </c>
      <c r="J224" s="125">
        <f t="shared" si="25"/>
        <v>3.54</v>
      </c>
      <c r="K224" s="125">
        <f t="shared" si="25"/>
        <v>3.54</v>
      </c>
      <c r="L224" s="125">
        <f t="shared" si="25"/>
        <v>3.54</v>
      </c>
      <c r="M224" s="125">
        <f t="shared" si="25"/>
        <v>3.54</v>
      </c>
      <c r="N224" s="125">
        <f t="shared" si="25"/>
        <v>3.54</v>
      </c>
      <c r="O224" s="125">
        <f t="shared" si="25"/>
        <v>3.54</v>
      </c>
      <c r="P224" s="125">
        <f t="shared" si="25"/>
        <v>3.54</v>
      </c>
      <c r="Q224" s="125">
        <f t="shared" si="25"/>
        <v>0</v>
      </c>
      <c r="R224" s="125">
        <f t="shared" si="25"/>
        <v>0</v>
      </c>
      <c r="S224" s="125">
        <f t="shared" si="25"/>
        <v>0</v>
      </c>
      <c r="T224" s="125">
        <f t="shared" si="25"/>
        <v>0</v>
      </c>
      <c r="U224" s="125">
        <f t="shared" si="25"/>
        <v>0</v>
      </c>
      <c r="V224" s="125">
        <f t="shared" si="25"/>
        <v>0</v>
      </c>
      <c r="W224" s="125">
        <f t="shared" si="25"/>
        <v>0</v>
      </c>
      <c r="X224" s="125">
        <f t="shared" si="25"/>
        <v>0</v>
      </c>
      <c r="Y224" s="125">
        <f t="shared" si="25"/>
        <v>0</v>
      </c>
      <c r="Z224" s="125">
        <f t="shared" si="25"/>
        <v>0</v>
      </c>
      <c r="AA224" s="125">
        <f t="shared" si="25"/>
        <v>0</v>
      </c>
      <c r="AB224" s="125">
        <f t="shared" si="25"/>
        <v>0</v>
      </c>
      <c r="AC224" s="125">
        <f t="shared" si="25"/>
        <v>0</v>
      </c>
      <c r="AD224" s="125">
        <f t="shared" si="25"/>
        <v>0</v>
      </c>
      <c r="AE224" s="125">
        <f t="shared" si="25"/>
        <v>0</v>
      </c>
      <c r="AF224" s="125">
        <f t="shared" si="25"/>
        <v>0</v>
      </c>
      <c r="AG224" s="134">
        <f t="shared" si="25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1268.54</v>
      </c>
      <c r="C233" s="150">
        <f>INDEX(G9:N9,1,MATCH(MAX(G81:N81),G81:N81,0))</f>
        <v>0.33333333333333331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14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2079/06/14)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2079/06/14)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26">B81</f>
        <v>996.43999999999994</v>
      </c>
      <c r="U238" s="159">
        <f t="shared" si="26"/>
        <v>988.43999999999994</v>
      </c>
      <c r="V238" s="159">
        <f t="shared" si="26"/>
        <v>977.93999999999994</v>
      </c>
      <c r="W238" s="159">
        <f t="shared" si="26"/>
        <v>975.7399999999999</v>
      </c>
      <c r="X238" s="159">
        <f t="shared" si="26"/>
        <v>980.2399999999999</v>
      </c>
      <c r="Y238" s="159">
        <f t="shared" si="26"/>
        <v>1027.54</v>
      </c>
      <c r="Z238" s="159">
        <f t="shared" si="26"/>
        <v>1064.24</v>
      </c>
      <c r="AA238" s="159">
        <f t="shared" si="26"/>
        <v>1091.24</v>
      </c>
      <c r="AB238" s="159">
        <f t="shared" si="26"/>
        <v>1121.74</v>
      </c>
      <c r="AC238" s="159">
        <f t="shared" si="26"/>
        <v>1198.6400000000001</v>
      </c>
      <c r="AD238" s="159">
        <f t="shared" si="26"/>
        <v>1260.94</v>
      </c>
      <c r="AE238" s="159">
        <f t="shared" si="26"/>
        <v>1268.54</v>
      </c>
      <c r="AF238" s="159">
        <f t="shared" si="26"/>
        <v>1234.04</v>
      </c>
      <c r="AG238" s="159">
        <f t="shared" si="26"/>
        <v>1215.54</v>
      </c>
      <c r="AH238" s="159">
        <f t="shared" si="26"/>
        <v>1208.74</v>
      </c>
      <c r="AI238" s="159">
        <f t="shared" si="26"/>
        <v>1181.44</v>
      </c>
      <c r="AJ238" s="159">
        <f t="shared" si="26"/>
        <v>1171.44</v>
      </c>
      <c r="AK238" s="159">
        <f t="shared" si="26"/>
        <v>1170.74</v>
      </c>
      <c r="AL238" s="159">
        <f t="shared" si="26"/>
        <v>1196.6399999999999</v>
      </c>
      <c r="AM238" s="159">
        <f t="shared" si="26"/>
        <v>1201.3400000000001</v>
      </c>
      <c r="AN238" s="159">
        <f t="shared" si="26"/>
        <v>1238.3400000000001</v>
      </c>
      <c r="AO238" s="159">
        <f t="shared" si="26"/>
        <v>1296.3400000000001</v>
      </c>
      <c r="AP238" s="159">
        <f t="shared" si="26"/>
        <v>1346.1399999999999</v>
      </c>
      <c r="AQ238" s="159">
        <f t="shared" si="26"/>
        <v>1351.1399999999999</v>
      </c>
      <c r="AR238" s="159">
        <f t="shared" si="26"/>
        <v>1340.1399999999999</v>
      </c>
      <c r="AS238" s="159">
        <f t="shared" si="26"/>
        <v>1278.1399999999999</v>
      </c>
      <c r="AT238" s="159">
        <f t="shared" si="26"/>
        <v>1245.1399999999999</v>
      </c>
      <c r="AU238" s="159">
        <f t="shared" si="26"/>
        <v>1193.8399999999999</v>
      </c>
      <c r="AV238" s="159">
        <f t="shared" si="26"/>
        <v>1136.1400000000001</v>
      </c>
      <c r="AW238" s="159">
        <f t="shared" si="26"/>
        <v>1075.1399999999999</v>
      </c>
      <c r="AX238" s="159">
        <f t="shared" si="26"/>
        <v>1025.3399999999999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27">C223</f>
        <v>0.64</v>
      </c>
      <c r="C259" s="162">
        <f t="shared" si="27"/>
        <v>0.64</v>
      </c>
      <c r="D259" s="162">
        <f t="shared" si="27"/>
        <v>0.64</v>
      </c>
      <c r="E259" s="162">
        <f t="shared" si="27"/>
        <v>0.64</v>
      </c>
      <c r="F259" s="162">
        <f t="shared" si="27"/>
        <v>0.64</v>
      </c>
      <c r="G259" s="162">
        <f t="shared" si="27"/>
        <v>0.64</v>
      </c>
      <c r="H259" s="162">
        <f t="shared" si="27"/>
        <v>0.64</v>
      </c>
      <c r="I259" s="162">
        <f t="shared" si="27"/>
        <v>0.64</v>
      </c>
      <c r="J259" s="162">
        <f t="shared" si="27"/>
        <v>0.64</v>
      </c>
      <c r="K259" s="162">
        <f t="shared" si="27"/>
        <v>0.64</v>
      </c>
      <c r="L259" s="162">
        <f t="shared" si="27"/>
        <v>0.64</v>
      </c>
      <c r="M259" s="162">
        <f t="shared" si="27"/>
        <v>0.64</v>
      </c>
      <c r="N259" s="162">
        <f t="shared" si="27"/>
        <v>0.64</v>
      </c>
      <c r="O259" s="162">
        <f t="shared" si="27"/>
        <v>0.64</v>
      </c>
      <c r="P259" s="162">
        <f t="shared" si="27"/>
        <v>0</v>
      </c>
      <c r="Q259" s="162">
        <f t="shared" si="27"/>
        <v>0</v>
      </c>
      <c r="R259" s="162">
        <f t="shared" si="27"/>
        <v>0</v>
      </c>
      <c r="S259" s="162">
        <f t="shared" si="27"/>
        <v>0</v>
      </c>
      <c r="T259" s="162">
        <f t="shared" si="27"/>
        <v>0</v>
      </c>
      <c r="U259" s="162">
        <f t="shared" si="27"/>
        <v>0</v>
      </c>
      <c r="V259" s="162">
        <f t="shared" si="27"/>
        <v>0</v>
      </c>
      <c r="W259" s="162">
        <f t="shared" si="27"/>
        <v>0</v>
      </c>
      <c r="X259" s="162">
        <f t="shared" si="27"/>
        <v>0</v>
      </c>
      <c r="Y259" s="162">
        <f t="shared" si="27"/>
        <v>0</v>
      </c>
      <c r="Z259" s="162">
        <f t="shared" si="27"/>
        <v>0</v>
      </c>
      <c r="AA259" s="162">
        <f t="shared" si="27"/>
        <v>0</v>
      </c>
      <c r="AB259" s="162">
        <f t="shared" si="27"/>
        <v>0</v>
      </c>
      <c r="AC259" s="162">
        <f t="shared" si="27"/>
        <v>0</v>
      </c>
      <c r="AD259" s="162">
        <f t="shared" si="27"/>
        <v>0</v>
      </c>
      <c r="AE259" s="162">
        <f t="shared" si="27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28">IF(B227&lt;100,"",B227-520)</f>
        <v/>
      </c>
      <c r="C260" s="163" t="str">
        <f t="shared" si="28"/>
        <v/>
      </c>
      <c r="D260" s="163" t="str">
        <f t="shared" si="28"/>
        <v/>
      </c>
      <c r="E260" s="163" t="str">
        <f t="shared" si="28"/>
        <v/>
      </c>
      <c r="F260" s="163" t="str">
        <f t="shared" si="28"/>
        <v/>
      </c>
      <c r="G260" s="163" t="str">
        <f t="shared" si="28"/>
        <v/>
      </c>
      <c r="H260" s="163" t="str">
        <f t="shared" si="28"/>
        <v/>
      </c>
      <c r="I260" s="163" t="str">
        <f t="shared" si="28"/>
        <v/>
      </c>
      <c r="J260" s="163" t="str">
        <f t="shared" si="28"/>
        <v/>
      </c>
      <c r="K260" s="163" t="str">
        <f t="shared" si="28"/>
        <v/>
      </c>
      <c r="L260" s="163" t="str">
        <f t="shared" si="28"/>
        <v/>
      </c>
      <c r="M260" s="163" t="str">
        <f t="shared" si="28"/>
        <v/>
      </c>
      <c r="N260" s="163" t="str">
        <f t="shared" si="28"/>
        <v/>
      </c>
      <c r="O260" s="163" t="str">
        <f t="shared" si="28"/>
        <v/>
      </c>
      <c r="P260" s="163" t="str">
        <f t="shared" si="28"/>
        <v/>
      </c>
      <c r="Q260" s="163" t="str">
        <f t="shared" si="28"/>
        <v/>
      </c>
      <c r="R260" s="163" t="str">
        <f t="shared" si="28"/>
        <v/>
      </c>
      <c r="S260" s="163" t="str">
        <f t="shared" si="28"/>
        <v/>
      </c>
      <c r="T260" s="163" t="str">
        <f t="shared" si="28"/>
        <v/>
      </c>
      <c r="U260" s="163" t="str">
        <f t="shared" si="28"/>
        <v/>
      </c>
      <c r="V260" s="163" t="str">
        <f t="shared" si="28"/>
        <v/>
      </c>
      <c r="W260" s="163" t="str">
        <f t="shared" si="28"/>
        <v/>
      </c>
      <c r="X260" s="163" t="str">
        <f t="shared" si="28"/>
        <v/>
      </c>
      <c r="Y260" s="163" t="str">
        <f t="shared" si="28"/>
        <v/>
      </c>
      <c r="Z260" s="163" t="str">
        <f t="shared" si="28"/>
        <v/>
      </c>
      <c r="AA260" s="163" t="str">
        <f t="shared" si="28"/>
        <v/>
      </c>
      <c r="AB260" s="163" t="str">
        <f t="shared" si="28"/>
        <v/>
      </c>
      <c r="AC260" s="163" t="str">
        <f t="shared" si="28"/>
        <v/>
      </c>
      <c r="AD260" s="163" t="str">
        <f t="shared" si="28"/>
        <v/>
      </c>
      <c r="AE260" s="163" t="str">
        <f t="shared" si="28"/>
        <v/>
      </c>
      <c r="AF260" s="163" t="str">
        <f t="shared" si="28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29">IF(B228&lt;100,"",B228-620)</f>
        <v/>
      </c>
      <c r="C261" s="163" t="str">
        <f t="shared" si="29"/>
        <v/>
      </c>
      <c r="D261" s="163" t="str">
        <f t="shared" si="29"/>
        <v/>
      </c>
      <c r="E261" s="163" t="str">
        <f t="shared" si="29"/>
        <v/>
      </c>
      <c r="F261" s="163" t="str">
        <f t="shared" si="29"/>
        <v/>
      </c>
      <c r="G261" s="163" t="str">
        <f t="shared" si="29"/>
        <v/>
      </c>
      <c r="H261" s="163" t="str">
        <f t="shared" si="29"/>
        <v/>
      </c>
      <c r="I261" s="163" t="str">
        <f t="shared" si="29"/>
        <v/>
      </c>
      <c r="J261" s="163" t="str">
        <f t="shared" si="29"/>
        <v/>
      </c>
      <c r="K261" s="163" t="str">
        <f t="shared" si="29"/>
        <v/>
      </c>
      <c r="L261" s="163" t="str">
        <f t="shared" si="29"/>
        <v/>
      </c>
      <c r="M261" s="163" t="str">
        <f t="shared" si="29"/>
        <v/>
      </c>
      <c r="N261" s="163" t="str">
        <f t="shared" si="29"/>
        <v/>
      </c>
      <c r="O261" s="163" t="str">
        <f t="shared" si="29"/>
        <v/>
      </c>
      <c r="P261" s="163" t="str">
        <f t="shared" si="29"/>
        <v/>
      </c>
      <c r="Q261" s="163" t="str">
        <f t="shared" si="29"/>
        <v/>
      </c>
      <c r="R261" s="163" t="str">
        <f t="shared" si="29"/>
        <v/>
      </c>
      <c r="S261" s="163" t="str">
        <f t="shared" si="29"/>
        <v/>
      </c>
      <c r="T261" s="163" t="str">
        <f t="shared" si="29"/>
        <v/>
      </c>
      <c r="U261" s="163" t="str">
        <f t="shared" si="29"/>
        <v/>
      </c>
      <c r="V261" s="163" t="str">
        <f t="shared" si="29"/>
        <v/>
      </c>
      <c r="W261" s="163" t="str">
        <f t="shared" si="29"/>
        <v/>
      </c>
      <c r="X261" s="163" t="str">
        <f t="shared" si="29"/>
        <v/>
      </c>
      <c r="Y261" s="163" t="str">
        <f t="shared" si="29"/>
        <v/>
      </c>
      <c r="Z261" s="163" t="str">
        <f t="shared" si="29"/>
        <v/>
      </c>
      <c r="AA261" s="163" t="str">
        <f t="shared" si="29"/>
        <v/>
      </c>
      <c r="AB261" s="163" t="str">
        <f t="shared" si="29"/>
        <v/>
      </c>
      <c r="AC261" s="163" t="str">
        <f t="shared" si="29"/>
        <v/>
      </c>
      <c r="AD261" s="163" t="str">
        <f t="shared" si="29"/>
        <v/>
      </c>
      <c r="AE261" s="163" t="str">
        <f t="shared" si="29"/>
        <v/>
      </c>
      <c r="AF261" s="163" t="str">
        <f t="shared" si="29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0">IF(B229&lt;100,"",B229-330)</f>
        <v/>
      </c>
      <c r="C262" s="163" t="str">
        <f t="shared" si="30"/>
        <v/>
      </c>
      <c r="D262" s="163" t="str">
        <f t="shared" si="30"/>
        <v/>
      </c>
      <c r="E262" s="163" t="str">
        <f t="shared" si="30"/>
        <v/>
      </c>
      <c r="F262" s="163" t="str">
        <f t="shared" si="30"/>
        <v/>
      </c>
      <c r="G262" s="163" t="str">
        <f t="shared" si="30"/>
        <v/>
      </c>
      <c r="H262" s="163" t="str">
        <f t="shared" si="30"/>
        <v/>
      </c>
      <c r="I262" s="163" t="str">
        <f t="shared" si="30"/>
        <v/>
      </c>
      <c r="J262" s="163" t="str">
        <f t="shared" si="30"/>
        <v/>
      </c>
      <c r="K262" s="163" t="str">
        <f t="shared" si="30"/>
        <v/>
      </c>
      <c r="L262" s="163" t="str">
        <f t="shared" si="30"/>
        <v/>
      </c>
      <c r="M262" s="163" t="str">
        <f t="shared" si="30"/>
        <v/>
      </c>
      <c r="N262" s="163" t="str">
        <f t="shared" si="30"/>
        <v/>
      </c>
      <c r="O262" s="163" t="str">
        <f t="shared" si="30"/>
        <v/>
      </c>
      <c r="P262" s="163" t="str">
        <f t="shared" si="30"/>
        <v/>
      </c>
      <c r="Q262" s="163" t="str">
        <f t="shared" si="30"/>
        <v/>
      </c>
      <c r="R262" s="163" t="str">
        <f t="shared" si="30"/>
        <v/>
      </c>
      <c r="S262" s="163" t="str">
        <f t="shared" si="30"/>
        <v/>
      </c>
      <c r="T262" s="163" t="str">
        <f t="shared" si="30"/>
        <v/>
      </c>
      <c r="U262" s="163" t="str">
        <f t="shared" si="30"/>
        <v/>
      </c>
      <c r="V262" s="163" t="str">
        <f t="shared" si="30"/>
        <v/>
      </c>
      <c r="W262" s="163" t="str">
        <f t="shared" si="30"/>
        <v/>
      </c>
      <c r="X262" s="163" t="str">
        <f t="shared" si="30"/>
        <v/>
      </c>
      <c r="Y262" s="163" t="str">
        <f t="shared" si="30"/>
        <v/>
      </c>
      <c r="Z262" s="163" t="str">
        <f t="shared" si="30"/>
        <v/>
      </c>
      <c r="AA262" s="163" t="str">
        <f t="shared" si="30"/>
        <v/>
      </c>
      <c r="AB262" s="163" t="str">
        <f t="shared" si="30"/>
        <v/>
      </c>
      <c r="AC262" s="163" t="str">
        <f t="shared" si="30"/>
        <v/>
      </c>
      <c r="AD262" s="163" t="str">
        <f t="shared" si="30"/>
        <v/>
      </c>
      <c r="AE262" s="163" t="str">
        <f t="shared" si="30"/>
        <v/>
      </c>
      <c r="AF262" s="163" t="str">
        <f t="shared" si="30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1">IF(B230&lt;100,"",B230-1500)</f>
        <v/>
      </c>
      <c r="C263" s="163" t="str">
        <f t="shared" si="31"/>
        <v/>
      </c>
      <c r="D263" s="163" t="str">
        <f t="shared" si="31"/>
        <v/>
      </c>
      <c r="E263" s="163" t="str">
        <f t="shared" si="31"/>
        <v/>
      </c>
      <c r="F263" s="163" t="str">
        <f t="shared" si="31"/>
        <v/>
      </c>
      <c r="G263" s="163" t="str">
        <f t="shared" si="31"/>
        <v/>
      </c>
      <c r="H263" s="163" t="str">
        <f t="shared" si="31"/>
        <v/>
      </c>
      <c r="I263" s="163" t="str">
        <f t="shared" si="31"/>
        <v/>
      </c>
      <c r="J263" s="163" t="str">
        <f t="shared" si="31"/>
        <v/>
      </c>
      <c r="K263" s="163" t="str">
        <f t="shared" si="31"/>
        <v/>
      </c>
      <c r="L263" s="163" t="str">
        <f t="shared" si="31"/>
        <v/>
      </c>
      <c r="M263" s="163" t="str">
        <f t="shared" si="31"/>
        <v/>
      </c>
      <c r="N263" s="163" t="str">
        <f t="shared" si="31"/>
        <v/>
      </c>
      <c r="O263" s="163" t="str">
        <f t="shared" si="31"/>
        <v/>
      </c>
      <c r="P263" s="163" t="str">
        <f t="shared" si="31"/>
        <v/>
      </c>
      <c r="Q263" s="163" t="str">
        <f t="shared" si="31"/>
        <v/>
      </c>
      <c r="R263" s="163" t="str">
        <f t="shared" si="31"/>
        <v/>
      </c>
      <c r="S263" s="163" t="str">
        <f t="shared" si="31"/>
        <v/>
      </c>
      <c r="T263" s="163" t="str">
        <f t="shared" si="31"/>
        <v/>
      </c>
      <c r="U263" s="163" t="str">
        <f t="shared" si="31"/>
        <v/>
      </c>
      <c r="V263" s="163" t="str">
        <f t="shared" si="31"/>
        <v/>
      </c>
      <c r="W263" s="163" t="str">
        <f t="shared" si="31"/>
        <v/>
      </c>
      <c r="X263" s="163" t="str">
        <f t="shared" si="31"/>
        <v/>
      </c>
      <c r="Y263" s="163" t="str">
        <f t="shared" si="31"/>
        <v/>
      </c>
      <c r="Z263" s="163" t="str">
        <f t="shared" si="31"/>
        <v/>
      </c>
      <c r="AA263" s="163" t="str">
        <f t="shared" si="31"/>
        <v/>
      </c>
      <c r="AB263" s="163" t="str">
        <f t="shared" si="31"/>
        <v/>
      </c>
      <c r="AC263" s="163" t="str">
        <f t="shared" si="31"/>
        <v/>
      </c>
      <c r="AD263" s="163" t="str">
        <f t="shared" si="31"/>
        <v/>
      </c>
      <c r="AE263" s="163" t="str">
        <f t="shared" si="31"/>
        <v/>
      </c>
      <c r="AF263" s="163" t="str">
        <f t="shared" si="31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B16:AF16 B20:AF23">
    <cfRule type="expression" dxfId="6787" priority="239">
      <formula>B$9&gt;=20/24</formula>
    </cfRule>
    <cfRule type="expression" dxfId="6786" priority="240">
      <formula>AND(B$9&gt;=14/24,B$9&lt;20/24)</formula>
    </cfRule>
    <cfRule type="expression" dxfId="6785" priority="241">
      <formula>AND(B$9&gt;=8/24,B$9&lt;14/24)</formula>
    </cfRule>
    <cfRule type="expression" dxfId="6784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6783" priority="234">
      <formula>S$9&gt;=20/24</formula>
    </cfRule>
    <cfRule type="expression" dxfId="6782" priority="235">
      <formula>AND(S$9&gt;=14/24,S$9&lt;20/24)</formula>
    </cfRule>
    <cfRule type="expression" dxfId="6781" priority="236">
      <formula>AND(S$9&gt;=8/24,S$9&lt;14/24)</formula>
    </cfRule>
    <cfRule type="expression" dxfId="6780" priority="237">
      <formula>S$9&lt;8/24</formula>
    </cfRule>
  </conditionalFormatting>
  <conditionalFormatting sqref="AG57 B12:AF16 B37:AF37 B20:AF23 S39:AF39 B18:AF18">
    <cfRule type="expression" dxfId="6779" priority="233">
      <formula>B12&gt;$AG12</formula>
    </cfRule>
  </conditionalFormatting>
  <conditionalFormatting sqref="A91:A101 A11:A14 A51:A78 A87:A89 A194:A224 A38:A49 A110:A181 A34:A35 A83:A85 A80:A81 A103:A105 A31:A32 A18:A29 A16">
    <cfRule type="expression" dxfId="6778" priority="232">
      <formula>$AH11=0</formula>
    </cfRule>
  </conditionalFormatting>
  <conditionalFormatting sqref="A106">
    <cfRule type="expression" dxfId="6777" priority="231">
      <formula>$AH106=0</formula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6776" priority="229">
      <formula>$AH37=0</formula>
    </cfRule>
  </conditionalFormatting>
  <conditionalFormatting sqref="A90">
    <cfRule type="expression" dxfId="6775" priority="228">
      <formula>$AH90=0</formula>
    </cfRule>
  </conditionalFormatting>
  <conditionalFormatting sqref="A15">
    <cfRule type="expression" dxfId="6774" priority="227">
      <formula>$AH15=0</formula>
    </cfRule>
  </conditionalFormatting>
  <conditionalFormatting sqref="A188:A193">
    <cfRule type="expression" dxfId="6773" priority="226">
      <formula>$AH188=0</formula>
    </cfRule>
  </conditionalFormatting>
  <conditionalFormatting sqref="A182:A187">
    <cfRule type="expression" dxfId="6772" priority="225">
      <formula>$AH182=0</formula>
    </cfRule>
  </conditionalFormatting>
  <conditionalFormatting sqref="A50">
    <cfRule type="expression" dxfId="6771" priority="224">
      <formula>$AH50=0</formula>
    </cfRule>
  </conditionalFormatting>
  <conditionalFormatting sqref="A86">
    <cfRule type="expression" dxfId="6770" priority="223">
      <formula>$AH86=0</formula>
    </cfRule>
  </conditionalFormatting>
  <conditionalFormatting sqref="C91:AF91">
    <cfRule type="expression" dxfId="6769" priority="219">
      <formula>C$9&gt;=20/24</formula>
    </cfRule>
    <cfRule type="expression" dxfId="6768" priority="220">
      <formula>AND(C$9&gt;=14/24,C$9&lt;20/24)</formula>
    </cfRule>
    <cfRule type="expression" dxfId="6767" priority="221">
      <formula>AND(C$9&gt;=8/24,C$9&lt;14/24)</formula>
    </cfRule>
    <cfRule type="expression" dxfId="6766" priority="222">
      <formula>C$9&lt;8/24</formula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765" priority="245">
      <formula>C$9&gt;=20/24</formula>
    </cfRule>
    <cfRule type="expression" dxfId="6764" priority="246">
      <formula>AND(C$9&gt;=14/24,C$9&lt;20/24)</formula>
    </cfRule>
    <cfRule type="expression" dxfId="6763" priority="247">
      <formula>AND(C$9&gt;=8/24,C$9&lt;14/24)</formula>
    </cfRule>
    <cfRule type="expression" dxfId="6762" priority="248">
      <formula>C$9&lt;8/24</formula>
    </cfRule>
  </conditionalFormatting>
  <conditionalFormatting sqref="A225">
    <cfRule type="expression" dxfId="6761" priority="249">
      <formula>$AH225=0</formula>
    </cfRule>
  </conditionalFormatting>
  <conditionalFormatting sqref="AG237">
    <cfRule type="expression" dxfId="6760" priority="250">
      <formula>B$9&gt;=20/24</formula>
    </cfRule>
    <cfRule type="expression" dxfId="6759" priority="251">
      <formula>AND(B$9&gt;=14/24,B$9&lt;20/24)</formula>
    </cfRule>
    <cfRule type="expression" dxfId="6758" priority="252">
      <formula>AND(B$9&gt;=8/24,B$9&lt;14/24)</formula>
    </cfRule>
    <cfRule type="expression" dxfId="6757" priority="253">
      <formula>B$9&lt;8/24</formula>
    </cfRule>
  </conditionalFormatting>
  <conditionalFormatting sqref="S8">
    <cfRule type="expression" dxfId="6756" priority="214">
      <formula>U$9&gt;=20/24</formula>
    </cfRule>
    <cfRule type="expression" dxfId="6755" priority="215">
      <formula>AND(U$9&gt;=14/24,U$9&lt;20/24)</formula>
    </cfRule>
    <cfRule type="expression" dxfId="6754" priority="216">
      <formula>AND(U$9&gt;=8/24,U$9&lt;14/24)</formula>
    </cfRule>
    <cfRule type="expression" dxfId="6753" priority="217">
      <formula>U$9&lt;8/24</formula>
    </cfRule>
  </conditionalFormatting>
  <conditionalFormatting sqref="AB8">
    <cfRule type="expression" dxfId="6752" priority="210">
      <formula>AD$9&gt;=20/24</formula>
    </cfRule>
    <cfRule type="expression" dxfId="6751" priority="211">
      <formula>AND(AD$9&gt;=14/24,AD$9&lt;20/24)</formula>
    </cfRule>
    <cfRule type="expression" dxfId="6750" priority="212">
      <formula>AND(AD$9&gt;=8/24,AD$9&lt;14/24)</formula>
    </cfRule>
    <cfRule type="expression" dxfId="6749" priority="213">
      <formula>AD$9&lt;8/24</formula>
    </cfRule>
  </conditionalFormatting>
  <conditionalFormatting sqref="AH237:AX237">
    <cfRule type="expression" dxfId="6748" priority="254">
      <formula>AG$9&gt;=20/24</formula>
    </cfRule>
    <cfRule type="expression" dxfId="6747" priority="255">
      <formula>AND(AG$9&gt;=14/24,AG$9&lt;20/24)</formula>
    </cfRule>
    <cfRule type="expression" dxfId="6746" priority="256">
      <formula>AND(AG$9&gt;=8/24,AG$9&lt;14/24)</formula>
    </cfRule>
    <cfRule type="expression" dxfId="6745" priority="257">
      <formula>AG$9&lt;8/24</formula>
    </cfRule>
  </conditionalFormatting>
  <conditionalFormatting sqref="T237">
    <cfRule type="expression" dxfId="6744" priority="258">
      <formula>AX$9&gt;=20/24</formula>
    </cfRule>
    <cfRule type="expression" dxfId="6743" priority="259">
      <formula>AND(AX$9&gt;=14/24,AX$9&lt;20/24)</formula>
    </cfRule>
    <cfRule type="expression" dxfId="6742" priority="260">
      <formula>AND(AX$9&gt;=8/24,AX$9&lt;14/24)</formula>
    </cfRule>
    <cfRule type="expression" dxfId="6741" priority="261">
      <formula>AX$9&lt;8/24</formula>
    </cfRule>
  </conditionalFormatting>
  <conditionalFormatting sqref="A107:A108">
    <cfRule type="expression" dxfId="6740" priority="209">
      <formula>$AH107=0</formula>
    </cfRule>
  </conditionalFormatting>
  <conditionalFormatting sqref="E46:M47 M48:M49 N46:P49 U46:W47 E63:AF63">
    <cfRule type="expression" dxfId="6739" priority="205">
      <formula>E$9&gt;=20/24</formula>
    </cfRule>
    <cfRule type="expression" dxfId="6738" priority="206">
      <formula>AND(E$9&gt;=14/24,E$9&lt;20/24)</formula>
    </cfRule>
    <cfRule type="expression" dxfId="6737" priority="207">
      <formula>AND(E$9&gt;=8/24,E$9&lt;14/24)</formula>
    </cfRule>
    <cfRule type="expression" dxfId="6736" priority="208">
      <formula>E$9&lt;8/24</formula>
    </cfRule>
  </conditionalFormatting>
  <conditionalFormatting sqref="E45:L45 U45:W45">
    <cfRule type="expression" dxfId="6735" priority="201">
      <formula>E$9&gt;=20/24</formula>
    </cfRule>
    <cfRule type="expression" dxfId="6734" priority="202">
      <formula>AND(E$9&gt;=14/24,E$9&lt;20/24)</formula>
    </cfRule>
    <cfRule type="expression" dxfId="6733" priority="203">
      <formula>AND(E$9&gt;=8/24,E$9&lt;14/24)</formula>
    </cfRule>
    <cfRule type="expression" dxfId="6732" priority="204">
      <formula>E$9&lt;8/24</formula>
    </cfRule>
  </conditionalFormatting>
  <conditionalFormatting sqref="E45:L45 E46:M47 M48:M49 N46:P49 U45:W47">
    <cfRule type="expression" dxfId="6731" priority="200">
      <formula>E45&gt;$AG45</formula>
    </cfRule>
  </conditionalFormatting>
  <conditionalFormatting sqref="C88:AF88 L39:R39 E92:AF98 S59:AF61 C75:AF78 E64:AF65">
    <cfRule type="expression" dxfId="6730" priority="196">
      <formula>C$9&gt;=20/24</formula>
    </cfRule>
    <cfRule type="expression" dxfId="6729" priority="197">
      <formula>AND(C$9&gt;=14/24,C$9&lt;20/24)</formula>
    </cfRule>
    <cfRule type="expression" dxfId="6728" priority="198">
      <formula>AND(C$9&gt;=8/24,C$9&lt;14/24)</formula>
    </cfRule>
    <cfRule type="expression" dxfId="6727" priority="199">
      <formula>C$9&lt;8/24</formula>
    </cfRule>
  </conditionalFormatting>
  <conditionalFormatting sqref="C57:AF57 E48:L48 L39:R39 S59:AF61">
    <cfRule type="expression" dxfId="6726" priority="191">
      <formula>C39&gt;$AG39</formula>
    </cfRule>
  </conditionalFormatting>
  <conditionalFormatting sqref="V48:AF49">
    <cfRule type="expression" dxfId="6725" priority="174">
      <formula>V$9&gt;=20/24</formula>
    </cfRule>
    <cfRule type="expression" dxfId="6724" priority="175">
      <formula>AND(V$9&gt;=14/24,V$9&lt;20/24)</formula>
    </cfRule>
    <cfRule type="expression" dxfId="6723" priority="176">
      <formula>AND(V$9&gt;=8/24,V$9&lt;14/24)</formula>
    </cfRule>
    <cfRule type="expression" dxfId="6722" priority="177">
      <formula>V$9&lt;8/24</formula>
    </cfRule>
  </conditionalFormatting>
  <conditionalFormatting sqref="V48:AF49">
    <cfRule type="expression" dxfId="6721" priority="173">
      <formula>V48&gt;$AG48</formula>
    </cfRule>
  </conditionalFormatting>
  <conditionalFormatting sqref="M45:P45 Q45:T49 U48:U49 V50:AF51">
    <cfRule type="expression" dxfId="6720" priority="169">
      <formula>M$9&gt;=20/24</formula>
    </cfRule>
    <cfRule type="expression" dxfId="6719" priority="170">
      <formula>AND(M$9&gt;=14/24,M$9&lt;20/24)</formula>
    </cfRule>
    <cfRule type="expression" dxfId="6718" priority="171">
      <formula>AND(M$9&gt;=8/24,M$9&lt;14/24)</formula>
    </cfRule>
    <cfRule type="expression" dxfId="6717" priority="172">
      <formula>M$9&lt;8/24</formula>
    </cfRule>
  </conditionalFormatting>
  <conditionalFormatting sqref="M45:P45 Q45:T49 U48:U49 V50:AF51">
    <cfRule type="expression" dxfId="6716" priority="168">
      <formula>M45&gt;$AG45</formula>
    </cfRule>
  </conditionalFormatting>
  <conditionalFormatting sqref="X46:AF47">
    <cfRule type="expression" dxfId="6715" priority="150">
      <formula>X$9&gt;=20/24</formula>
    </cfRule>
    <cfRule type="expression" dxfId="6714" priority="151">
      <formula>AND(X$9&gt;=14/24,X$9&lt;20/24)</formula>
    </cfRule>
    <cfRule type="expression" dxfId="6713" priority="152">
      <formula>AND(X$9&gt;=8/24,X$9&lt;14/24)</formula>
    </cfRule>
    <cfRule type="expression" dxfId="6712" priority="153">
      <formula>X$9&lt;8/24</formula>
    </cfRule>
  </conditionalFormatting>
  <conditionalFormatting sqref="X45:AF45">
    <cfRule type="expression" dxfId="6711" priority="146">
      <formula>X$9&gt;=20/24</formula>
    </cfRule>
    <cfRule type="expression" dxfId="6710" priority="147">
      <formula>AND(X$9&gt;=14/24,X$9&lt;20/24)</formula>
    </cfRule>
    <cfRule type="expression" dxfId="6709" priority="148">
      <formula>AND(X$9&gt;=8/24,X$9&lt;14/24)</formula>
    </cfRule>
    <cfRule type="expression" dxfId="6708" priority="149">
      <formula>X$9&lt;8/24</formula>
    </cfRule>
  </conditionalFormatting>
  <conditionalFormatting sqref="X45:AF47">
    <cfRule type="expression" dxfId="6707" priority="145">
      <formula>X45&gt;$AG45</formula>
    </cfRule>
  </conditionalFormatting>
  <conditionalFormatting sqref="B101 B80:AF80 B89:AF89 B103:B108 B11:AF11">
    <cfRule type="expression" dxfId="6706" priority="141">
      <formula>B$9&gt;=20/24</formula>
    </cfRule>
    <cfRule type="expression" dxfId="6705" priority="142">
      <formula>AND(B$9&gt;=14/24,B$9&lt;20/24)</formula>
    </cfRule>
    <cfRule type="expression" dxfId="6704" priority="143">
      <formula>AND(B$9&gt;=8/24,B$9&lt;14/24)</formula>
    </cfRule>
    <cfRule type="expression" dxfId="6703" priority="144">
      <formula>B$9&lt;8/24</formula>
    </cfRule>
  </conditionalFormatting>
  <conditionalFormatting sqref="B39:K39">
    <cfRule type="expression" dxfId="6702" priority="137">
      <formula>B$9&gt;=20/24</formula>
    </cfRule>
    <cfRule type="expression" dxfId="6701" priority="138">
      <formula>AND(B$9&gt;=14/24,B$9&lt;20/24)</formula>
    </cfRule>
    <cfRule type="expression" dxfId="6700" priority="139">
      <formula>AND(B$9&gt;=8/24,B$9&lt;14/24)</formula>
    </cfRule>
    <cfRule type="expression" dxfId="6699" priority="140">
      <formula>B$9&lt;8/24</formula>
    </cfRule>
  </conditionalFormatting>
  <conditionalFormatting sqref="B39:K39 B11:AF11">
    <cfRule type="expression" dxfId="6698" priority="136">
      <formula>B11&gt;$AG11</formula>
    </cfRule>
  </conditionalFormatting>
  <conditionalFormatting sqref="B91">
    <cfRule type="expression" dxfId="6697" priority="132">
      <formula>B$9&gt;=20/24</formula>
    </cfRule>
    <cfRule type="expression" dxfId="6696" priority="133">
      <formula>AND(B$9&gt;=14/24,B$9&lt;20/24)</formula>
    </cfRule>
    <cfRule type="expression" dxfId="6695" priority="134">
      <formula>AND(B$9&gt;=8/24,B$9&lt;14/24)</formula>
    </cfRule>
    <cfRule type="expression" dxfId="6694" priority="135">
      <formula>B$9&lt;8/24</formula>
    </cfRule>
  </conditionalFormatting>
  <conditionalFormatting sqref="B63:D63 B46:D47 B38:AF38">
    <cfRule type="expression" dxfId="6693" priority="128">
      <formula>B$9&gt;=20/24</formula>
    </cfRule>
    <cfRule type="expression" dxfId="6692" priority="129">
      <formula>AND(B$9&gt;=14/24,B$9&lt;20/24)</formula>
    </cfRule>
    <cfRule type="expression" dxfId="6691" priority="130">
      <formula>AND(B$9&gt;=8/24,B$9&lt;14/24)</formula>
    </cfRule>
    <cfRule type="expression" dxfId="6690" priority="131">
      <formula>B$9&lt;8/24</formula>
    </cfRule>
  </conditionalFormatting>
  <conditionalFormatting sqref="B45:D45">
    <cfRule type="expression" dxfId="6689" priority="124">
      <formula>B$9&gt;=20/24</formula>
    </cfRule>
    <cfRule type="expression" dxfId="6688" priority="125">
      <formula>AND(B$9&gt;=14/24,B$9&lt;20/24)</formula>
    </cfRule>
    <cfRule type="expression" dxfId="6687" priority="126">
      <formula>AND(B$9&gt;=8/24,B$9&lt;14/24)</formula>
    </cfRule>
    <cfRule type="expression" dxfId="6686" priority="127">
      <formula>B$9&lt;8/24</formula>
    </cfRule>
  </conditionalFormatting>
  <conditionalFormatting sqref="B45:D47 B38:AF38">
    <cfRule type="expression" dxfId="6685" priority="123">
      <formula>B38&gt;$AG38</formula>
    </cfRule>
  </conditionalFormatting>
  <conditionalFormatting sqref="B59:B62 B75:B79 B81:AF81 B88 C62:AG62 C79:AG79 B90:AF90 B64:D73 B92:D98 C59:R61 B12:AF14 B25:AF27 B29:AF29 B18:AF18 B31:AF34 E66:AF73">
    <cfRule type="expression" dxfId="6684" priority="119">
      <formula>B$9&gt;=20/24</formula>
    </cfRule>
    <cfRule type="expression" dxfId="6683" priority="120">
      <formula>AND(B$9&gt;=14/24,B$9&lt;20/24)</formula>
    </cfRule>
    <cfRule type="expression" dxfId="6682" priority="121">
      <formula>AND(B$9&gt;=8/24,B$9&lt;14/24)</formula>
    </cfRule>
    <cfRule type="expression" dxfId="6681" priority="122">
      <formula>B$9&lt;8/24</formula>
    </cfRule>
  </conditionalFormatting>
  <conditionalFormatting sqref="B35:AF35">
    <cfRule type="expression" dxfId="6680" priority="115">
      <formula>B$9&gt;=20/24</formula>
    </cfRule>
    <cfRule type="expression" dxfId="6679" priority="116">
      <formula>AND(B$9&gt;=14/24,B$9&lt;20/24)</formula>
    </cfRule>
    <cfRule type="expression" dxfId="6678" priority="117">
      <formula>AND(B$9&gt;=8/24,B$9&lt;14/24)</formula>
    </cfRule>
    <cfRule type="expression" dxfId="6677" priority="118">
      <formula>B$9&lt;8/24</formula>
    </cfRule>
  </conditionalFormatting>
  <conditionalFormatting sqref="B57:B62 B40:AG40 C58:AG58 C62:AG62 B48:D49 E49:L49 C59:R61 B25:AF29 B31:AF35">
    <cfRule type="expression" dxfId="6676" priority="114">
      <formula>B25&gt;$AG25</formula>
    </cfRule>
  </conditionalFormatting>
  <conditionalFormatting sqref="B37:AF37">
    <cfRule type="expression" dxfId="6675" priority="110">
      <formula>B$9&gt;=20/24</formula>
    </cfRule>
    <cfRule type="expression" dxfId="6674" priority="111">
      <formula>AND(B$9&gt;=14/24,B$9&lt;20/24)</formula>
    </cfRule>
    <cfRule type="expression" dxfId="6673" priority="112">
      <formula>AND(B$9&gt;=8/24,B$9&lt;14/24)</formula>
    </cfRule>
    <cfRule type="expression" dxfId="6672" priority="113">
      <formula>B$9&lt;8/24</formula>
    </cfRule>
  </conditionalFormatting>
  <conditionalFormatting sqref="B15:AF15">
    <cfRule type="expression" dxfId="6671" priority="106">
      <formula>B$9&gt;=20/24</formula>
    </cfRule>
    <cfRule type="expression" dxfId="6670" priority="107">
      <formula>AND(B$9&gt;=14/24,B$9&lt;20/24)</formula>
    </cfRule>
    <cfRule type="expression" dxfId="6669" priority="108">
      <formula>AND(B$9&gt;=8/24,B$9&lt;14/24)</formula>
    </cfRule>
    <cfRule type="expression" dxfId="6668" priority="109">
      <formula>B$9&lt;8/24</formula>
    </cfRule>
  </conditionalFormatting>
  <conditionalFormatting sqref="B36:AF36">
    <cfRule type="expression" dxfId="6667" priority="102">
      <formula>B$9&gt;=20/24</formula>
    </cfRule>
    <cfRule type="expression" dxfId="6666" priority="103">
      <formula>AND(B$9&gt;=14/24,B$9&lt;20/24)</formula>
    </cfRule>
    <cfRule type="expression" dxfId="6665" priority="104">
      <formula>AND(B$9&gt;=8/24,B$9&lt;14/24)</formula>
    </cfRule>
    <cfRule type="expression" dxfId="6664" priority="105">
      <formula>B$9&lt;8/24</formula>
    </cfRule>
  </conditionalFormatting>
  <conditionalFormatting sqref="B36:AF36">
    <cfRule type="expression" dxfId="6663" priority="101">
      <formula>B36&gt;$AG36</formula>
    </cfRule>
  </conditionalFormatting>
  <conditionalFormatting sqref="B50:U56 V55:AF56">
    <cfRule type="expression" dxfId="6662" priority="97">
      <formula>B$9&gt;=20/24</formula>
    </cfRule>
    <cfRule type="expression" dxfId="6661" priority="98">
      <formula>AND(B$9&gt;=14/24,B$9&lt;20/24)</formula>
    </cfRule>
    <cfRule type="expression" dxfId="6660" priority="99">
      <formula>AND(B$9&gt;=8/24,B$9&lt;14/24)</formula>
    </cfRule>
    <cfRule type="expression" dxfId="6659" priority="100">
      <formula>B$9&lt;8/24</formula>
    </cfRule>
  </conditionalFormatting>
  <conditionalFormatting sqref="B50:U56 V55:AF56">
    <cfRule type="expression" dxfId="6658" priority="96">
      <formula>B50&gt;$AG50</formula>
    </cfRule>
  </conditionalFormatting>
  <conditionalFormatting sqref="B28:AF28">
    <cfRule type="expression" dxfId="6657" priority="92">
      <formula>B$9&gt;=20/24</formula>
    </cfRule>
    <cfRule type="expression" dxfId="6656" priority="93">
      <formula>AND(B$9&gt;=14/24,B$9&lt;20/24)</formula>
    </cfRule>
    <cfRule type="expression" dxfId="6655" priority="94">
      <formula>AND(B$9&gt;=8/24,B$9&lt;14/24)</formula>
    </cfRule>
    <cfRule type="expression" dxfId="6654" priority="95">
      <formula>B$9&lt;8/24</formula>
    </cfRule>
  </conditionalFormatting>
  <conditionalFormatting sqref="B19:AF19 B24:AF24">
    <cfRule type="expression" dxfId="6653" priority="88">
      <formula>B$9&gt;=20/24</formula>
    </cfRule>
    <cfRule type="expression" dxfId="6652" priority="89">
      <formula>AND(B$9&gt;=14/24,B$9&lt;20/24)</formula>
    </cfRule>
    <cfRule type="expression" dxfId="6651" priority="90">
      <formula>AND(B$9&gt;=8/24,B$9&lt;14/24)</formula>
    </cfRule>
    <cfRule type="expression" dxfId="6650" priority="91">
      <formula>B$9&lt;8/24</formula>
    </cfRule>
  </conditionalFormatting>
  <conditionalFormatting sqref="B19:AF19 B24:AF24">
    <cfRule type="expression" dxfId="6649" priority="87">
      <formula>B19&gt;$AG19</formula>
    </cfRule>
  </conditionalFormatting>
  <conditionalFormatting sqref="A36">
    <cfRule type="expression" dxfId="6648" priority="86">
      <formula>$AH36=0</formula>
    </cfRule>
  </conditionalFormatting>
  <conditionalFormatting sqref="B74:AF74">
    <cfRule type="expression" dxfId="6647" priority="82">
      <formula>B$9&gt;=20/24</formula>
    </cfRule>
    <cfRule type="expression" dxfId="6646" priority="83">
      <formula>AND(B$9&gt;=14/24,B$9&lt;20/24)</formula>
    </cfRule>
    <cfRule type="expression" dxfId="6645" priority="84">
      <formula>AND(B$9&gt;=8/24,B$9&lt;14/24)</formula>
    </cfRule>
    <cfRule type="expression" dxfId="6644" priority="85">
      <formula>B$9&lt;8/24</formula>
    </cfRule>
  </conditionalFormatting>
  <conditionalFormatting sqref="B83:AF87">
    <cfRule type="expression" dxfId="6643" priority="78">
      <formula>B$9&gt;=20/24</formula>
    </cfRule>
    <cfRule type="expression" dxfId="6642" priority="79">
      <formula>AND(B$9&gt;=14/24,B$9&lt;20/24)</formula>
    </cfRule>
    <cfRule type="expression" dxfId="6641" priority="80">
      <formula>AND(B$9&gt;=8/24,B$9&lt;14/24)</formula>
    </cfRule>
    <cfRule type="expression" dxfId="6640" priority="81">
      <formula>B$9&lt;8/24</formula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E41:AF43">
    <cfRule type="expression" dxfId="6639" priority="74">
      <formula>E$9&gt;=20/24</formula>
    </cfRule>
    <cfRule type="expression" dxfId="6638" priority="75">
      <formula>AND(E$9&gt;=14/24,E$9&lt;20/24)</formula>
    </cfRule>
    <cfRule type="expression" dxfId="6637" priority="76">
      <formula>AND(E$9&gt;=8/24,E$9&lt;14/24)</formula>
    </cfRule>
    <cfRule type="expression" dxfId="6636" priority="77">
      <formula>E$9&lt;8/24</formula>
    </cfRule>
  </conditionalFormatting>
  <conditionalFormatting sqref="E41:AF43">
    <cfRule type="expression" dxfId="6635" priority="73">
      <formula>E41&gt;$AG41</formula>
    </cfRule>
  </conditionalFormatting>
  <conditionalFormatting sqref="B41:B44 C44:AG44 C41:D43">
    <cfRule type="expression" dxfId="6634" priority="69">
      <formula>B$9&gt;=20/24</formula>
    </cfRule>
    <cfRule type="expression" dxfId="6633" priority="70">
      <formula>AND(B$9&gt;=14/24,B$9&lt;20/24)</formula>
    </cfRule>
    <cfRule type="expression" dxfId="6632" priority="71">
      <formula>AND(B$9&gt;=8/24,B$9&lt;14/24)</formula>
    </cfRule>
    <cfRule type="expression" dxfId="6631" priority="72">
      <formula>B$9&lt;8/24</formula>
    </cfRule>
  </conditionalFormatting>
  <conditionalFormatting sqref="B41:B44 C44:AG44 C41:D43">
    <cfRule type="expression" dxfId="6630" priority="68">
      <formula>B41&gt;$AG41</formula>
    </cfRule>
  </conditionalFormatting>
  <conditionalFormatting sqref="C99:AF99">
    <cfRule type="expression" dxfId="6629" priority="64">
      <formula>C$9&gt;=20/24</formula>
    </cfRule>
    <cfRule type="expression" dxfId="6628" priority="65">
      <formula>AND(C$9&gt;=14/24,C$9&lt;20/24)</formula>
    </cfRule>
    <cfRule type="expression" dxfId="6627" priority="66">
      <formula>AND(C$9&gt;=8/24,C$9&lt;14/24)</formula>
    </cfRule>
    <cfRule type="expression" dxfId="6626" priority="67">
      <formula>C$9&lt;8/24</formula>
    </cfRule>
  </conditionalFormatting>
  <conditionalFormatting sqref="B99">
    <cfRule type="expression" dxfId="6625" priority="60">
      <formula>B$9&gt;=20/24</formula>
    </cfRule>
    <cfRule type="expression" dxfId="6624" priority="61">
      <formula>AND(B$9&gt;=14/24,B$9&lt;20/24)</formula>
    </cfRule>
    <cfRule type="expression" dxfId="6623" priority="62">
      <formula>AND(B$9&gt;=8/24,B$9&lt;14/24)</formula>
    </cfRule>
    <cfRule type="expression" dxfId="6622" priority="63">
      <formula>B$9&lt;8/24</formula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6621" priority="54">
      <formula>$AH33=0</formula>
    </cfRule>
  </conditionalFormatting>
  <conditionalFormatting sqref="A82">
    <cfRule type="expression" dxfId="6620" priority="52">
      <formula>$AH82=0</formula>
    </cfRule>
  </conditionalFormatting>
  <conditionalFormatting sqref="A79">
    <cfRule type="expression" dxfId="6619" priority="53">
      <formula>$AH79=0</formula>
    </cfRule>
  </conditionalFormatting>
  <conditionalFormatting sqref="A109">
    <cfRule type="expression" dxfId="6618" priority="43">
      <formula>$AH109=0</formula>
    </cfRule>
  </conditionalFormatting>
  <conditionalFormatting sqref="C102:AF102">
    <cfRule type="expression" dxfId="6617" priority="39">
      <formula>C$9&gt;=20/24</formula>
    </cfRule>
    <cfRule type="expression" dxfId="6616" priority="40">
      <formula>AND(C$9&gt;=14/24,C$9&lt;20/24)</formula>
    </cfRule>
    <cfRule type="expression" dxfId="6615" priority="41">
      <formula>AND(C$9&gt;=8/24,C$9&lt;14/24)</formula>
    </cfRule>
    <cfRule type="expression" dxfId="6614" priority="42">
      <formula>C$9&lt;8/24</formula>
    </cfRule>
  </conditionalFormatting>
  <conditionalFormatting sqref="A102">
    <cfRule type="expression" dxfId="6613" priority="38">
      <formula>$AH102=0</formula>
    </cfRule>
  </conditionalFormatting>
  <conditionalFormatting sqref="B102">
    <cfRule type="expression" dxfId="6612" priority="34">
      <formula>B$9&gt;=20/24</formula>
    </cfRule>
    <cfRule type="expression" dxfId="6611" priority="35">
      <formula>AND(B$9&gt;=14/24,B$9&lt;20/24)</formula>
    </cfRule>
    <cfRule type="expression" dxfId="6610" priority="36">
      <formula>AND(B$9&gt;=8/24,B$9&lt;14/24)</formula>
    </cfRule>
    <cfRule type="expression" dxfId="6609" priority="37">
      <formula>B$9&lt;8/24</formula>
    </cfRule>
  </conditionalFormatting>
  <conditionalFormatting sqref="V52:AF54">
    <cfRule type="expression" dxfId="6608" priority="30">
      <formula>V$9&gt;=20/24</formula>
    </cfRule>
    <cfRule type="expression" dxfId="6607" priority="31">
      <formula>AND(V$9&gt;=14/24,V$9&lt;20/24)</formula>
    </cfRule>
    <cfRule type="expression" dxfId="6606" priority="32">
      <formula>AND(V$9&gt;=8/24,V$9&lt;14/24)</formula>
    </cfRule>
    <cfRule type="expression" dxfId="6605" priority="33">
      <formula>V$9&lt;8/24</formula>
    </cfRule>
  </conditionalFormatting>
  <conditionalFormatting sqref="V52:AF54">
    <cfRule type="expression" dxfId="6604" priority="29">
      <formula>V52&gt;$AG52</formula>
    </cfRule>
  </conditionalFormatting>
  <conditionalFormatting sqref="B17:AF17">
    <cfRule type="expression" dxfId="6603" priority="27">
      <formula>B17&gt;$AG17</formula>
    </cfRule>
  </conditionalFormatting>
  <conditionalFormatting sqref="A17">
    <cfRule type="expression" dxfId="6602" priority="26">
      <formula>$AH17=0</formula>
    </cfRule>
  </conditionalFormatting>
  <conditionalFormatting sqref="B17:AF17">
    <cfRule type="expression" dxfId="6601" priority="18">
      <formula>B$9&gt;=20/24</formula>
    </cfRule>
    <cfRule type="expression" dxfId="6600" priority="19">
      <formula>AND(B$9&gt;=14/24,B$9&lt;20/24)</formula>
    </cfRule>
    <cfRule type="expression" dxfId="6599" priority="20">
      <formula>AND(B$9&gt;=8/24,B$9&lt;14/24)</formula>
    </cfRule>
    <cfRule type="expression" dxfId="6598" priority="21">
      <formula>B$9&lt;8/24</formula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6597" priority="16">
      <formula>$AH30=0</formula>
    </cfRule>
  </conditionalFormatting>
  <conditionalFormatting sqref="B30:AF30">
    <cfRule type="expression" dxfId="6596" priority="2">
      <formula>B$9&gt;=20/24</formula>
    </cfRule>
    <cfRule type="expression" dxfId="6595" priority="3">
      <formula>AND(B$9&gt;=14/24,B$9&lt;20/24)</formula>
    </cfRule>
    <cfRule type="expression" dxfId="6594" priority="4">
      <formula>AND(B$9&gt;=8/24,B$9&lt;14/24)</formula>
    </cfRule>
    <cfRule type="expression" dxfId="6593" priority="5">
      <formula>B$9&lt;8/24</formula>
    </cfRule>
  </conditionalFormatting>
  <conditionalFormatting sqref="B30:AF30">
    <cfRule type="expression" dxfId="6592" priority="1">
      <formula>B30&gt;$AG30</formula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790B8E11-2B34-4CE1-9D19-E8766FA36BD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F6453696-E098-4181-96A7-E6A777655F8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D56ED40F-B504-4296-9368-BAAFD4AD1CE4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FE55FDA4-A758-4DCF-8D29-DE04EFC82D3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8" id="{CE7DAECB-5F5C-49DC-989A-458ED8A6920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7693F3A6-80F5-44C7-81AD-0980AABC19C9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6D73BF4A-D343-41B4-A856-914E0D93D7EB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CC469EEA-C0FB-4469-BE44-C3FBB40D3CAE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4" id="{65371520-AB4B-4F1B-9C80-077CA1D54E2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BDB9C49C-8D67-44B7-A0A6-54D6A11240A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5BFC1992-6F57-41FF-AA0B-214136E6A97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628B862D-1D60-493A-951D-524E82E03F50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J270"/>
  <sheetViews>
    <sheetView zoomScale="90" zoomScaleNormal="90" workbookViewId="0">
      <pane xSplit="1" ySplit="10" topLeftCell="B31" activePane="bottomRight" state="frozen"/>
      <selection activeCell="AF88" sqref="AF88"/>
      <selection pane="topRight" activeCell="AF88" sqref="AF88"/>
      <selection pane="bottomLeft" activeCell="AF88" sqref="AF88"/>
      <selection pane="bottomRight" activeCell="X47" sqref="X4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2079/06/15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169.5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1235MW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Load=996</v>
      </c>
      <c r="B7" s="35">
        <f t="shared" ref="B7:AF7" si="1">B81</f>
        <v>1010.3399999999999</v>
      </c>
      <c r="C7" s="35">
        <f t="shared" si="1"/>
        <v>1004.64</v>
      </c>
      <c r="D7" s="35">
        <f t="shared" si="1"/>
        <v>996.33999999999992</v>
      </c>
      <c r="E7" s="35">
        <f t="shared" si="1"/>
        <v>995.83999999999992</v>
      </c>
      <c r="F7" s="35">
        <f t="shared" si="1"/>
        <v>995.83999999999992</v>
      </c>
      <c r="G7" s="35">
        <f t="shared" si="1"/>
        <v>1043.1399999999999</v>
      </c>
      <c r="H7" s="35">
        <f t="shared" si="1"/>
        <v>1047.24</v>
      </c>
      <c r="I7" s="35">
        <f t="shared" si="1"/>
        <v>1086.94</v>
      </c>
      <c r="J7" s="35">
        <f t="shared" si="1"/>
        <v>1165.04</v>
      </c>
      <c r="K7" s="35">
        <f t="shared" si="1"/>
        <v>1206.24</v>
      </c>
      <c r="L7" s="35">
        <f t="shared" si="1"/>
        <v>1214.8399999999999</v>
      </c>
      <c r="M7" s="35">
        <f t="shared" si="1"/>
        <v>1234.8399999999999</v>
      </c>
      <c r="N7" s="35">
        <f t="shared" si="1"/>
        <v>1228.74</v>
      </c>
      <c r="O7" s="35">
        <f t="shared" si="1"/>
        <v>1201.94</v>
      </c>
      <c r="P7" s="35">
        <f t="shared" si="1"/>
        <v>1180.74</v>
      </c>
      <c r="Q7" s="35">
        <f t="shared" si="1"/>
        <v>1150.04</v>
      </c>
      <c r="R7" s="35">
        <f t="shared" si="1"/>
        <v>1121.74</v>
      </c>
      <c r="S7" s="35">
        <f t="shared" si="1"/>
        <v>1169.24</v>
      </c>
      <c r="T7" s="35">
        <f t="shared" si="1"/>
        <v>1201.6399999999999</v>
      </c>
      <c r="U7" s="35">
        <f t="shared" si="1"/>
        <v>1198.94</v>
      </c>
      <c r="V7" s="35">
        <f t="shared" si="1"/>
        <v>1385.34</v>
      </c>
      <c r="W7" s="35">
        <f t="shared" si="1"/>
        <v>1224.8399999999999</v>
      </c>
      <c r="X7" s="35">
        <f t="shared" si="1"/>
        <v>1292.24</v>
      </c>
      <c r="Y7" s="35">
        <f t="shared" si="1"/>
        <v>1339.74</v>
      </c>
      <c r="Z7" s="35">
        <f t="shared" si="1"/>
        <v>1308.54</v>
      </c>
      <c r="AA7" s="35">
        <f t="shared" si="1"/>
        <v>1298.8400000000001</v>
      </c>
      <c r="AB7" s="35">
        <f t="shared" si="1"/>
        <v>1268.1400000000001</v>
      </c>
      <c r="AC7" s="35">
        <f t="shared" si="1"/>
        <v>1252.54</v>
      </c>
      <c r="AD7" s="35">
        <f t="shared" si="1"/>
        <v>1209.24</v>
      </c>
      <c r="AE7" s="35">
        <f t="shared" si="1"/>
        <v>1103.44</v>
      </c>
      <c r="AF7" s="35">
        <f t="shared" si="1"/>
        <v>1091.74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52.6</v>
      </c>
      <c r="C11" s="45">
        <v>52.6</v>
      </c>
      <c r="D11" s="45">
        <v>52.6</v>
      </c>
      <c r="E11" s="45">
        <v>52.6</v>
      </c>
      <c r="F11" s="45">
        <v>52.6</v>
      </c>
      <c r="G11" s="45">
        <v>52.6</v>
      </c>
      <c r="H11" s="45">
        <v>52.6</v>
      </c>
      <c r="I11" s="45">
        <v>52.6</v>
      </c>
      <c r="J11" s="45">
        <v>52.6</v>
      </c>
      <c r="K11" s="45">
        <v>52.6</v>
      </c>
      <c r="L11" s="45">
        <v>52.6</v>
      </c>
      <c r="M11" s="45">
        <v>52.6</v>
      </c>
      <c r="N11" s="45">
        <v>52.6</v>
      </c>
      <c r="O11" s="45">
        <v>52.6</v>
      </c>
      <c r="P11" s="45">
        <v>52.6</v>
      </c>
      <c r="Q11" s="45">
        <v>52.5</v>
      </c>
      <c r="R11" s="45">
        <v>52.5</v>
      </c>
      <c r="S11" s="45">
        <v>52.5</v>
      </c>
      <c r="T11" s="45">
        <v>50.5</v>
      </c>
      <c r="U11" s="45">
        <v>50.5</v>
      </c>
      <c r="V11" s="45">
        <v>50.5</v>
      </c>
      <c r="W11" s="45">
        <v>50.5</v>
      </c>
      <c r="X11" s="45">
        <v>50.5</v>
      </c>
      <c r="Y11" s="46">
        <v>52.4</v>
      </c>
      <c r="Z11" s="46">
        <v>52.7</v>
      </c>
      <c r="AA11" s="46">
        <v>52.7</v>
      </c>
      <c r="AB11" s="46">
        <v>52.7</v>
      </c>
      <c r="AC11" s="46">
        <v>52.7</v>
      </c>
      <c r="AD11" s="46">
        <v>41.5</v>
      </c>
      <c r="AE11" s="46">
        <v>46</v>
      </c>
      <c r="AF11" s="46">
        <v>53.2</v>
      </c>
      <c r="AG11" s="47">
        <v>52.4</v>
      </c>
      <c r="AH11" s="48">
        <f>MAX(B11:AF11)</f>
        <v>53.2</v>
      </c>
      <c r="AI11" s="49">
        <f>MIN(B11:AF11)</f>
        <v>41.5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50.5</v>
      </c>
      <c r="C12" s="45">
        <v>50.5</v>
      </c>
      <c r="D12" s="45">
        <v>50.5</v>
      </c>
      <c r="E12" s="45">
        <v>50.5</v>
      </c>
      <c r="F12" s="45">
        <v>50.5</v>
      </c>
      <c r="G12" s="45">
        <v>50.5</v>
      </c>
      <c r="H12" s="45">
        <v>50.5</v>
      </c>
      <c r="I12" s="45">
        <v>50.5</v>
      </c>
      <c r="J12" s="45">
        <v>50.5</v>
      </c>
      <c r="K12" s="45">
        <v>50.5</v>
      </c>
      <c r="L12" s="45">
        <v>50.5</v>
      </c>
      <c r="M12" s="45">
        <v>50.5</v>
      </c>
      <c r="N12" s="45">
        <v>50.5</v>
      </c>
      <c r="O12" s="45">
        <v>50.5</v>
      </c>
      <c r="P12" s="45">
        <v>50.5</v>
      </c>
      <c r="Q12" s="45">
        <v>50.5</v>
      </c>
      <c r="R12" s="45">
        <v>50.5</v>
      </c>
      <c r="S12" s="45">
        <v>50.5</v>
      </c>
      <c r="T12" s="45">
        <v>50.5</v>
      </c>
      <c r="U12" s="45">
        <v>50.5</v>
      </c>
      <c r="V12" s="45">
        <v>50.5</v>
      </c>
      <c r="W12" s="45">
        <v>50.5</v>
      </c>
      <c r="X12" s="45">
        <v>50.7</v>
      </c>
      <c r="Y12" s="45">
        <v>50.5</v>
      </c>
      <c r="Z12" s="45">
        <v>50.5</v>
      </c>
      <c r="AA12" s="45">
        <v>50.5</v>
      </c>
      <c r="AB12" s="45">
        <v>50.5</v>
      </c>
      <c r="AC12" s="45">
        <v>50.5</v>
      </c>
      <c r="AD12" s="45">
        <v>50.4</v>
      </c>
      <c r="AE12" s="45">
        <v>50.4</v>
      </c>
      <c r="AF12" s="45">
        <v>50.8</v>
      </c>
      <c r="AG12" s="51">
        <v>50</v>
      </c>
      <c r="AH12" s="48">
        <f t="shared" ref="AH12:AH75" si="2">MAX(B12:AF12)</f>
        <v>50.8</v>
      </c>
      <c r="AI12" s="49">
        <f t="shared" ref="AI12:AI75" si="3">MIN(B12:AF12)</f>
        <v>50.4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36.700000000000003</v>
      </c>
      <c r="C13" s="45">
        <v>36.700000000000003</v>
      </c>
      <c r="D13" s="45">
        <v>36.700000000000003</v>
      </c>
      <c r="E13" s="45">
        <v>36.700000000000003</v>
      </c>
      <c r="F13" s="45">
        <v>36.700000000000003</v>
      </c>
      <c r="G13" s="45">
        <v>36.700000000000003</v>
      </c>
      <c r="H13" s="45">
        <v>36.700000000000003</v>
      </c>
      <c r="I13" s="45">
        <v>25</v>
      </c>
      <c r="J13" s="45">
        <v>25</v>
      </c>
      <c r="K13" s="45">
        <v>46</v>
      </c>
      <c r="L13" s="45">
        <v>46</v>
      </c>
      <c r="M13" s="45">
        <v>46</v>
      </c>
      <c r="N13" s="45">
        <v>42.6</v>
      </c>
      <c r="O13" s="45">
        <v>41.6</v>
      </c>
      <c r="P13" s="45">
        <v>41.6</v>
      </c>
      <c r="Q13" s="45">
        <v>28</v>
      </c>
      <c r="R13" s="45">
        <v>28</v>
      </c>
      <c r="S13" s="45">
        <v>46.1</v>
      </c>
      <c r="T13" s="45">
        <v>44</v>
      </c>
      <c r="U13" s="45">
        <v>44</v>
      </c>
      <c r="V13" s="45">
        <v>44</v>
      </c>
      <c r="W13" s="45">
        <v>44</v>
      </c>
      <c r="X13" s="45">
        <v>44.6</v>
      </c>
      <c r="Y13" s="45">
        <v>44.7</v>
      </c>
      <c r="Z13" s="45">
        <v>44.6</v>
      </c>
      <c r="AA13" s="45">
        <v>44.6</v>
      </c>
      <c r="AB13" s="45">
        <v>44.6</v>
      </c>
      <c r="AC13" s="45">
        <v>44.6</v>
      </c>
      <c r="AD13" s="45">
        <v>37</v>
      </c>
      <c r="AE13" s="45">
        <v>37</v>
      </c>
      <c r="AF13" s="45">
        <v>37</v>
      </c>
      <c r="AG13" s="51">
        <v>45</v>
      </c>
      <c r="AH13" s="48">
        <f t="shared" si="2"/>
        <v>46.1</v>
      </c>
      <c r="AI13" s="49">
        <f t="shared" si="3"/>
        <v>25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17</v>
      </c>
      <c r="C14" s="45">
        <v>17</v>
      </c>
      <c r="D14" s="45">
        <v>17</v>
      </c>
      <c r="E14" s="45">
        <v>17</v>
      </c>
      <c r="F14" s="45">
        <v>17</v>
      </c>
      <c r="G14" s="45">
        <v>17</v>
      </c>
      <c r="H14" s="45">
        <v>17</v>
      </c>
      <c r="I14" s="45">
        <v>17</v>
      </c>
      <c r="J14" s="45">
        <v>17</v>
      </c>
      <c r="K14" s="45">
        <v>17</v>
      </c>
      <c r="L14" s="45">
        <v>17</v>
      </c>
      <c r="M14" s="45">
        <v>17</v>
      </c>
      <c r="N14" s="45">
        <v>17</v>
      </c>
      <c r="O14" s="45">
        <v>17</v>
      </c>
      <c r="P14" s="45">
        <v>17</v>
      </c>
      <c r="Q14" s="45">
        <v>17</v>
      </c>
      <c r="R14" s="45">
        <v>17</v>
      </c>
      <c r="S14" s="45">
        <v>17</v>
      </c>
      <c r="T14" s="45">
        <v>17</v>
      </c>
      <c r="U14" s="45">
        <v>17</v>
      </c>
      <c r="V14" s="45">
        <v>20</v>
      </c>
      <c r="W14" s="45">
        <v>27</v>
      </c>
      <c r="X14" s="45">
        <v>40.6</v>
      </c>
      <c r="Y14" s="45">
        <v>41</v>
      </c>
      <c r="Z14" s="45">
        <v>28</v>
      </c>
      <c r="AA14" s="45">
        <v>28</v>
      </c>
      <c r="AB14" s="45">
        <v>28</v>
      </c>
      <c r="AC14" s="45">
        <v>28</v>
      </c>
      <c r="AD14" s="45">
        <v>20.5</v>
      </c>
      <c r="AE14" s="45">
        <v>20.5</v>
      </c>
      <c r="AF14" s="45">
        <v>20.5</v>
      </c>
      <c r="AG14" s="51">
        <v>42</v>
      </c>
      <c r="AH14" s="48">
        <f t="shared" si="2"/>
        <v>41</v>
      </c>
      <c r="AI14" s="49">
        <f t="shared" si="3"/>
        <v>17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6</v>
      </c>
      <c r="W15" s="45">
        <v>6</v>
      </c>
      <c r="X15" s="45">
        <v>6</v>
      </c>
      <c r="Y15" s="45">
        <v>29.4</v>
      </c>
      <c r="Z15" s="45">
        <v>29</v>
      </c>
      <c r="AA15" s="45">
        <v>20</v>
      </c>
      <c r="AB15" s="45">
        <v>5.8</v>
      </c>
      <c r="AC15" s="45">
        <v>0</v>
      </c>
      <c r="AD15" s="45">
        <v>0</v>
      </c>
      <c r="AE15" s="45">
        <v>0</v>
      </c>
      <c r="AF15" s="45">
        <v>0</v>
      </c>
      <c r="AG15" s="52">
        <v>30</v>
      </c>
      <c r="AH15" s="48">
        <f t="shared" si="2"/>
        <v>29.4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15.7</v>
      </c>
      <c r="C16" s="45">
        <v>15.7</v>
      </c>
      <c r="D16" s="45">
        <v>15.7</v>
      </c>
      <c r="E16" s="45">
        <v>15.7</v>
      </c>
      <c r="F16" s="45">
        <v>15.7</v>
      </c>
      <c r="G16" s="45">
        <v>15.7</v>
      </c>
      <c r="H16" s="45">
        <v>15.7</v>
      </c>
      <c r="I16" s="45">
        <v>15.7</v>
      </c>
      <c r="J16" s="45">
        <v>15.7</v>
      </c>
      <c r="K16" s="45">
        <v>20</v>
      </c>
      <c r="L16" s="45">
        <v>21</v>
      </c>
      <c r="M16" s="45">
        <v>21</v>
      </c>
      <c r="N16" s="45">
        <v>17.8</v>
      </c>
      <c r="O16" s="45">
        <v>17.8</v>
      </c>
      <c r="P16" s="45">
        <v>17.8</v>
      </c>
      <c r="Q16" s="45">
        <v>17.8</v>
      </c>
      <c r="R16" s="45">
        <v>17.8</v>
      </c>
      <c r="S16" s="45">
        <v>17.8</v>
      </c>
      <c r="T16" s="45">
        <v>17.8</v>
      </c>
      <c r="U16" s="45">
        <v>17.8</v>
      </c>
      <c r="V16" s="45">
        <v>17.8</v>
      </c>
      <c r="W16" s="45">
        <v>17.8</v>
      </c>
      <c r="X16" s="45">
        <v>17.8</v>
      </c>
      <c r="Y16" s="45">
        <v>33.1</v>
      </c>
      <c r="Z16" s="45">
        <v>15.7</v>
      </c>
      <c r="AA16" s="45">
        <v>15.7</v>
      </c>
      <c r="AB16" s="45">
        <v>15.7</v>
      </c>
      <c r="AC16" s="45">
        <v>15.7</v>
      </c>
      <c r="AD16" s="45">
        <v>15.7</v>
      </c>
      <c r="AE16" s="45">
        <v>15.7</v>
      </c>
      <c r="AF16" s="45">
        <v>15.7</v>
      </c>
      <c r="AG16" s="51">
        <v>24.2</v>
      </c>
      <c r="AH16" s="48">
        <f t="shared" si="2"/>
        <v>33.1</v>
      </c>
      <c r="AI16" s="49">
        <f t="shared" si="3"/>
        <v>15.7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3</v>
      </c>
      <c r="W17" s="45">
        <v>15</v>
      </c>
      <c r="X17" s="45">
        <v>27</v>
      </c>
      <c r="Y17" s="45">
        <v>27</v>
      </c>
      <c r="Z17" s="45">
        <v>27</v>
      </c>
      <c r="AA17" s="45">
        <v>27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52">
        <v>30</v>
      </c>
      <c r="AH17" s="48">
        <f t="shared" si="2"/>
        <v>27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20</v>
      </c>
      <c r="C18" s="45">
        <v>20</v>
      </c>
      <c r="D18" s="45">
        <v>20</v>
      </c>
      <c r="E18" s="45">
        <v>20</v>
      </c>
      <c r="F18" s="45">
        <v>20</v>
      </c>
      <c r="G18" s="45">
        <v>20</v>
      </c>
      <c r="H18" s="45">
        <v>20</v>
      </c>
      <c r="I18" s="45">
        <v>20</v>
      </c>
      <c r="J18" s="45">
        <v>20.7</v>
      </c>
      <c r="K18" s="45">
        <v>20.7</v>
      </c>
      <c r="L18" s="45">
        <v>20.7</v>
      </c>
      <c r="M18" s="45">
        <v>20.7</v>
      </c>
      <c r="N18" s="45">
        <v>21.2</v>
      </c>
      <c r="O18" s="45">
        <v>21.2</v>
      </c>
      <c r="P18" s="45">
        <v>21.2</v>
      </c>
      <c r="Q18" s="45">
        <v>21.2</v>
      </c>
      <c r="R18" s="45">
        <v>21.2</v>
      </c>
      <c r="S18" s="45">
        <v>21.2</v>
      </c>
      <c r="T18" s="45">
        <v>21.2</v>
      </c>
      <c r="U18" s="45">
        <v>21.2</v>
      </c>
      <c r="V18" s="45">
        <v>25</v>
      </c>
      <c r="W18" s="45">
        <v>25</v>
      </c>
      <c r="X18" s="45">
        <v>25</v>
      </c>
      <c r="Y18" s="45">
        <v>25</v>
      </c>
      <c r="Z18" s="45">
        <v>25</v>
      </c>
      <c r="AA18" s="45">
        <v>25</v>
      </c>
      <c r="AB18" s="45">
        <v>25</v>
      </c>
      <c r="AC18" s="45">
        <v>25</v>
      </c>
      <c r="AD18" s="45">
        <v>18</v>
      </c>
      <c r="AE18" s="45">
        <v>18</v>
      </c>
      <c r="AF18" s="45">
        <v>18</v>
      </c>
      <c r="AG18" s="51">
        <v>25</v>
      </c>
      <c r="AH18" s="48">
        <f t="shared" si="2"/>
        <v>25</v>
      </c>
      <c r="AI18" s="49">
        <f t="shared" si="3"/>
        <v>18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25</v>
      </c>
      <c r="C19" s="45">
        <v>25</v>
      </c>
      <c r="D19" s="45">
        <v>25</v>
      </c>
      <c r="E19" s="45">
        <v>25</v>
      </c>
      <c r="F19" s="45">
        <v>25</v>
      </c>
      <c r="G19" s="45">
        <v>25</v>
      </c>
      <c r="H19" s="45">
        <v>25</v>
      </c>
      <c r="I19" s="45">
        <v>25</v>
      </c>
      <c r="J19" s="45">
        <v>25</v>
      </c>
      <c r="K19" s="45">
        <v>25</v>
      </c>
      <c r="L19" s="45">
        <v>25</v>
      </c>
      <c r="M19" s="45">
        <v>25</v>
      </c>
      <c r="N19" s="45">
        <v>25</v>
      </c>
      <c r="O19" s="45">
        <v>25</v>
      </c>
      <c r="P19" s="45">
        <v>25</v>
      </c>
      <c r="Q19" s="45">
        <v>25</v>
      </c>
      <c r="R19" s="45">
        <v>25</v>
      </c>
      <c r="S19" s="45">
        <v>25</v>
      </c>
      <c r="T19" s="45">
        <v>25</v>
      </c>
      <c r="U19" s="45">
        <v>25</v>
      </c>
      <c r="V19" s="45">
        <v>25</v>
      </c>
      <c r="W19" s="45">
        <v>25</v>
      </c>
      <c r="X19" s="45">
        <v>25</v>
      </c>
      <c r="Y19" s="45">
        <v>25</v>
      </c>
      <c r="Z19" s="45">
        <v>25</v>
      </c>
      <c r="AA19" s="45">
        <v>25</v>
      </c>
      <c r="AB19" s="45">
        <v>25</v>
      </c>
      <c r="AC19" s="45">
        <v>25</v>
      </c>
      <c r="AD19" s="45">
        <v>25</v>
      </c>
      <c r="AE19" s="45">
        <v>25</v>
      </c>
      <c r="AF19" s="45">
        <v>25</v>
      </c>
      <c r="AG19" s="51">
        <v>25</v>
      </c>
      <c r="AH19" s="48">
        <f t="shared" si="2"/>
        <v>25</v>
      </c>
      <c r="AI19" s="49">
        <f t="shared" si="3"/>
        <v>25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22</v>
      </c>
      <c r="C20" s="45">
        <v>22</v>
      </c>
      <c r="D20" s="45">
        <v>22</v>
      </c>
      <c r="E20" s="45">
        <v>22</v>
      </c>
      <c r="F20" s="45">
        <v>22</v>
      </c>
      <c r="G20" s="45">
        <v>22</v>
      </c>
      <c r="H20" s="45">
        <v>22</v>
      </c>
      <c r="I20" s="45">
        <v>22</v>
      </c>
      <c r="J20" s="45">
        <v>22</v>
      </c>
      <c r="K20" s="45">
        <v>22</v>
      </c>
      <c r="L20" s="45">
        <v>22</v>
      </c>
      <c r="M20" s="45">
        <v>22</v>
      </c>
      <c r="N20" s="45">
        <v>22</v>
      </c>
      <c r="O20" s="45">
        <v>22</v>
      </c>
      <c r="P20" s="45">
        <v>22</v>
      </c>
      <c r="Q20" s="45">
        <v>15</v>
      </c>
      <c r="R20" s="45">
        <v>15</v>
      </c>
      <c r="S20" s="45">
        <v>15</v>
      </c>
      <c r="T20" s="45">
        <v>15</v>
      </c>
      <c r="U20" s="45">
        <v>15</v>
      </c>
      <c r="V20" s="45">
        <v>15</v>
      </c>
      <c r="W20" s="45">
        <v>15</v>
      </c>
      <c r="X20" s="45">
        <v>22</v>
      </c>
      <c r="Y20" s="45">
        <v>22</v>
      </c>
      <c r="Z20" s="45">
        <v>22</v>
      </c>
      <c r="AA20" s="45">
        <v>22</v>
      </c>
      <c r="AB20" s="45">
        <v>22</v>
      </c>
      <c r="AC20" s="45">
        <v>22</v>
      </c>
      <c r="AD20" s="45">
        <v>22</v>
      </c>
      <c r="AE20" s="45">
        <v>22</v>
      </c>
      <c r="AF20" s="45">
        <v>22</v>
      </c>
      <c r="AG20" s="51">
        <v>25</v>
      </c>
      <c r="AH20" s="48">
        <f t="shared" si="2"/>
        <v>22</v>
      </c>
      <c r="AI20" s="49">
        <f t="shared" si="3"/>
        <v>15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21.5</v>
      </c>
      <c r="C21" s="45">
        <v>21.5</v>
      </c>
      <c r="D21" s="45">
        <v>21.5</v>
      </c>
      <c r="E21" s="45">
        <v>21.5</v>
      </c>
      <c r="F21" s="45">
        <v>21.5</v>
      </c>
      <c r="G21" s="45">
        <v>21.5</v>
      </c>
      <c r="H21" s="45">
        <v>21.5</v>
      </c>
      <c r="I21" s="45">
        <v>21.5</v>
      </c>
      <c r="J21" s="45">
        <v>21.5</v>
      </c>
      <c r="K21" s="45">
        <v>21.5</v>
      </c>
      <c r="L21" s="45">
        <v>21.5</v>
      </c>
      <c r="M21" s="45">
        <v>21.5</v>
      </c>
      <c r="N21" s="45">
        <v>21.5</v>
      </c>
      <c r="O21" s="45">
        <v>21.5</v>
      </c>
      <c r="P21" s="45">
        <v>21.5</v>
      </c>
      <c r="Q21" s="45">
        <v>21.5</v>
      </c>
      <c r="R21" s="45">
        <v>21.5</v>
      </c>
      <c r="S21" s="45">
        <v>21.5</v>
      </c>
      <c r="T21" s="45">
        <v>21.5</v>
      </c>
      <c r="U21" s="45">
        <v>21.5</v>
      </c>
      <c r="V21" s="45">
        <v>21.5</v>
      </c>
      <c r="W21" s="45">
        <v>21.5</v>
      </c>
      <c r="X21" s="45">
        <v>21.5</v>
      </c>
      <c r="Y21" s="45">
        <v>21.3</v>
      </c>
      <c r="Z21" s="45">
        <v>20.7</v>
      </c>
      <c r="AA21" s="45">
        <v>20.7</v>
      </c>
      <c r="AB21" s="45">
        <v>20.7</v>
      </c>
      <c r="AC21" s="45">
        <v>21.6</v>
      </c>
      <c r="AD21" s="45">
        <v>22.1</v>
      </c>
      <c r="AE21" s="45">
        <v>22.1</v>
      </c>
      <c r="AF21" s="45">
        <v>22.1</v>
      </c>
      <c r="AG21" s="51">
        <v>23.5</v>
      </c>
      <c r="AH21" s="48">
        <f t="shared" si="2"/>
        <v>22.1</v>
      </c>
      <c r="AI21" s="49">
        <f t="shared" si="3"/>
        <v>20.7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14</v>
      </c>
      <c r="C22" s="45">
        <v>14</v>
      </c>
      <c r="D22" s="45">
        <v>14</v>
      </c>
      <c r="E22" s="45">
        <v>14</v>
      </c>
      <c r="F22" s="45">
        <v>14</v>
      </c>
      <c r="G22" s="45">
        <v>14</v>
      </c>
      <c r="H22" s="45">
        <v>14</v>
      </c>
      <c r="I22" s="45">
        <v>14</v>
      </c>
      <c r="J22" s="45">
        <v>14</v>
      </c>
      <c r="K22" s="45">
        <v>14</v>
      </c>
      <c r="L22" s="45">
        <v>14</v>
      </c>
      <c r="M22" s="45">
        <v>14</v>
      </c>
      <c r="N22" s="45">
        <v>14</v>
      </c>
      <c r="O22" s="45">
        <v>14</v>
      </c>
      <c r="P22" s="45">
        <v>14</v>
      </c>
      <c r="Q22" s="45">
        <v>14</v>
      </c>
      <c r="R22" s="45">
        <v>14</v>
      </c>
      <c r="S22" s="45">
        <v>14</v>
      </c>
      <c r="T22" s="45">
        <v>14</v>
      </c>
      <c r="U22" s="45">
        <v>14</v>
      </c>
      <c r="V22" s="45">
        <v>14</v>
      </c>
      <c r="W22" s="45">
        <v>14</v>
      </c>
      <c r="X22" s="45">
        <v>14</v>
      </c>
      <c r="Y22" s="45">
        <v>14</v>
      </c>
      <c r="Z22" s="45">
        <v>14</v>
      </c>
      <c r="AA22" s="45">
        <v>14</v>
      </c>
      <c r="AB22" s="45">
        <v>13</v>
      </c>
      <c r="AC22" s="45">
        <v>13</v>
      </c>
      <c r="AD22" s="45">
        <v>13</v>
      </c>
      <c r="AE22" s="45">
        <v>13</v>
      </c>
      <c r="AF22" s="45">
        <v>13</v>
      </c>
      <c r="AG22" s="51">
        <v>22.2</v>
      </c>
      <c r="AH22" s="48">
        <f t="shared" si="2"/>
        <v>14</v>
      </c>
      <c r="AI22" s="49">
        <f t="shared" si="3"/>
        <v>13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18</v>
      </c>
      <c r="C23" s="45">
        <v>18</v>
      </c>
      <c r="D23" s="45">
        <v>18</v>
      </c>
      <c r="E23" s="45">
        <v>18</v>
      </c>
      <c r="F23" s="45">
        <v>18</v>
      </c>
      <c r="G23" s="45">
        <v>18</v>
      </c>
      <c r="H23" s="45">
        <v>18</v>
      </c>
      <c r="I23" s="45">
        <v>18</v>
      </c>
      <c r="J23" s="45">
        <v>18</v>
      </c>
      <c r="K23" s="45">
        <v>18</v>
      </c>
      <c r="L23" s="45">
        <v>18</v>
      </c>
      <c r="M23" s="45">
        <v>18</v>
      </c>
      <c r="N23" s="45">
        <v>18</v>
      </c>
      <c r="O23" s="45">
        <v>18</v>
      </c>
      <c r="P23" s="45">
        <v>18</v>
      </c>
      <c r="Q23" s="45">
        <v>18</v>
      </c>
      <c r="R23" s="45">
        <v>18</v>
      </c>
      <c r="S23" s="45">
        <v>18</v>
      </c>
      <c r="T23" s="45">
        <v>18</v>
      </c>
      <c r="U23" s="45">
        <v>18</v>
      </c>
      <c r="V23" s="45">
        <v>18</v>
      </c>
      <c r="W23" s="45">
        <v>18</v>
      </c>
      <c r="X23" s="45">
        <v>18</v>
      </c>
      <c r="Y23" s="45">
        <v>18</v>
      </c>
      <c r="Z23" s="45">
        <v>18</v>
      </c>
      <c r="AA23" s="45">
        <v>18</v>
      </c>
      <c r="AB23" s="45">
        <v>18</v>
      </c>
      <c r="AC23" s="45">
        <v>18</v>
      </c>
      <c r="AD23" s="45">
        <v>18</v>
      </c>
      <c r="AE23" s="45">
        <v>18</v>
      </c>
      <c r="AF23" s="45">
        <v>18</v>
      </c>
      <c r="AG23" s="51">
        <v>22.1</v>
      </c>
      <c r="AH23" s="48">
        <f t="shared" si="2"/>
        <v>18</v>
      </c>
      <c r="AI23" s="49">
        <f t="shared" si="3"/>
        <v>18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22</v>
      </c>
      <c r="C24" s="45">
        <v>22</v>
      </c>
      <c r="D24" s="45">
        <v>22</v>
      </c>
      <c r="E24" s="45">
        <v>22</v>
      </c>
      <c r="F24" s="45">
        <v>22</v>
      </c>
      <c r="G24" s="45">
        <v>22</v>
      </c>
      <c r="H24" s="45">
        <v>22</v>
      </c>
      <c r="I24" s="45">
        <v>22</v>
      </c>
      <c r="J24" s="45">
        <v>22</v>
      </c>
      <c r="K24" s="45">
        <v>22</v>
      </c>
      <c r="L24" s="45">
        <v>22</v>
      </c>
      <c r="M24" s="45">
        <v>22</v>
      </c>
      <c r="N24" s="45">
        <v>22</v>
      </c>
      <c r="O24" s="45">
        <v>22</v>
      </c>
      <c r="P24" s="45">
        <v>22</v>
      </c>
      <c r="Q24" s="45">
        <v>22</v>
      </c>
      <c r="R24" s="45">
        <v>22</v>
      </c>
      <c r="S24" s="45">
        <v>22</v>
      </c>
      <c r="T24" s="45">
        <v>22</v>
      </c>
      <c r="U24" s="45">
        <v>22</v>
      </c>
      <c r="V24" s="45">
        <v>22</v>
      </c>
      <c r="W24" s="45">
        <v>22</v>
      </c>
      <c r="X24" s="45">
        <v>22</v>
      </c>
      <c r="Y24" s="45">
        <v>22</v>
      </c>
      <c r="Z24" s="45">
        <v>22</v>
      </c>
      <c r="AA24" s="45">
        <v>22</v>
      </c>
      <c r="AB24" s="45">
        <v>22</v>
      </c>
      <c r="AC24" s="45">
        <v>22</v>
      </c>
      <c r="AD24" s="45">
        <v>22</v>
      </c>
      <c r="AE24" s="45">
        <v>22</v>
      </c>
      <c r="AF24" s="45">
        <v>22</v>
      </c>
      <c r="AG24" s="51">
        <v>22</v>
      </c>
      <c r="AH24" s="48">
        <f t="shared" si="2"/>
        <v>22</v>
      </c>
      <c r="AI24" s="49">
        <f t="shared" si="3"/>
        <v>22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18</v>
      </c>
      <c r="C25" s="45">
        <v>18</v>
      </c>
      <c r="D25" s="45">
        <v>18</v>
      </c>
      <c r="E25" s="45">
        <v>18</v>
      </c>
      <c r="F25" s="45">
        <v>18</v>
      </c>
      <c r="G25" s="45">
        <v>18</v>
      </c>
      <c r="H25" s="45">
        <v>18</v>
      </c>
      <c r="I25" s="45">
        <v>18</v>
      </c>
      <c r="J25" s="45">
        <v>18</v>
      </c>
      <c r="K25" s="45">
        <v>18</v>
      </c>
      <c r="L25" s="45">
        <v>18</v>
      </c>
      <c r="M25" s="45">
        <v>18</v>
      </c>
      <c r="N25" s="45">
        <v>18</v>
      </c>
      <c r="O25" s="45">
        <v>18</v>
      </c>
      <c r="P25" s="45">
        <v>18</v>
      </c>
      <c r="Q25" s="45">
        <v>18</v>
      </c>
      <c r="R25" s="45">
        <v>18</v>
      </c>
      <c r="S25" s="45">
        <v>18</v>
      </c>
      <c r="T25" s="45">
        <v>18</v>
      </c>
      <c r="U25" s="45">
        <v>18</v>
      </c>
      <c r="V25" s="45">
        <v>18</v>
      </c>
      <c r="W25" s="45">
        <v>18</v>
      </c>
      <c r="X25" s="45">
        <v>18</v>
      </c>
      <c r="Y25" s="45">
        <v>18</v>
      </c>
      <c r="Z25" s="45">
        <v>18</v>
      </c>
      <c r="AA25" s="45">
        <v>18</v>
      </c>
      <c r="AB25" s="45">
        <v>22</v>
      </c>
      <c r="AC25" s="45">
        <v>22</v>
      </c>
      <c r="AD25" s="45">
        <v>18</v>
      </c>
      <c r="AE25" s="45">
        <v>18</v>
      </c>
      <c r="AF25" s="45">
        <v>18</v>
      </c>
      <c r="AG25" s="51">
        <v>22</v>
      </c>
      <c r="AH25" s="48">
        <f t="shared" si="2"/>
        <v>22</v>
      </c>
      <c r="AI25" s="49">
        <f t="shared" si="3"/>
        <v>18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10</v>
      </c>
      <c r="Y26" s="45">
        <v>10</v>
      </c>
      <c r="Z26" s="45">
        <v>10</v>
      </c>
      <c r="AA26" s="45">
        <v>10</v>
      </c>
      <c r="AB26" s="45">
        <v>10</v>
      </c>
      <c r="AC26" s="45">
        <v>0</v>
      </c>
      <c r="AD26" s="45">
        <v>0</v>
      </c>
      <c r="AE26" s="45">
        <v>0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>
        <v>14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14.9</v>
      </c>
      <c r="AH27" s="48">
        <f t="shared" si="2"/>
        <v>14</v>
      </c>
      <c r="AI27" s="49">
        <f t="shared" si="3"/>
        <v>14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51">
        <v>13.6</v>
      </c>
      <c r="AH28" s="48">
        <f t="shared" si="2"/>
        <v>6</v>
      </c>
      <c r="AI28" s="49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5</v>
      </c>
      <c r="C29" s="45">
        <v>5</v>
      </c>
      <c r="D29" s="45">
        <v>5</v>
      </c>
      <c r="E29" s="45">
        <v>5</v>
      </c>
      <c r="F29" s="45">
        <v>5</v>
      </c>
      <c r="G29" s="45">
        <v>5</v>
      </c>
      <c r="H29" s="45">
        <v>5</v>
      </c>
      <c r="I29" s="45">
        <v>5</v>
      </c>
      <c r="J29" s="45">
        <v>5</v>
      </c>
      <c r="K29" s="45">
        <v>5</v>
      </c>
      <c r="L29" s="45">
        <v>5</v>
      </c>
      <c r="M29" s="45">
        <v>5</v>
      </c>
      <c r="N29" s="45">
        <v>5</v>
      </c>
      <c r="O29" s="45">
        <v>5</v>
      </c>
      <c r="P29" s="45">
        <v>5</v>
      </c>
      <c r="Q29" s="45">
        <v>5</v>
      </c>
      <c r="R29" s="45">
        <v>5</v>
      </c>
      <c r="S29" s="45">
        <v>5</v>
      </c>
      <c r="T29" s="45">
        <v>5</v>
      </c>
      <c r="U29" s="45">
        <v>5</v>
      </c>
      <c r="V29" s="45">
        <v>5</v>
      </c>
      <c r="W29" s="45">
        <v>5</v>
      </c>
      <c r="X29" s="45">
        <v>5</v>
      </c>
      <c r="Y29" s="45">
        <v>5</v>
      </c>
      <c r="Z29" s="45">
        <v>5</v>
      </c>
      <c r="AA29" s="45">
        <v>5</v>
      </c>
      <c r="AB29" s="45">
        <v>10.6</v>
      </c>
      <c r="AC29" s="45">
        <v>10.6</v>
      </c>
      <c r="AD29" s="45">
        <v>10.6</v>
      </c>
      <c r="AE29" s="45">
        <v>10.6</v>
      </c>
      <c r="AF29" s="45">
        <v>10.6</v>
      </c>
      <c r="AG29" s="51">
        <v>13</v>
      </c>
      <c r="AH29" s="48">
        <f t="shared" si="2"/>
        <v>10.6</v>
      </c>
      <c r="AI29" s="49">
        <f t="shared" si="3"/>
        <v>5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12</v>
      </c>
      <c r="Y30" s="45">
        <v>12</v>
      </c>
      <c r="Z30" s="45">
        <v>12</v>
      </c>
      <c r="AA30" s="45">
        <v>12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51">
        <v>12</v>
      </c>
      <c r="AH30" s="48">
        <f t="shared" si="2"/>
        <v>12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8</v>
      </c>
      <c r="C31" s="45">
        <v>8</v>
      </c>
      <c r="D31" s="45">
        <v>8</v>
      </c>
      <c r="E31" s="45">
        <v>8</v>
      </c>
      <c r="F31" s="45">
        <v>8</v>
      </c>
      <c r="G31" s="45">
        <v>8</v>
      </c>
      <c r="H31" s="45">
        <v>8</v>
      </c>
      <c r="I31" s="45">
        <v>8</v>
      </c>
      <c r="J31" s="45">
        <v>8</v>
      </c>
      <c r="K31" s="45">
        <v>8</v>
      </c>
      <c r="L31" s="45">
        <v>8</v>
      </c>
      <c r="M31" s="45">
        <v>8</v>
      </c>
      <c r="N31" s="45">
        <v>8</v>
      </c>
      <c r="O31" s="45">
        <v>8</v>
      </c>
      <c r="P31" s="45">
        <v>8</v>
      </c>
      <c r="Q31" s="45">
        <v>8</v>
      </c>
      <c r="R31" s="45">
        <v>8</v>
      </c>
      <c r="S31" s="45">
        <v>8</v>
      </c>
      <c r="T31" s="45">
        <v>8</v>
      </c>
      <c r="U31" s="45">
        <v>8</v>
      </c>
      <c r="V31" s="45">
        <v>8</v>
      </c>
      <c r="W31" s="45">
        <v>8</v>
      </c>
      <c r="X31" s="45">
        <v>8</v>
      </c>
      <c r="Y31" s="45">
        <v>8</v>
      </c>
      <c r="Z31" s="45">
        <v>8</v>
      </c>
      <c r="AA31" s="45">
        <v>8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2"/>
        <v>12</v>
      </c>
      <c r="AI31" s="49">
        <f t="shared" si="3"/>
        <v>8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12</v>
      </c>
      <c r="Y32" s="45">
        <v>3</v>
      </c>
      <c r="Z32" s="45">
        <v>3</v>
      </c>
      <c r="AA32" s="45">
        <v>3</v>
      </c>
      <c r="AB32" s="45">
        <v>3</v>
      </c>
      <c r="AC32" s="45">
        <v>3</v>
      </c>
      <c r="AD32" s="45">
        <v>3</v>
      </c>
      <c r="AE32" s="45">
        <v>3</v>
      </c>
      <c r="AF32" s="45">
        <v>3</v>
      </c>
      <c r="AG32" s="51">
        <v>12</v>
      </c>
      <c r="AH32" s="48">
        <f t="shared" si="2"/>
        <v>12</v>
      </c>
      <c r="AI32" s="49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8</v>
      </c>
      <c r="C33" s="45">
        <v>8</v>
      </c>
      <c r="D33" s="45">
        <v>8</v>
      </c>
      <c r="E33" s="45">
        <v>8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3">
        <v>22</v>
      </c>
      <c r="AH33" s="48">
        <f t="shared" si="2"/>
        <v>8</v>
      </c>
      <c r="AI33" s="49">
        <f t="shared" si="3"/>
        <v>8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10</v>
      </c>
      <c r="C34" s="45">
        <v>10</v>
      </c>
      <c r="D34" s="45">
        <v>10</v>
      </c>
      <c r="E34" s="45">
        <v>10</v>
      </c>
      <c r="F34" s="45">
        <v>10</v>
      </c>
      <c r="G34" s="45">
        <v>10</v>
      </c>
      <c r="H34" s="45">
        <v>10</v>
      </c>
      <c r="I34" s="45">
        <v>10</v>
      </c>
      <c r="J34" s="45">
        <v>10</v>
      </c>
      <c r="K34" s="45">
        <v>10</v>
      </c>
      <c r="L34" s="45">
        <v>10</v>
      </c>
      <c r="M34" s="45">
        <v>10</v>
      </c>
      <c r="N34" s="45">
        <v>10</v>
      </c>
      <c r="O34" s="45">
        <v>10</v>
      </c>
      <c r="P34" s="45">
        <v>10</v>
      </c>
      <c r="Q34" s="45">
        <v>10</v>
      </c>
      <c r="R34" s="45">
        <v>10</v>
      </c>
      <c r="S34" s="45">
        <v>10</v>
      </c>
      <c r="T34" s="45">
        <v>10</v>
      </c>
      <c r="U34" s="45">
        <v>10</v>
      </c>
      <c r="V34" s="45">
        <v>10</v>
      </c>
      <c r="W34" s="45">
        <v>10</v>
      </c>
      <c r="X34" s="45">
        <v>10</v>
      </c>
      <c r="Y34" s="45">
        <v>10</v>
      </c>
      <c r="Z34" s="45">
        <v>10</v>
      </c>
      <c r="AA34" s="45">
        <v>10</v>
      </c>
      <c r="AB34" s="45">
        <v>10</v>
      </c>
      <c r="AC34" s="45">
        <v>10</v>
      </c>
      <c r="AD34" s="45">
        <v>10</v>
      </c>
      <c r="AE34" s="45">
        <v>10</v>
      </c>
      <c r="AF34" s="45">
        <v>10</v>
      </c>
      <c r="AG34" s="52">
        <v>11.88</v>
      </c>
      <c r="AH34" s="48">
        <f t="shared" si="2"/>
        <v>10</v>
      </c>
      <c r="AI34" s="49">
        <f t="shared" si="3"/>
        <v>10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9</v>
      </c>
      <c r="C35" s="45">
        <v>9</v>
      </c>
      <c r="D35" s="45">
        <v>9</v>
      </c>
      <c r="E35" s="45">
        <v>9</v>
      </c>
      <c r="F35" s="45">
        <v>9</v>
      </c>
      <c r="G35" s="45">
        <v>9</v>
      </c>
      <c r="H35" s="45">
        <v>9</v>
      </c>
      <c r="I35" s="45">
        <v>9</v>
      </c>
      <c r="J35" s="45">
        <v>9</v>
      </c>
      <c r="K35" s="45">
        <v>9</v>
      </c>
      <c r="L35" s="45">
        <v>9</v>
      </c>
      <c r="M35" s="45">
        <v>9</v>
      </c>
      <c r="N35" s="45">
        <v>9</v>
      </c>
      <c r="O35" s="45">
        <v>9</v>
      </c>
      <c r="P35" s="45">
        <v>9</v>
      </c>
      <c r="Q35" s="45">
        <v>9</v>
      </c>
      <c r="R35" s="45">
        <v>9</v>
      </c>
      <c r="S35" s="45">
        <v>9</v>
      </c>
      <c r="T35" s="45">
        <v>9</v>
      </c>
      <c r="U35" s="45">
        <v>9</v>
      </c>
      <c r="V35" s="45">
        <v>9</v>
      </c>
      <c r="W35" s="45">
        <v>9</v>
      </c>
      <c r="X35" s="45">
        <v>9</v>
      </c>
      <c r="Y35" s="45">
        <v>9</v>
      </c>
      <c r="Z35" s="45">
        <v>9</v>
      </c>
      <c r="AA35" s="45">
        <v>9</v>
      </c>
      <c r="AB35" s="45">
        <v>9</v>
      </c>
      <c r="AC35" s="45">
        <v>9</v>
      </c>
      <c r="AD35" s="45">
        <v>9</v>
      </c>
      <c r="AE35" s="45">
        <v>9</v>
      </c>
      <c r="AF35" s="45">
        <v>9</v>
      </c>
      <c r="AG35" s="55">
        <v>11</v>
      </c>
      <c r="AH35" s="48">
        <f t="shared" si="2"/>
        <v>9</v>
      </c>
      <c r="AI35" s="49">
        <f t="shared" si="3"/>
        <v>9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8</v>
      </c>
      <c r="C36" s="45">
        <v>8</v>
      </c>
      <c r="D36" s="45">
        <v>8</v>
      </c>
      <c r="E36" s="45">
        <v>8</v>
      </c>
      <c r="F36" s="45">
        <v>8</v>
      </c>
      <c r="G36" s="45">
        <v>8</v>
      </c>
      <c r="H36" s="45">
        <v>8</v>
      </c>
      <c r="I36" s="45">
        <v>8</v>
      </c>
      <c r="J36" s="45">
        <v>8</v>
      </c>
      <c r="K36" s="45">
        <v>8</v>
      </c>
      <c r="L36" s="45">
        <v>8</v>
      </c>
      <c r="M36" s="45">
        <v>8</v>
      </c>
      <c r="N36" s="45">
        <v>8</v>
      </c>
      <c r="O36" s="45">
        <v>8</v>
      </c>
      <c r="P36" s="45">
        <v>8</v>
      </c>
      <c r="Q36" s="45">
        <v>8</v>
      </c>
      <c r="R36" s="45">
        <v>8</v>
      </c>
      <c r="S36" s="45">
        <v>8</v>
      </c>
      <c r="T36" s="45">
        <v>8</v>
      </c>
      <c r="U36" s="45">
        <v>8</v>
      </c>
      <c r="V36" s="45">
        <v>8</v>
      </c>
      <c r="W36" s="45">
        <v>8</v>
      </c>
      <c r="X36" s="45">
        <v>8</v>
      </c>
      <c r="Y36" s="45">
        <v>8</v>
      </c>
      <c r="Z36" s="45">
        <v>8</v>
      </c>
      <c r="AA36" s="45">
        <v>8</v>
      </c>
      <c r="AB36" s="45">
        <v>8</v>
      </c>
      <c r="AC36" s="45">
        <v>8</v>
      </c>
      <c r="AD36" s="45">
        <v>8</v>
      </c>
      <c r="AE36" s="45">
        <v>8</v>
      </c>
      <c r="AF36" s="45">
        <v>8</v>
      </c>
      <c r="AG36" s="55">
        <v>10</v>
      </c>
      <c r="AH36" s="48">
        <f t="shared" si="2"/>
        <v>8</v>
      </c>
      <c r="AI36" s="49">
        <f t="shared" si="3"/>
        <v>8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0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300</v>
      </c>
      <c r="C38" s="57">
        <v>300</v>
      </c>
      <c r="D38" s="57">
        <v>300</v>
      </c>
      <c r="E38" s="57">
        <v>300</v>
      </c>
      <c r="F38" s="57">
        <v>300</v>
      </c>
      <c r="G38" s="57">
        <v>300</v>
      </c>
      <c r="H38" s="57">
        <v>300</v>
      </c>
      <c r="I38" s="57">
        <v>300</v>
      </c>
      <c r="J38" s="57">
        <v>300</v>
      </c>
      <c r="K38" s="57">
        <v>300</v>
      </c>
      <c r="L38" s="57">
        <v>300</v>
      </c>
      <c r="M38" s="57">
        <v>300</v>
      </c>
      <c r="N38" s="57">
        <v>300</v>
      </c>
      <c r="O38" s="57">
        <v>300</v>
      </c>
      <c r="P38" s="57">
        <v>300</v>
      </c>
      <c r="Q38" s="57">
        <v>300</v>
      </c>
      <c r="R38" s="57">
        <v>300</v>
      </c>
      <c r="S38" s="57">
        <v>300</v>
      </c>
      <c r="T38" s="57">
        <v>300</v>
      </c>
      <c r="U38" s="57">
        <v>300</v>
      </c>
      <c r="V38" s="57">
        <v>300</v>
      </c>
      <c r="W38" s="57">
        <v>300</v>
      </c>
      <c r="X38" s="57">
        <v>300</v>
      </c>
      <c r="Y38" s="57">
        <v>300</v>
      </c>
      <c r="Z38" s="57">
        <v>300</v>
      </c>
      <c r="AA38" s="57">
        <v>300</v>
      </c>
      <c r="AB38" s="57">
        <v>300</v>
      </c>
      <c r="AC38" s="57">
        <v>300</v>
      </c>
      <c r="AD38" s="57">
        <v>300</v>
      </c>
      <c r="AE38" s="57">
        <v>300</v>
      </c>
      <c r="AF38" s="57">
        <v>300</v>
      </c>
      <c r="AG38" s="55">
        <v>85</v>
      </c>
      <c r="AH38" s="48">
        <f t="shared" si="2"/>
        <v>300</v>
      </c>
      <c r="AI38" s="49">
        <f t="shared" si="3"/>
        <v>300</v>
      </c>
      <c r="AK38" s="50"/>
    </row>
    <row r="39" spans="1:88" ht="15.75" thickBot="1" x14ac:dyDescent="0.3">
      <c r="A39" s="58" t="s">
        <v>47</v>
      </c>
      <c r="B39" s="59">
        <v>149.80000000000001</v>
      </c>
      <c r="C39" s="59">
        <f>81.6+65.3</f>
        <v>146.89999999999998</v>
      </c>
      <c r="D39" s="59">
        <f>81.9+65.7</f>
        <v>147.60000000000002</v>
      </c>
      <c r="E39" s="59">
        <f>64.8+78.5</f>
        <v>143.30000000000001</v>
      </c>
      <c r="F39" s="59">
        <f t="shared" ref="F39:G39" si="4">64.8+78.5</f>
        <v>143.30000000000001</v>
      </c>
      <c r="G39" s="59">
        <f t="shared" si="4"/>
        <v>143.30000000000001</v>
      </c>
      <c r="H39" s="59">
        <f>65.5+78.5</f>
        <v>144</v>
      </c>
      <c r="I39" s="59">
        <f>66.1+83.2</f>
        <v>149.30000000000001</v>
      </c>
      <c r="J39" s="59">
        <f>66.1+80.1</f>
        <v>146.19999999999999</v>
      </c>
      <c r="K39" s="59">
        <f>66.1+80.1</f>
        <v>146.19999999999999</v>
      </c>
      <c r="L39" s="59">
        <f>66.1+80.1</f>
        <v>146.19999999999999</v>
      </c>
      <c r="M39" s="57">
        <f>82.2+63.8</f>
        <v>146</v>
      </c>
      <c r="N39" s="57">
        <f>63.7+83.2</f>
        <v>146.9</v>
      </c>
      <c r="O39" s="57">
        <f>63.6+81.3</f>
        <v>144.9</v>
      </c>
      <c r="P39" s="57">
        <v>145</v>
      </c>
      <c r="Q39" s="57">
        <f>81+65</f>
        <v>146</v>
      </c>
      <c r="R39" s="57">
        <f>79.2+64.8</f>
        <v>144</v>
      </c>
      <c r="S39" s="57">
        <f>64.8+81.7</f>
        <v>146.5</v>
      </c>
      <c r="T39" s="57">
        <f>64.2+81.1</f>
        <v>145.30000000000001</v>
      </c>
      <c r="U39" s="57">
        <f>64.3+77.6</f>
        <v>141.89999999999998</v>
      </c>
      <c r="V39" s="57">
        <f>64.3+77.6</f>
        <v>141.89999999999998</v>
      </c>
      <c r="W39" s="57">
        <f t="shared" ref="W39:Y39" si="5">64.3+77.6</f>
        <v>141.89999999999998</v>
      </c>
      <c r="X39" s="57">
        <f t="shared" si="5"/>
        <v>141.89999999999998</v>
      </c>
      <c r="Y39" s="57">
        <f t="shared" si="5"/>
        <v>141.89999999999998</v>
      </c>
      <c r="Z39" s="59">
        <v>137</v>
      </c>
      <c r="AA39" s="59">
        <v>137</v>
      </c>
      <c r="AB39" s="59">
        <f>61.2+79.4</f>
        <v>140.60000000000002</v>
      </c>
      <c r="AC39" s="59">
        <f>61.1+77.3</f>
        <v>138.4</v>
      </c>
      <c r="AD39" s="59">
        <f>62.2+78.9</f>
        <v>141.10000000000002</v>
      </c>
      <c r="AE39" s="59">
        <f>62.8+79.1</f>
        <v>141.89999999999998</v>
      </c>
      <c r="AF39" s="59">
        <f>62.9+77.7</f>
        <v>140.6</v>
      </c>
      <c r="AG39" s="55">
        <v>240</v>
      </c>
      <c r="AH39" s="48">
        <f t="shared" si="2"/>
        <v>149.80000000000001</v>
      </c>
      <c r="AI39" s="49">
        <f t="shared" si="3"/>
        <v>137</v>
      </c>
      <c r="AK39" s="50"/>
    </row>
    <row r="40" spans="1:88" ht="15.75" thickBot="1" x14ac:dyDescent="0.3">
      <c r="A40" s="60" t="s">
        <v>48</v>
      </c>
      <c r="B40" s="61">
        <f t="shared" ref="B40:AG40" si="6">SUM(B11:B38)</f>
        <v>701</v>
      </c>
      <c r="C40" s="61">
        <f t="shared" si="6"/>
        <v>701</v>
      </c>
      <c r="D40" s="61">
        <f t="shared" si="6"/>
        <v>701</v>
      </c>
      <c r="E40" s="61">
        <f t="shared" si="6"/>
        <v>701</v>
      </c>
      <c r="F40" s="61">
        <f t="shared" si="6"/>
        <v>701</v>
      </c>
      <c r="G40" s="61">
        <f t="shared" si="6"/>
        <v>701</v>
      </c>
      <c r="H40" s="61">
        <f t="shared" si="6"/>
        <v>701</v>
      </c>
      <c r="I40" s="61">
        <f t="shared" si="6"/>
        <v>689.3</v>
      </c>
      <c r="J40" s="61">
        <f t="shared" si="6"/>
        <v>690</v>
      </c>
      <c r="K40" s="61">
        <f t="shared" si="6"/>
        <v>715.3</v>
      </c>
      <c r="L40" s="61">
        <f t="shared" si="6"/>
        <v>716.3</v>
      </c>
      <c r="M40" s="61">
        <f t="shared" si="6"/>
        <v>716.3</v>
      </c>
      <c r="N40" s="61">
        <f t="shared" si="6"/>
        <v>710.2</v>
      </c>
      <c r="O40" s="61">
        <f t="shared" si="6"/>
        <v>709.2</v>
      </c>
      <c r="P40" s="61">
        <f t="shared" si="6"/>
        <v>709.2</v>
      </c>
      <c r="Q40" s="61">
        <f t="shared" si="6"/>
        <v>688.5</v>
      </c>
      <c r="R40" s="61">
        <f t="shared" si="6"/>
        <v>688.5</v>
      </c>
      <c r="S40" s="61">
        <f t="shared" si="6"/>
        <v>706.6</v>
      </c>
      <c r="T40" s="61">
        <f t="shared" si="6"/>
        <v>702.5</v>
      </c>
      <c r="U40" s="61">
        <f t="shared" si="6"/>
        <v>702.5</v>
      </c>
      <c r="V40" s="61">
        <f t="shared" si="6"/>
        <v>718.3</v>
      </c>
      <c r="W40" s="61">
        <f t="shared" si="6"/>
        <v>737.3</v>
      </c>
      <c r="X40" s="61">
        <f t="shared" si="6"/>
        <v>804.7</v>
      </c>
      <c r="Y40" s="61">
        <f t="shared" si="6"/>
        <v>836.40000000000009</v>
      </c>
      <c r="Z40" s="61">
        <f t="shared" si="6"/>
        <v>805.2</v>
      </c>
      <c r="AA40" s="61">
        <f t="shared" si="6"/>
        <v>796.2</v>
      </c>
      <c r="AB40" s="61">
        <f t="shared" si="6"/>
        <v>755.6</v>
      </c>
      <c r="AC40" s="61">
        <f t="shared" si="6"/>
        <v>740.7</v>
      </c>
      <c r="AD40" s="61">
        <f t="shared" si="6"/>
        <v>703.8</v>
      </c>
      <c r="AE40" s="61">
        <f t="shared" si="6"/>
        <v>708.3</v>
      </c>
      <c r="AF40" s="61">
        <f t="shared" si="6"/>
        <v>715.90000000000009</v>
      </c>
      <c r="AG40" s="62">
        <f t="shared" si="6"/>
        <v>707.78000000000009</v>
      </c>
      <c r="AH40" s="48">
        <f t="shared" si="2"/>
        <v>836.40000000000009</v>
      </c>
      <c r="AI40" s="49">
        <f t="shared" si="3"/>
        <v>688.5</v>
      </c>
      <c r="AK40" s="50"/>
    </row>
    <row r="41" spans="1:88" x14ac:dyDescent="0.25">
      <c r="A41" s="6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2">
        <v>456</v>
      </c>
      <c r="AH41" s="48">
        <f t="shared" si="2"/>
        <v>0</v>
      </c>
      <c r="AI41" s="49">
        <f t="shared" si="3"/>
        <v>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50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50</v>
      </c>
      <c r="AK42" s="50"/>
    </row>
    <row r="43" spans="1:88" ht="15.75" thickBot="1" x14ac:dyDescent="0.3">
      <c r="A43" s="66" t="s">
        <v>51</v>
      </c>
      <c r="B43" s="67">
        <v>22</v>
      </c>
      <c r="C43" s="67">
        <v>22</v>
      </c>
      <c r="D43" s="67">
        <v>22</v>
      </c>
      <c r="E43" s="67">
        <v>22</v>
      </c>
      <c r="F43" s="67">
        <v>22</v>
      </c>
      <c r="G43" s="67">
        <v>22</v>
      </c>
      <c r="H43" s="67">
        <v>22</v>
      </c>
      <c r="I43" s="67">
        <v>22</v>
      </c>
      <c r="J43" s="67">
        <v>22</v>
      </c>
      <c r="K43" s="67">
        <v>22</v>
      </c>
      <c r="L43" s="67">
        <v>22</v>
      </c>
      <c r="M43" s="67">
        <v>22</v>
      </c>
      <c r="N43" s="67">
        <v>22</v>
      </c>
      <c r="O43" s="67">
        <v>22.5</v>
      </c>
      <c r="P43" s="67">
        <v>22.5</v>
      </c>
      <c r="Q43" s="67">
        <v>22.5</v>
      </c>
      <c r="R43" s="67">
        <v>22.4</v>
      </c>
      <c r="S43" s="67">
        <v>22.4</v>
      </c>
      <c r="T43" s="67">
        <v>22.4</v>
      </c>
      <c r="U43" s="67">
        <v>22.4</v>
      </c>
      <c r="V43" s="67">
        <v>22</v>
      </c>
      <c r="W43" s="67">
        <v>22</v>
      </c>
      <c r="X43" s="67">
        <v>22</v>
      </c>
      <c r="Y43" s="67">
        <v>22</v>
      </c>
      <c r="Z43" s="67">
        <v>22</v>
      </c>
      <c r="AA43" s="67">
        <v>22</v>
      </c>
      <c r="AB43" s="67">
        <v>22</v>
      </c>
      <c r="AC43" s="67">
        <v>22</v>
      </c>
      <c r="AD43" s="67">
        <v>22</v>
      </c>
      <c r="AE43" s="67">
        <v>16.399999999999999</v>
      </c>
      <c r="AF43" s="67">
        <v>16.3</v>
      </c>
      <c r="AG43" s="68">
        <v>22.1</v>
      </c>
      <c r="AH43" s="48">
        <f t="shared" si="2"/>
        <v>22.5</v>
      </c>
      <c r="AI43" s="49">
        <f t="shared" si="3"/>
        <v>16.3</v>
      </c>
      <c r="AK43" s="50"/>
    </row>
    <row r="44" spans="1:88" ht="15.75" thickBot="1" x14ac:dyDescent="0.3">
      <c r="A44" s="69" t="s">
        <v>52</v>
      </c>
      <c r="B44" s="61">
        <f t="shared" ref="B44:AG44" si="7">SUM(B41:B43)</f>
        <v>82</v>
      </c>
      <c r="C44" s="61">
        <f t="shared" si="7"/>
        <v>82</v>
      </c>
      <c r="D44" s="61">
        <f t="shared" si="7"/>
        <v>82</v>
      </c>
      <c r="E44" s="61">
        <f t="shared" si="7"/>
        <v>82</v>
      </c>
      <c r="F44" s="61">
        <f t="shared" si="7"/>
        <v>82</v>
      </c>
      <c r="G44" s="61">
        <f t="shared" si="7"/>
        <v>82</v>
      </c>
      <c r="H44" s="61">
        <f t="shared" si="7"/>
        <v>82</v>
      </c>
      <c r="I44" s="61">
        <f t="shared" si="7"/>
        <v>82</v>
      </c>
      <c r="J44" s="61">
        <f t="shared" si="7"/>
        <v>82</v>
      </c>
      <c r="K44" s="61">
        <f t="shared" si="7"/>
        <v>82</v>
      </c>
      <c r="L44" s="61">
        <f t="shared" si="7"/>
        <v>72</v>
      </c>
      <c r="M44" s="61">
        <f t="shared" si="7"/>
        <v>82</v>
      </c>
      <c r="N44" s="61">
        <f t="shared" si="7"/>
        <v>82</v>
      </c>
      <c r="O44" s="61">
        <f t="shared" si="7"/>
        <v>82.5</v>
      </c>
      <c r="P44" s="61">
        <f t="shared" si="7"/>
        <v>82.5</v>
      </c>
      <c r="Q44" s="61">
        <f t="shared" si="7"/>
        <v>82.5</v>
      </c>
      <c r="R44" s="61">
        <f t="shared" si="7"/>
        <v>82.4</v>
      </c>
      <c r="S44" s="61">
        <f t="shared" si="7"/>
        <v>82.4</v>
      </c>
      <c r="T44" s="61">
        <f t="shared" si="7"/>
        <v>82.4</v>
      </c>
      <c r="U44" s="61">
        <f t="shared" si="7"/>
        <v>82.4</v>
      </c>
      <c r="V44" s="61">
        <f t="shared" si="7"/>
        <v>82</v>
      </c>
      <c r="W44" s="61">
        <f t="shared" si="7"/>
        <v>82</v>
      </c>
      <c r="X44" s="61">
        <f t="shared" si="7"/>
        <v>82</v>
      </c>
      <c r="Y44" s="61">
        <f t="shared" si="7"/>
        <v>82</v>
      </c>
      <c r="Z44" s="61">
        <f t="shared" si="7"/>
        <v>82</v>
      </c>
      <c r="AA44" s="61">
        <f t="shared" si="7"/>
        <v>82</v>
      </c>
      <c r="AB44" s="61">
        <f t="shared" si="7"/>
        <v>82</v>
      </c>
      <c r="AC44" s="61">
        <f t="shared" si="7"/>
        <v>82</v>
      </c>
      <c r="AD44" s="61">
        <f t="shared" si="7"/>
        <v>82</v>
      </c>
      <c r="AE44" s="61">
        <f t="shared" si="7"/>
        <v>76.400000000000006</v>
      </c>
      <c r="AF44" s="61">
        <f t="shared" si="7"/>
        <v>76.3</v>
      </c>
      <c r="AG44" s="62">
        <f t="shared" si="7"/>
        <v>538.1</v>
      </c>
      <c r="AH44" s="48">
        <f t="shared" si="2"/>
        <v>82.5</v>
      </c>
      <c r="AI44" s="49">
        <f t="shared" si="3"/>
        <v>72</v>
      </c>
      <c r="AK44" s="50"/>
    </row>
    <row r="45" spans="1:88" x14ac:dyDescent="0.25">
      <c r="A45" s="44" t="s">
        <v>53</v>
      </c>
      <c r="B45" s="45">
        <v>71</v>
      </c>
      <c r="C45" s="45">
        <v>71</v>
      </c>
      <c r="D45" s="45">
        <v>71</v>
      </c>
      <c r="E45" s="45">
        <v>70.7</v>
      </c>
      <c r="F45" s="45">
        <v>70.7</v>
      </c>
      <c r="G45" s="45">
        <v>96</v>
      </c>
      <c r="H45" s="45">
        <v>90</v>
      </c>
      <c r="I45" s="45">
        <v>100</v>
      </c>
      <c r="J45" s="45">
        <v>144</v>
      </c>
      <c r="K45" s="45">
        <v>144</v>
      </c>
      <c r="L45" s="45">
        <v>144</v>
      </c>
      <c r="M45" s="45">
        <v>144</v>
      </c>
      <c r="N45" s="45">
        <v>144</v>
      </c>
      <c r="O45" s="45">
        <v>121.4</v>
      </c>
      <c r="P45" s="45">
        <v>121.4</v>
      </c>
      <c r="Q45" s="45">
        <v>121.4</v>
      </c>
      <c r="R45" s="45">
        <v>121.4</v>
      </c>
      <c r="S45" s="45">
        <v>123.4</v>
      </c>
      <c r="T45" s="45">
        <v>142.69999999999999</v>
      </c>
      <c r="U45" s="45">
        <v>143.69999999999999</v>
      </c>
      <c r="V45" s="45">
        <v>144</v>
      </c>
      <c r="W45" s="45">
        <v>144</v>
      </c>
      <c r="X45" s="45">
        <v>144</v>
      </c>
      <c r="Y45" s="45">
        <v>144</v>
      </c>
      <c r="Z45" s="45">
        <v>144</v>
      </c>
      <c r="AA45" s="45">
        <v>143.5</v>
      </c>
      <c r="AB45" s="45">
        <v>143.5</v>
      </c>
      <c r="AC45" s="45">
        <v>143.30000000000001</v>
      </c>
      <c r="AD45" s="45">
        <v>143</v>
      </c>
      <c r="AE45" s="45">
        <v>111.2</v>
      </c>
      <c r="AF45" s="45">
        <v>101.8</v>
      </c>
      <c r="AG45" s="52">
        <v>144</v>
      </c>
      <c r="AH45" s="48">
        <f t="shared" si="2"/>
        <v>144</v>
      </c>
      <c r="AI45" s="49">
        <f t="shared" si="3"/>
        <v>70.7</v>
      </c>
      <c r="AK45" s="50"/>
    </row>
    <row r="46" spans="1:88" x14ac:dyDescent="0.25">
      <c r="A46" s="54" t="s">
        <v>54</v>
      </c>
      <c r="B46" s="65">
        <v>30</v>
      </c>
      <c r="C46" s="65">
        <v>25</v>
      </c>
      <c r="D46" s="65">
        <v>25</v>
      </c>
      <c r="E46" s="65">
        <v>24.9</v>
      </c>
      <c r="F46" s="65">
        <v>24.9</v>
      </c>
      <c r="G46" s="65">
        <v>30.7</v>
      </c>
      <c r="H46" s="65">
        <v>30.7</v>
      </c>
      <c r="I46" s="65">
        <v>60</v>
      </c>
      <c r="J46" s="65">
        <v>74.099999999999994</v>
      </c>
      <c r="K46" s="65">
        <v>74.099999999999994</v>
      </c>
      <c r="L46" s="65">
        <v>74.099999999999994</v>
      </c>
      <c r="M46" s="65">
        <v>74.099999999999994</v>
      </c>
      <c r="N46" s="65">
        <v>74.099999999999994</v>
      </c>
      <c r="O46" s="45">
        <v>72</v>
      </c>
      <c r="P46" s="45">
        <v>72</v>
      </c>
      <c r="Q46" s="45">
        <v>72</v>
      </c>
      <c r="R46" s="45">
        <v>60</v>
      </c>
      <c r="S46" s="45">
        <v>61</v>
      </c>
      <c r="T46" s="45">
        <v>68.8</v>
      </c>
      <c r="U46" s="45">
        <v>70</v>
      </c>
      <c r="V46" s="65">
        <v>70.8</v>
      </c>
      <c r="W46" s="65">
        <v>70.8</v>
      </c>
      <c r="X46" s="65">
        <v>70.8</v>
      </c>
      <c r="Y46" s="65">
        <v>69</v>
      </c>
      <c r="Z46" s="65">
        <v>69</v>
      </c>
      <c r="AA46" s="65">
        <v>69.8</v>
      </c>
      <c r="AB46" s="65">
        <v>72.5</v>
      </c>
      <c r="AC46" s="65">
        <v>72.400000000000006</v>
      </c>
      <c r="AD46" s="65">
        <v>71.2</v>
      </c>
      <c r="AE46" s="65">
        <v>45.3</v>
      </c>
      <c r="AF46" s="65">
        <v>46.7</v>
      </c>
      <c r="AG46" s="55">
        <v>70</v>
      </c>
      <c r="AH46" s="48">
        <f t="shared" si="2"/>
        <v>74.099999999999994</v>
      </c>
      <c r="AI46" s="49">
        <f t="shared" si="3"/>
        <v>24.9</v>
      </c>
      <c r="AK46" s="50"/>
    </row>
    <row r="47" spans="1:88" x14ac:dyDescent="0.25">
      <c r="A47" s="54" t="s">
        <v>55</v>
      </c>
      <c r="B47" s="65">
        <v>33.4</v>
      </c>
      <c r="C47" s="65">
        <v>32.700000000000003</v>
      </c>
      <c r="D47" s="65">
        <v>32.700000000000003</v>
      </c>
      <c r="E47" s="65">
        <v>32.6</v>
      </c>
      <c r="F47" s="65">
        <v>32.6</v>
      </c>
      <c r="G47" s="65">
        <v>40.5</v>
      </c>
      <c r="H47" s="65">
        <v>40.4</v>
      </c>
      <c r="I47" s="65">
        <v>42.3</v>
      </c>
      <c r="J47" s="65">
        <v>52.4</v>
      </c>
      <c r="K47" s="65">
        <v>52.4</v>
      </c>
      <c r="L47" s="65">
        <v>70</v>
      </c>
      <c r="M47" s="65">
        <v>70</v>
      </c>
      <c r="N47" s="65">
        <v>70</v>
      </c>
      <c r="O47" s="45">
        <v>68.599999999999994</v>
      </c>
      <c r="P47" s="45">
        <v>68.599999999999994</v>
      </c>
      <c r="Q47" s="45">
        <v>68.599999999999994</v>
      </c>
      <c r="R47" s="45">
        <v>52.4</v>
      </c>
      <c r="S47" s="45">
        <v>51.4</v>
      </c>
      <c r="T47" s="45">
        <v>61.1</v>
      </c>
      <c r="U47" s="45">
        <v>68.2</v>
      </c>
      <c r="V47" s="65">
        <v>68</v>
      </c>
      <c r="W47" s="65">
        <v>68</v>
      </c>
      <c r="X47" s="65">
        <v>68</v>
      </c>
      <c r="Y47" s="65">
        <v>70.7</v>
      </c>
      <c r="Z47" s="65">
        <v>70.7</v>
      </c>
      <c r="AA47" s="65">
        <v>71.2</v>
      </c>
      <c r="AB47" s="65">
        <v>71</v>
      </c>
      <c r="AC47" s="65">
        <v>70.900000000000006</v>
      </c>
      <c r="AD47" s="65">
        <v>70.400000000000006</v>
      </c>
      <c r="AE47" s="65">
        <v>52.2</v>
      </c>
      <c r="AF47" s="65">
        <v>40.700000000000003</v>
      </c>
      <c r="AG47" s="55">
        <v>69</v>
      </c>
      <c r="AH47" s="48">
        <f t="shared" si="2"/>
        <v>71.2</v>
      </c>
      <c r="AI47" s="49">
        <f t="shared" si="3"/>
        <v>32.6</v>
      </c>
      <c r="AK47" s="50"/>
    </row>
    <row r="48" spans="1:88" x14ac:dyDescent="0.25">
      <c r="A48" s="54" t="s">
        <v>56</v>
      </c>
      <c r="B48" s="57">
        <v>30</v>
      </c>
      <c r="C48" s="57">
        <v>30</v>
      </c>
      <c r="D48" s="57">
        <v>21.7</v>
      </c>
      <c r="E48" s="57">
        <v>21.7</v>
      </c>
      <c r="F48" s="57">
        <v>21.7</v>
      </c>
      <c r="G48" s="57">
        <v>30</v>
      </c>
      <c r="H48" s="57">
        <v>40</v>
      </c>
      <c r="I48" s="57">
        <v>52</v>
      </c>
      <c r="J48" s="57">
        <v>61.2</v>
      </c>
      <c r="K48" s="57">
        <v>61.2</v>
      </c>
      <c r="L48" s="57">
        <v>61.2</v>
      </c>
      <c r="M48" s="57">
        <v>61.2</v>
      </c>
      <c r="N48" s="57">
        <v>61.2</v>
      </c>
      <c r="O48" s="45">
        <v>61.2</v>
      </c>
      <c r="P48" s="45">
        <v>40</v>
      </c>
      <c r="Q48" s="45">
        <v>30</v>
      </c>
      <c r="R48" s="45">
        <v>30</v>
      </c>
      <c r="S48" s="45">
        <v>60.9</v>
      </c>
      <c r="T48" s="45">
        <v>60.9</v>
      </c>
      <c r="U48" s="45">
        <v>60.9</v>
      </c>
      <c r="V48" s="65">
        <v>61.5</v>
      </c>
      <c r="W48" s="65">
        <v>61.5</v>
      </c>
      <c r="X48" s="65">
        <v>61.5</v>
      </c>
      <c r="Y48" s="65">
        <v>60.9</v>
      </c>
      <c r="Z48" s="65">
        <v>60.9</v>
      </c>
      <c r="AA48" s="65">
        <v>60.9</v>
      </c>
      <c r="AB48" s="65">
        <v>60.9</v>
      </c>
      <c r="AC48" s="65">
        <v>60.9</v>
      </c>
      <c r="AD48" s="57">
        <v>60</v>
      </c>
      <c r="AE48" s="57">
        <v>43.1</v>
      </c>
      <c r="AF48" s="57">
        <v>43.1</v>
      </c>
      <c r="AG48" s="55">
        <v>60</v>
      </c>
      <c r="AH48" s="48">
        <f t="shared" si="2"/>
        <v>61.5</v>
      </c>
      <c r="AI48" s="49">
        <f t="shared" si="3"/>
        <v>21.7</v>
      </c>
      <c r="AK48" s="50"/>
    </row>
    <row r="49" spans="1:41" x14ac:dyDescent="0.25">
      <c r="A49" s="54" t="s">
        <v>57</v>
      </c>
      <c r="B49" s="57">
        <v>13.9</v>
      </c>
      <c r="C49" s="57">
        <v>13.9</v>
      </c>
      <c r="D49" s="57">
        <v>13.9</v>
      </c>
      <c r="E49" s="57">
        <v>13.9</v>
      </c>
      <c r="F49" s="57">
        <v>13.9</v>
      </c>
      <c r="G49" s="57">
        <v>13.9</v>
      </c>
      <c r="H49" s="57">
        <v>14.1</v>
      </c>
      <c r="I49" s="57">
        <v>14.1</v>
      </c>
      <c r="J49" s="57">
        <v>14.1</v>
      </c>
      <c r="K49" s="57">
        <v>30</v>
      </c>
      <c r="L49" s="57">
        <v>30</v>
      </c>
      <c r="M49" s="57">
        <v>30</v>
      </c>
      <c r="N49" s="57">
        <v>30</v>
      </c>
      <c r="O49" s="45">
        <v>30</v>
      </c>
      <c r="P49" s="45">
        <v>30</v>
      </c>
      <c r="Q49" s="45">
        <v>30</v>
      </c>
      <c r="R49" s="45">
        <v>30</v>
      </c>
      <c r="S49" s="45">
        <v>26.3</v>
      </c>
      <c r="T49" s="45">
        <v>26</v>
      </c>
      <c r="U49" s="45">
        <v>14</v>
      </c>
      <c r="V49" s="65">
        <v>14</v>
      </c>
      <c r="W49" s="65">
        <v>14</v>
      </c>
      <c r="X49" s="65">
        <v>14</v>
      </c>
      <c r="Y49" s="65">
        <v>29.5</v>
      </c>
      <c r="Z49" s="65">
        <v>29.5</v>
      </c>
      <c r="AA49" s="65">
        <v>28</v>
      </c>
      <c r="AB49" s="65">
        <v>29</v>
      </c>
      <c r="AC49" s="65">
        <v>29</v>
      </c>
      <c r="AD49" s="57">
        <v>25.5</v>
      </c>
      <c r="AE49" s="57">
        <v>14.8</v>
      </c>
      <c r="AF49" s="57">
        <v>15</v>
      </c>
      <c r="AG49" s="55">
        <v>30</v>
      </c>
      <c r="AH49" s="48">
        <f t="shared" si="2"/>
        <v>30</v>
      </c>
      <c r="AI49" s="49">
        <f t="shared" si="3"/>
        <v>13.9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10</v>
      </c>
      <c r="N50" s="65">
        <v>10</v>
      </c>
      <c r="O50" s="65">
        <v>10</v>
      </c>
      <c r="P50" s="65">
        <v>10</v>
      </c>
      <c r="Q50" s="65">
        <v>10</v>
      </c>
      <c r="R50" s="65">
        <v>10</v>
      </c>
      <c r="S50" s="65">
        <v>10</v>
      </c>
      <c r="T50" s="65">
        <v>10</v>
      </c>
      <c r="U50" s="65">
        <v>10</v>
      </c>
      <c r="V50" s="65">
        <v>10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  <c r="AG50" s="55">
        <v>25</v>
      </c>
      <c r="AH50" s="48">
        <f t="shared" si="2"/>
        <v>10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14.6</v>
      </c>
      <c r="C51" s="65">
        <v>14.6</v>
      </c>
      <c r="D51" s="65">
        <v>14.6</v>
      </c>
      <c r="E51" s="65">
        <v>14.6</v>
      </c>
      <c r="F51" s="65">
        <v>14.6</v>
      </c>
      <c r="G51" s="65">
        <v>14.6</v>
      </c>
      <c r="H51" s="65">
        <v>14.6</v>
      </c>
      <c r="I51" s="65">
        <v>14.7</v>
      </c>
      <c r="J51" s="65">
        <v>14.7</v>
      </c>
      <c r="K51" s="65">
        <v>14.7</v>
      </c>
      <c r="L51" s="65">
        <v>14.7</v>
      </c>
      <c r="M51" s="65">
        <v>14.7</v>
      </c>
      <c r="N51" s="65">
        <v>14.7</v>
      </c>
      <c r="O51" s="65">
        <v>14.5</v>
      </c>
      <c r="P51" s="65">
        <v>14.5</v>
      </c>
      <c r="Q51" s="65">
        <v>14.5</v>
      </c>
      <c r="R51" s="65">
        <v>14.5</v>
      </c>
      <c r="S51" s="65">
        <v>14.7</v>
      </c>
      <c r="T51" s="65">
        <v>14.7</v>
      </c>
      <c r="U51" s="65">
        <v>14.7</v>
      </c>
      <c r="V51" s="45">
        <v>14.7</v>
      </c>
      <c r="W51" s="45">
        <v>14.7</v>
      </c>
      <c r="X51" s="45">
        <v>14.7</v>
      </c>
      <c r="Y51" s="45">
        <v>14.7</v>
      </c>
      <c r="Z51" s="45">
        <v>14.7</v>
      </c>
      <c r="AA51" s="45">
        <v>14.7</v>
      </c>
      <c r="AB51" s="45">
        <v>14.6</v>
      </c>
      <c r="AC51" s="45">
        <v>14.8</v>
      </c>
      <c r="AD51" s="45">
        <v>14.8</v>
      </c>
      <c r="AE51" s="65">
        <v>14.6</v>
      </c>
      <c r="AF51" s="65">
        <v>14.7</v>
      </c>
      <c r="AG51" s="55">
        <v>24</v>
      </c>
      <c r="AH51" s="48">
        <f t="shared" si="2"/>
        <v>14.8</v>
      </c>
      <c r="AI51" s="49">
        <f t="shared" si="3"/>
        <v>14.5</v>
      </c>
      <c r="AK51" s="50"/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10.7</v>
      </c>
      <c r="C53" s="65">
        <v>10.7</v>
      </c>
      <c r="D53" s="65">
        <v>10.7</v>
      </c>
      <c r="E53" s="65">
        <v>10.7</v>
      </c>
      <c r="F53" s="65">
        <v>10.7</v>
      </c>
      <c r="G53" s="65">
        <v>10.7</v>
      </c>
      <c r="H53" s="65">
        <v>10.7</v>
      </c>
      <c r="I53" s="65">
        <v>12.1</v>
      </c>
      <c r="J53" s="65">
        <v>12.1</v>
      </c>
      <c r="K53" s="65">
        <v>12.1</v>
      </c>
      <c r="L53" s="65">
        <v>12.1</v>
      </c>
      <c r="M53" s="65">
        <v>12.1</v>
      </c>
      <c r="N53" s="65">
        <v>12.1</v>
      </c>
      <c r="O53" s="65">
        <v>12.1</v>
      </c>
      <c r="P53" s="65">
        <v>12.1</v>
      </c>
      <c r="Q53" s="65">
        <v>12.1</v>
      </c>
      <c r="R53" s="65">
        <v>12.1</v>
      </c>
      <c r="S53" s="65">
        <v>12.1</v>
      </c>
      <c r="T53" s="65">
        <v>12.1</v>
      </c>
      <c r="U53" s="65">
        <v>12.1</v>
      </c>
      <c r="V53" s="65">
        <v>12.1</v>
      </c>
      <c r="W53" s="65">
        <v>12.1</v>
      </c>
      <c r="X53" s="65">
        <v>12.1</v>
      </c>
      <c r="Y53" s="65">
        <v>12.1</v>
      </c>
      <c r="Z53" s="65">
        <v>12.1</v>
      </c>
      <c r="AA53" s="65">
        <v>12.1</v>
      </c>
      <c r="AB53" s="65">
        <v>12.1</v>
      </c>
      <c r="AC53" s="65">
        <v>11.7</v>
      </c>
      <c r="AD53" s="65">
        <v>11.7</v>
      </c>
      <c r="AE53" s="65">
        <v>11.7</v>
      </c>
      <c r="AF53" s="65">
        <v>11.7</v>
      </c>
      <c r="AG53" s="55">
        <v>14.1</v>
      </c>
      <c r="AH53" s="48">
        <f t="shared" si="2"/>
        <v>12.1</v>
      </c>
      <c r="AI53" s="49">
        <f t="shared" si="3"/>
        <v>10.7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7.3</v>
      </c>
      <c r="C54" s="65">
        <v>7.3</v>
      </c>
      <c r="D54" s="65">
        <v>7.3</v>
      </c>
      <c r="E54" s="65">
        <v>7.3</v>
      </c>
      <c r="F54" s="65">
        <v>7.3</v>
      </c>
      <c r="G54" s="65">
        <v>7.3</v>
      </c>
      <c r="H54" s="65">
        <v>7.3</v>
      </c>
      <c r="I54" s="65">
        <v>7.2</v>
      </c>
      <c r="J54" s="65">
        <v>7.2</v>
      </c>
      <c r="K54" s="65">
        <v>7.2</v>
      </c>
      <c r="L54" s="65">
        <v>7.2</v>
      </c>
      <c r="M54" s="65">
        <v>7.2</v>
      </c>
      <c r="N54" s="65">
        <v>7.2</v>
      </c>
      <c r="O54" s="65">
        <v>7.2</v>
      </c>
      <c r="P54" s="65">
        <v>7.2</v>
      </c>
      <c r="Q54" s="65">
        <v>7.2</v>
      </c>
      <c r="R54" s="65">
        <v>7.2</v>
      </c>
      <c r="S54" s="65">
        <v>7.2</v>
      </c>
      <c r="T54" s="65">
        <v>7.2</v>
      </c>
      <c r="U54" s="65">
        <v>7.2</v>
      </c>
      <c r="V54" s="65">
        <v>7.2</v>
      </c>
      <c r="W54" s="65">
        <v>7.2</v>
      </c>
      <c r="X54" s="65">
        <v>7.2</v>
      </c>
      <c r="Y54" s="65">
        <v>7.2</v>
      </c>
      <c r="Z54" s="65">
        <v>7.2</v>
      </c>
      <c r="AA54" s="65">
        <v>7.2</v>
      </c>
      <c r="AB54" s="65">
        <v>7.2</v>
      </c>
      <c r="AC54" s="65">
        <v>7.1</v>
      </c>
      <c r="AD54" s="65">
        <v>7.1</v>
      </c>
      <c r="AE54" s="65">
        <v>7.1</v>
      </c>
      <c r="AF54" s="65">
        <v>7.1</v>
      </c>
      <c r="AG54" s="55">
        <v>14</v>
      </c>
      <c r="AH54" s="48">
        <f t="shared" si="2"/>
        <v>7.3</v>
      </c>
      <c r="AI54" s="49">
        <f t="shared" si="3"/>
        <v>7.1</v>
      </c>
      <c r="AK54" s="50"/>
    </row>
    <row r="55" spans="1:41" x14ac:dyDescent="0.25">
      <c r="A55" s="54" t="s">
        <v>63</v>
      </c>
      <c r="B55" s="65">
        <v>6.7</v>
      </c>
      <c r="C55" s="65">
        <v>6.7</v>
      </c>
      <c r="D55" s="65">
        <v>6.7</v>
      </c>
      <c r="E55" s="65">
        <v>6.7</v>
      </c>
      <c r="F55" s="65">
        <v>6.7</v>
      </c>
      <c r="G55" s="65">
        <v>6.7</v>
      </c>
      <c r="H55" s="65">
        <v>6.7</v>
      </c>
      <c r="I55" s="65">
        <v>3.5</v>
      </c>
      <c r="J55" s="65">
        <v>3.5</v>
      </c>
      <c r="K55" s="65">
        <v>3.5</v>
      </c>
      <c r="L55" s="65">
        <v>3.5</v>
      </c>
      <c r="M55" s="65">
        <v>3.5</v>
      </c>
      <c r="N55" s="65">
        <v>3.5</v>
      </c>
      <c r="O55" s="65">
        <v>3.5</v>
      </c>
      <c r="P55" s="65">
        <v>3.5</v>
      </c>
      <c r="Q55" s="65">
        <v>3.5</v>
      </c>
      <c r="R55" s="65">
        <v>3.5</v>
      </c>
      <c r="S55" s="65">
        <v>3.5</v>
      </c>
      <c r="T55" s="65">
        <v>3.5</v>
      </c>
      <c r="U55" s="65">
        <v>3.5</v>
      </c>
      <c r="V55" s="65">
        <v>3.5</v>
      </c>
      <c r="W55" s="65">
        <v>3.5</v>
      </c>
      <c r="X55" s="65">
        <v>3.5</v>
      </c>
      <c r="Y55" s="65">
        <v>3.5</v>
      </c>
      <c r="Z55" s="65">
        <v>3.5</v>
      </c>
      <c r="AA55" s="65">
        <v>3.5</v>
      </c>
      <c r="AB55" s="65">
        <v>10</v>
      </c>
      <c r="AC55" s="65">
        <v>10</v>
      </c>
      <c r="AD55" s="65">
        <v>10</v>
      </c>
      <c r="AE55" s="65">
        <v>9</v>
      </c>
      <c r="AF55" s="65">
        <v>9</v>
      </c>
      <c r="AG55" s="55">
        <v>10.050000000000001</v>
      </c>
      <c r="AH55" s="48">
        <f t="shared" si="2"/>
        <v>10</v>
      </c>
      <c r="AI55" s="49">
        <f t="shared" si="3"/>
        <v>3.5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:AG58" si="8">SUM(B45:B57)</f>
        <v>227.33999999999997</v>
      </c>
      <c r="C58" s="61">
        <f t="shared" si="8"/>
        <v>221.63999999999996</v>
      </c>
      <c r="D58" s="61">
        <f t="shared" si="8"/>
        <v>213.33999999999995</v>
      </c>
      <c r="E58" s="61">
        <f t="shared" si="8"/>
        <v>212.83999999999995</v>
      </c>
      <c r="F58" s="61">
        <f t="shared" si="8"/>
        <v>212.83999999999995</v>
      </c>
      <c r="G58" s="61">
        <f t="shared" si="8"/>
        <v>260.14</v>
      </c>
      <c r="H58" s="61">
        <f t="shared" si="8"/>
        <v>264.24</v>
      </c>
      <c r="I58" s="61">
        <f t="shared" si="8"/>
        <v>315.64000000000004</v>
      </c>
      <c r="J58" s="61">
        <f t="shared" si="8"/>
        <v>393.04</v>
      </c>
      <c r="K58" s="61">
        <f t="shared" si="8"/>
        <v>408.94</v>
      </c>
      <c r="L58" s="61">
        <f t="shared" si="8"/>
        <v>426.54</v>
      </c>
      <c r="M58" s="61">
        <f t="shared" si="8"/>
        <v>436.54</v>
      </c>
      <c r="N58" s="61">
        <f t="shared" si="8"/>
        <v>436.54</v>
      </c>
      <c r="O58" s="61">
        <f t="shared" si="8"/>
        <v>410.24</v>
      </c>
      <c r="P58" s="61">
        <f t="shared" si="8"/>
        <v>389.04</v>
      </c>
      <c r="Q58" s="61">
        <f t="shared" si="8"/>
        <v>379.04</v>
      </c>
      <c r="R58" s="61">
        <f t="shared" si="8"/>
        <v>350.84000000000003</v>
      </c>
      <c r="S58" s="61">
        <f t="shared" si="8"/>
        <v>380.24</v>
      </c>
      <c r="T58" s="61">
        <f t="shared" si="8"/>
        <v>416.74</v>
      </c>
      <c r="U58" s="61">
        <f t="shared" si="8"/>
        <v>414.03999999999996</v>
      </c>
      <c r="V58" s="61">
        <f t="shared" si="8"/>
        <v>415.54</v>
      </c>
      <c r="W58" s="61">
        <f t="shared" si="8"/>
        <v>405.54</v>
      </c>
      <c r="X58" s="61">
        <f t="shared" si="8"/>
        <v>405.54</v>
      </c>
      <c r="Y58" s="61">
        <f t="shared" si="8"/>
        <v>421.34</v>
      </c>
      <c r="Z58" s="61">
        <f t="shared" si="8"/>
        <v>421.34</v>
      </c>
      <c r="AA58" s="61">
        <f t="shared" si="8"/>
        <v>420.64</v>
      </c>
      <c r="AB58" s="61">
        <f t="shared" si="8"/>
        <v>430.54</v>
      </c>
      <c r="AC58" s="61">
        <f t="shared" si="8"/>
        <v>429.84000000000003</v>
      </c>
      <c r="AD58" s="61">
        <f t="shared" si="8"/>
        <v>423.44000000000005</v>
      </c>
      <c r="AE58" s="61">
        <f t="shared" si="8"/>
        <v>318.74</v>
      </c>
      <c r="AF58" s="61">
        <f t="shared" si="8"/>
        <v>299.54000000000002</v>
      </c>
      <c r="AG58" s="62">
        <f t="shared" si="8"/>
        <v>489.91</v>
      </c>
      <c r="AH58" s="48">
        <f t="shared" si="2"/>
        <v>436.54</v>
      </c>
      <c r="AI58" s="49">
        <f t="shared" si="3"/>
        <v>212.83999999999995</v>
      </c>
      <c r="AK58" s="50"/>
    </row>
    <row r="59" spans="1:41" x14ac:dyDescent="0.25">
      <c r="A59" s="44" t="s">
        <v>67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>
        <v>0</v>
      </c>
      <c r="AC59" s="45">
        <v>0</v>
      </c>
      <c r="AD59" s="45"/>
      <c r="AE59" s="45">
        <v>0</v>
      </c>
      <c r="AF59" s="45"/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>
        <v>0</v>
      </c>
      <c r="AC60" s="65">
        <v>0</v>
      </c>
      <c r="AD60" s="65"/>
      <c r="AE60" s="65">
        <v>0</v>
      </c>
      <c r="AF60" s="65"/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>
        <v>0</v>
      </c>
      <c r="AC61" s="67">
        <v>0</v>
      </c>
      <c r="AD61" s="67"/>
      <c r="AE61" s="67">
        <v>0</v>
      </c>
      <c r="AF61" s="67"/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AG62" si="9">SUM(B59:B61)</f>
        <v>0</v>
      </c>
      <c r="C62" s="61">
        <f t="shared" si="9"/>
        <v>0</v>
      </c>
      <c r="D62" s="61">
        <f t="shared" si="9"/>
        <v>0</v>
      </c>
      <c r="E62" s="61">
        <f t="shared" si="9"/>
        <v>0</v>
      </c>
      <c r="F62" s="61">
        <f t="shared" si="9"/>
        <v>0</v>
      </c>
      <c r="G62" s="61">
        <f t="shared" si="9"/>
        <v>0</v>
      </c>
      <c r="H62" s="61">
        <f t="shared" si="9"/>
        <v>0</v>
      </c>
      <c r="I62" s="61">
        <f t="shared" si="9"/>
        <v>0</v>
      </c>
      <c r="J62" s="61">
        <f t="shared" si="9"/>
        <v>0</v>
      </c>
      <c r="K62" s="61">
        <f t="shared" si="9"/>
        <v>0</v>
      </c>
      <c r="L62" s="61">
        <f t="shared" si="9"/>
        <v>0</v>
      </c>
      <c r="M62" s="61">
        <f t="shared" si="9"/>
        <v>0</v>
      </c>
      <c r="N62" s="61">
        <f t="shared" si="9"/>
        <v>0</v>
      </c>
      <c r="O62" s="61">
        <f t="shared" si="9"/>
        <v>0</v>
      </c>
      <c r="P62" s="61">
        <f t="shared" si="9"/>
        <v>0</v>
      </c>
      <c r="Q62" s="61">
        <f t="shared" si="9"/>
        <v>0</v>
      </c>
      <c r="R62" s="61">
        <f t="shared" si="9"/>
        <v>0</v>
      </c>
      <c r="S62" s="61">
        <f t="shared" si="9"/>
        <v>0</v>
      </c>
      <c r="T62" s="61">
        <f t="shared" si="9"/>
        <v>0</v>
      </c>
      <c r="U62" s="61">
        <f t="shared" si="9"/>
        <v>0</v>
      </c>
      <c r="V62" s="61">
        <f t="shared" si="9"/>
        <v>0</v>
      </c>
      <c r="W62" s="61">
        <f t="shared" si="9"/>
        <v>0</v>
      </c>
      <c r="X62" s="61">
        <f t="shared" si="9"/>
        <v>0</v>
      </c>
      <c r="Y62" s="61">
        <f t="shared" si="9"/>
        <v>0</v>
      </c>
      <c r="Z62" s="61">
        <f t="shared" si="9"/>
        <v>0</v>
      </c>
      <c r="AA62" s="61">
        <f t="shared" si="9"/>
        <v>0</v>
      </c>
      <c r="AB62" s="61">
        <f t="shared" si="9"/>
        <v>0</v>
      </c>
      <c r="AC62" s="61">
        <f t="shared" si="9"/>
        <v>0</v>
      </c>
      <c r="AD62" s="61">
        <f t="shared" si="9"/>
        <v>0</v>
      </c>
      <c r="AE62" s="61">
        <f t="shared" si="9"/>
        <v>0</v>
      </c>
      <c r="AF62" s="61">
        <f t="shared" si="9"/>
        <v>0</v>
      </c>
      <c r="AG62" s="62">
        <f t="shared" si="9"/>
        <v>106</v>
      </c>
      <c r="AH62" s="48">
        <f t="shared" si="2"/>
        <v>0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-239</v>
      </c>
      <c r="C65" s="65">
        <v>-241</v>
      </c>
      <c r="D65" s="65">
        <v>-246</v>
      </c>
      <c r="E65" s="65">
        <v>-235</v>
      </c>
      <c r="F65" s="65">
        <v>-235</v>
      </c>
      <c r="G65" s="65">
        <v>-242</v>
      </c>
      <c r="H65" s="65">
        <v>-235</v>
      </c>
      <c r="I65" s="65">
        <v>-238</v>
      </c>
      <c r="J65" s="65">
        <v>-225</v>
      </c>
      <c r="K65" s="65">
        <v>-225</v>
      </c>
      <c r="L65" s="65">
        <v>-200</v>
      </c>
      <c r="M65" s="65">
        <v>-195</v>
      </c>
      <c r="N65" s="65">
        <v>-212</v>
      </c>
      <c r="O65" s="65">
        <v>-214</v>
      </c>
      <c r="P65" s="65">
        <v>-168</v>
      </c>
      <c r="Q65" s="65">
        <v>-169</v>
      </c>
      <c r="R65" s="65">
        <v>-156</v>
      </c>
      <c r="S65" s="65">
        <v>-166.5</v>
      </c>
      <c r="T65" s="65">
        <v>-170</v>
      </c>
      <c r="U65" s="65">
        <f>-174.4</f>
        <v>-174.4</v>
      </c>
      <c r="V65" s="65">
        <v>169.5</v>
      </c>
      <c r="W65" s="65">
        <v>-96</v>
      </c>
      <c r="X65" s="65">
        <v>-20</v>
      </c>
      <c r="Y65" s="65">
        <v>-80.7</v>
      </c>
      <c r="Z65" s="65">
        <v>-108</v>
      </c>
      <c r="AA65" s="65">
        <v>-131.6</v>
      </c>
      <c r="AB65" s="65">
        <v>-155.69999999999999</v>
      </c>
      <c r="AC65" s="65">
        <v>-162.69999999999999</v>
      </c>
      <c r="AD65" s="65">
        <v>-178</v>
      </c>
      <c r="AE65" s="65">
        <v>-194.3</v>
      </c>
      <c r="AF65" s="65">
        <v>-180.4</v>
      </c>
      <c r="AG65" s="75"/>
      <c r="AH65" s="48">
        <f t="shared" si="2"/>
        <v>169.5</v>
      </c>
      <c r="AI65" s="49">
        <f t="shared" si="3"/>
        <v>-246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>
        <v>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7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7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9">
        <v>0</v>
      </c>
      <c r="C72" s="79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7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9">
        <v>0</v>
      </c>
      <c r="C73" s="79">
        <v>0</v>
      </c>
      <c r="D73" s="79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7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:AF74" si="10">SUMIF(B63:B73,"&gt;0")</f>
        <v>0</v>
      </c>
      <c r="C74" s="61">
        <f t="shared" si="10"/>
        <v>0</v>
      </c>
      <c r="D74" s="61">
        <f t="shared" si="10"/>
        <v>0</v>
      </c>
      <c r="E74" s="61">
        <f t="shared" si="10"/>
        <v>0</v>
      </c>
      <c r="F74" s="61">
        <f t="shared" si="10"/>
        <v>0</v>
      </c>
      <c r="G74" s="61">
        <f t="shared" si="10"/>
        <v>0</v>
      </c>
      <c r="H74" s="61">
        <f t="shared" si="10"/>
        <v>0</v>
      </c>
      <c r="I74" s="61">
        <f t="shared" si="10"/>
        <v>0</v>
      </c>
      <c r="J74" s="61">
        <f t="shared" si="10"/>
        <v>0</v>
      </c>
      <c r="K74" s="61">
        <f t="shared" si="10"/>
        <v>0</v>
      </c>
      <c r="L74" s="61">
        <f t="shared" si="10"/>
        <v>0</v>
      </c>
      <c r="M74" s="61">
        <f t="shared" si="10"/>
        <v>0</v>
      </c>
      <c r="N74" s="61">
        <f t="shared" si="10"/>
        <v>0</v>
      </c>
      <c r="O74" s="61">
        <f t="shared" si="10"/>
        <v>0</v>
      </c>
      <c r="P74" s="61">
        <f t="shared" si="10"/>
        <v>0</v>
      </c>
      <c r="Q74" s="61">
        <f t="shared" si="10"/>
        <v>0</v>
      </c>
      <c r="R74" s="61">
        <f t="shared" si="10"/>
        <v>0</v>
      </c>
      <c r="S74" s="61">
        <f t="shared" si="10"/>
        <v>0</v>
      </c>
      <c r="T74" s="61">
        <f t="shared" si="10"/>
        <v>0</v>
      </c>
      <c r="U74" s="61">
        <f t="shared" si="10"/>
        <v>0</v>
      </c>
      <c r="V74" s="61">
        <f t="shared" si="10"/>
        <v>169.5</v>
      </c>
      <c r="W74" s="61">
        <f t="shared" si="10"/>
        <v>0</v>
      </c>
      <c r="X74" s="61">
        <f t="shared" si="10"/>
        <v>0</v>
      </c>
      <c r="Y74" s="61">
        <f t="shared" si="10"/>
        <v>0</v>
      </c>
      <c r="Z74" s="61">
        <f t="shared" si="10"/>
        <v>0</v>
      </c>
      <c r="AA74" s="61">
        <f t="shared" si="10"/>
        <v>0</v>
      </c>
      <c r="AB74" s="61">
        <f t="shared" si="10"/>
        <v>0</v>
      </c>
      <c r="AC74" s="61">
        <f t="shared" si="10"/>
        <v>0</v>
      </c>
      <c r="AD74" s="61">
        <f t="shared" si="10"/>
        <v>0</v>
      </c>
      <c r="AE74" s="61">
        <f t="shared" si="10"/>
        <v>0</v>
      </c>
      <c r="AF74" s="61">
        <f t="shared" si="10"/>
        <v>0</v>
      </c>
      <c r="AG74" s="81">
        <f>SUM(AG63:AG73)</f>
        <v>0</v>
      </c>
      <c r="AH74" s="48">
        <f t="shared" si="2"/>
        <v>169.5</v>
      </c>
      <c r="AI74" s="49">
        <f t="shared" si="3"/>
        <v>0</v>
      </c>
      <c r="AK74" s="50"/>
    </row>
    <row r="75" spans="1:37" x14ac:dyDescent="0.25">
      <c r="A75" s="44" t="s">
        <v>83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75">
        <v>14.4</v>
      </c>
      <c r="AH76" s="48">
        <f t="shared" ref="AH76:AH109" si="11">MAX(B76:AF76)</f>
        <v>0</v>
      </c>
      <c r="AI76" s="49">
        <f t="shared" ref="AI76:AI109" si="12">MIN(B76:AF76)</f>
        <v>0</v>
      </c>
      <c r="AK76" s="50"/>
    </row>
    <row r="77" spans="1:37" ht="15.75" thickBot="1" x14ac:dyDescent="0.3">
      <c r="A77" s="78" t="s">
        <v>85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>
        <v>0</v>
      </c>
      <c r="AC77" s="79">
        <v>0</v>
      </c>
      <c r="AD77" s="79">
        <v>0</v>
      </c>
      <c r="AE77" s="79">
        <v>0</v>
      </c>
      <c r="AF77" s="79">
        <v>0</v>
      </c>
      <c r="AG77" s="80">
        <v>2</v>
      </c>
      <c r="AH77" s="48">
        <f t="shared" si="11"/>
        <v>0</v>
      </c>
      <c r="AI77" s="49">
        <f t="shared" si="12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11"/>
        <v>0</v>
      </c>
      <c r="AI78" s="49">
        <f t="shared" si="12"/>
        <v>0</v>
      </c>
    </row>
    <row r="79" spans="1:37" ht="15.75" thickBot="1" x14ac:dyDescent="0.3">
      <c r="A79" s="74" t="s">
        <v>87</v>
      </c>
      <c r="B79" s="83">
        <f t="shared" ref="B79:AG79" si="13">B40+B44+B62+B58+B74+B78</f>
        <v>1010.3399999999999</v>
      </c>
      <c r="C79" s="83">
        <f t="shared" si="13"/>
        <v>1004.64</v>
      </c>
      <c r="D79" s="83">
        <f t="shared" si="13"/>
        <v>996.33999999999992</v>
      </c>
      <c r="E79" s="83">
        <f t="shared" si="13"/>
        <v>995.83999999999992</v>
      </c>
      <c r="F79" s="83">
        <f t="shared" si="13"/>
        <v>995.83999999999992</v>
      </c>
      <c r="G79" s="83">
        <f t="shared" si="13"/>
        <v>1043.1399999999999</v>
      </c>
      <c r="H79" s="83">
        <f t="shared" si="13"/>
        <v>1047.24</v>
      </c>
      <c r="I79" s="83">
        <f t="shared" si="13"/>
        <v>1086.94</v>
      </c>
      <c r="J79" s="83">
        <f t="shared" si="13"/>
        <v>1165.04</v>
      </c>
      <c r="K79" s="83">
        <f t="shared" si="13"/>
        <v>1206.24</v>
      </c>
      <c r="L79" s="83">
        <f t="shared" si="13"/>
        <v>1214.8399999999999</v>
      </c>
      <c r="M79" s="83">
        <f t="shared" si="13"/>
        <v>1234.8399999999999</v>
      </c>
      <c r="N79" s="83">
        <f t="shared" si="13"/>
        <v>1228.74</v>
      </c>
      <c r="O79" s="83">
        <f t="shared" si="13"/>
        <v>1201.94</v>
      </c>
      <c r="P79" s="83">
        <f t="shared" si="13"/>
        <v>1180.74</v>
      </c>
      <c r="Q79" s="83">
        <f t="shared" si="13"/>
        <v>1150.04</v>
      </c>
      <c r="R79" s="83">
        <f t="shared" si="13"/>
        <v>1121.74</v>
      </c>
      <c r="S79" s="83">
        <f t="shared" si="13"/>
        <v>1169.24</v>
      </c>
      <c r="T79" s="83">
        <f t="shared" si="13"/>
        <v>1201.6399999999999</v>
      </c>
      <c r="U79" s="83">
        <f t="shared" si="13"/>
        <v>1198.94</v>
      </c>
      <c r="V79" s="83">
        <f t="shared" si="13"/>
        <v>1385.34</v>
      </c>
      <c r="W79" s="83">
        <f t="shared" si="13"/>
        <v>1224.8399999999999</v>
      </c>
      <c r="X79" s="83">
        <f t="shared" si="13"/>
        <v>1292.24</v>
      </c>
      <c r="Y79" s="83">
        <f t="shared" si="13"/>
        <v>1339.74</v>
      </c>
      <c r="Z79" s="83">
        <f t="shared" si="13"/>
        <v>1308.54</v>
      </c>
      <c r="AA79" s="83">
        <f t="shared" si="13"/>
        <v>1298.8400000000001</v>
      </c>
      <c r="AB79" s="83">
        <f t="shared" si="13"/>
        <v>1268.1400000000001</v>
      </c>
      <c r="AC79" s="83">
        <f t="shared" si="13"/>
        <v>1252.54</v>
      </c>
      <c r="AD79" s="83">
        <f t="shared" si="13"/>
        <v>1209.24</v>
      </c>
      <c r="AE79" s="83">
        <f t="shared" si="13"/>
        <v>1103.44</v>
      </c>
      <c r="AF79" s="83">
        <f t="shared" si="13"/>
        <v>1091.74</v>
      </c>
      <c r="AG79" s="62">
        <f t="shared" si="13"/>
        <v>1897.1900000000003</v>
      </c>
      <c r="AH79" s="48">
        <f t="shared" si="11"/>
        <v>1385.34</v>
      </c>
      <c r="AI79" s="49">
        <f t="shared" si="12"/>
        <v>995.83999999999992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11"/>
        <v>0</v>
      </c>
      <c r="AI80" s="49">
        <f t="shared" si="12"/>
        <v>0</v>
      </c>
    </row>
    <row r="81" spans="1:37" ht="15.75" thickBot="1" x14ac:dyDescent="0.3">
      <c r="A81" s="74" t="s">
        <v>89</v>
      </c>
      <c r="B81" s="83">
        <f t="shared" ref="B81:AF81" si="14">B79+B80</f>
        <v>1010.3399999999999</v>
      </c>
      <c r="C81" s="83">
        <f t="shared" si="14"/>
        <v>1004.64</v>
      </c>
      <c r="D81" s="83">
        <f t="shared" si="14"/>
        <v>996.33999999999992</v>
      </c>
      <c r="E81" s="83">
        <f t="shared" si="14"/>
        <v>995.83999999999992</v>
      </c>
      <c r="F81" s="83">
        <f t="shared" si="14"/>
        <v>995.83999999999992</v>
      </c>
      <c r="G81" s="83">
        <f t="shared" si="14"/>
        <v>1043.1399999999999</v>
      </c>
      <c r="H81" s="83">
        <f t="shared" si="14"/>
        <v>1047.24</v>
      </c>
      <c r="I81" s="83">
        <f t="shared" si="14"/>
        <v>1086.94</v>
      </c>
      <c r="J81" s="83">
        <f t="shared" si="14"/>
        <v>1165.04</v>
      </c>
      <c r="K81" s="83">
        <f t="shared" si="14"/>
        <v>1206.24</v>
      </c>
      <c r="L81" s="83">
        <f t="shared" si="14"/>
        <v>1214.8399999999999</v>
      </c>
      <c r="M81" s="83">
        <f t="shared" si="14"/>
        <v>1234.8399999999999</v>
      </c>
      <c r="N81" s="83">
        <f t="shared" si="14"/>
        <v>1228.74</v>
      </c>
      <c r="O81" s="83">
        <f t="shared" si="14"/>
        <v>1201.94</v>
      </c>
      <c r="P81" s="83">
        <f t="shared" si="14"/>
        <v>1180.74</v>
      </c>
      <c r="Q81" s="83">
        <f t="shared" si="14"/>
        <v>1150.04</v>
      </c>
      <c r="R81" s="83">
        <f t="shared" si="14"/>
        <v>1121.74</v>
      </c>
      <c r="S81" s="83">
        <f t="shared" si="14"/>
        <v>1169.24</v>
      </c>
      <c r="T81" s="83">
        <f t="shared" si="14"/>
        <v>1201.6399999999999</v>
      </c>
      <c r="U81" s="83">
        <f t="shared" si="14"/>
        <v>1198.94</v>
      </c>
      <c r="V81" s="83">
        <f t="shared" si="14"/>
        <v>1385.34</v>
      </c>
      <c r="W81" s="83">
        <f t="shared" si="14"/>
        <v>1224.8399999999999</v>
      </c>
      <c r="X81" s="83">
        <f t="shared" si="14"/>
        <v>1292.24</v>
      </c>
      <c r="Y81" s="83">
        <f t="shared" si="14"/>
        <v>1339.74</v>
      </c>
      <c r="Z81" s="83">
        <f t="shared" si="14"/>
        <v>1308.54</v>
      </c>
      <c r="AA81" s="83">
        <f t="shared" si="14"/>
        <v>1298.8400000000001</v>
      </c>
      <c r="AB81" s="83">
        <f t="shared" si="14"/>
        <v>1268.1400000000001</v>
      </c>
      <c r="AC81" s="83">
        <f t="shared" si="14"/>
        <v>1252.54</v>
      </c>
      <c r="AD81" s="83">
        <f t="shared" si="14"/>
        <v>1209.24</v>
      </c>
      <c r="AE81" s="83">
        <f t="shared" si="14"/>
        <v>1103.44</v>
      </c>
      <c r="AF81" s="83">
        <f t="shared" si="14"/>
        <v>1091.74</v>
      </c>
      <c r="AG81" s="81">
        <f>AG78+AG74+AG62+AG58+AG40+AG80</f>
        <v>1359.0900000000001</v>
      </c>
      <c r="AH81" s="48">
        <f t="shared" si="11"/>
        <v>1385.34</v>
      </c>
      <c r="AI81" s="49">
        <f t="shared" si="12"/>
        <v>995.83999999999992</v>
      </c>
    </row>
    <row r="82" spans="1:37" ht="15.75" thickBot="1" x14ac:dyDescent="0.3">
      <c r="A82" s="74" t="s">
        <v>90</v>
      </c>
      <c r="B82" s="83">
        <f t="shared" ref="B82:AF82" si="15">B81-B89</f>
        <v>771.33999999999992</v>
      </c>
      <c r="C82" s="83">
        <f t="shared" si="15"/>
        <v>763.64</v>
      </c>
      <c r="D82" s="83">
        <f t="shared" si="15"/>
        <v>750.33999999999992</v>
      </c>
      <c r="E82" s="83">
        <f t="shared" si="15"/>
        <v>760.83999999999992</v>
      </c>
      <c r="F82" s="83">
        <f t="shared" si="15"/>
        <v>760.83999999999992</v>
      </c>
      <c r="G82" s="83">
        <f t="shared" si="15"/>
        <v>801.13999999999987</v>
      </c>
      <c r="H82" s="83">
        <f t="shared" si="15"/>
        <v>812.24</v>
      </c>
      <c r="I82" s="83">
        <f t="shared" si="15"/>
        <v>848.94</v>
      </c>
      <c r="J82" s="83">
        <f t="shared" si="15"/>
        <v>940.04</v>
      </c>
      <c r="K82" s="83">
        <f t="shared" si="15"/>
        <v>981.24</v>
      </c>
      <c r="L82" s="83">
        <f t="shared" si="15"/>
        <v>1014.8399999999999</v>
      </c>
      <c r="M82" s="83">
        <f t="shared" si="15"/>
        <v>1039.8399999999999</v>
      </c>
      <c r="N82" s="83">
        <f t="shared" si="15"/>
        <v>1016.74</v>
      </c>
      <c r="O82" s="83">
        <f t="shared" si="15"/>
        <v>987.94</v>
      </c>
      <c r="P82" s="83">
        <f t="shared" si="15"/>
        <v>1012.74</v>
      </c>
      <c r="Q82" s="83">
        <f t="shared" si="15"/>
        <v>981.04</v>
      </c>
      <c r="R82" s="83">
        <f t="shared" si="15"/>
        <v>965.74</v>
      </c>
      <c r="S82" s="83">
        <f t="shared" si="15"/>
        <v>1002.74</v>
      </c>
      <c r="T82" s="83">
        <f t="shared" si="15"/>
        <v>1031.6399999999999</v>
      </c>
      <c r="U82" s="83">
        <f t="shared" si="15"/>
        <v>1024.54</v>
      </c>
      <c r="V82" s="83">
        <f t="shared" si="15"/>
        <v>1385.34</v>
      </c>
      <c r="W82" s="83">
        <f t="shared" si="15"/>
        <v>1128.8399999999999</v>
      </c>
      <c r="X82" s="83">
        <f t="shared" si="15"/>
        <v>1272.24</v>
      </c>
      <c r="Y82" s="83">
        <f t="shared" si="15"/>
        <v>1259.04</v>
      </c>
      <c r="Z82" s="83">
        <f t="shared" si="15"/>
        <v>1200.54</v>
      </c>
      <c r="AA82" s="83">
        <f t="shared" si="15"/>
        <v>1167.2400000000002</v>
      </c>
      <c r="AB82" s="83">
        <f t="shared" si="15"/>
        <v>1112.44</v>
      </c>
      <c r="AC82" s="83">
        <f t="shared" si="15"/>
        <v>1089.8399999999999</v>
      </c>
      <c r="AD82" s="83">
        <f t="shared" si="15"/>
        <v>1031.24</v>
      </c>
      <c r="AE82" s="83">
        <f t="shared" si="15"/>
        <v>909.1400000000001</v>
      </c>
      <c r="AF82" s="83">
        <f t="shared" si="15"/>
        <v>911.34</v>
      </c>
      <c r="AG82" s="81"/>
      <c r="AH82" s="48">
        <f t="shared" si="11"/>
        <v>1385.34</v>
      </c>
      <c r="AI82" s="49">
        <f t="shared" si="12"/>
        <v>750.33999999999992</v>
      </c>
    </row>
    <row r="83" spans="1:37" x14ac:dyDescent="0.25">
      <c r="A83" s="44" t="s">
        <v>74</v>
      </c>
      <c r="B83" s="76">
        <f t="shared" ref="B83:AF83" si="16">IF(B66&lt;0,B66*-1,0)</f>
        <v>0</v>
      </c>
      <c r="C83" s="76">
        <f t="shared" si="16"/>
        <v>0</v>
      </c>
      <c r="D83" s="76">
        <f t="shared" si="16"/>
        <v>0</v>
      </c>
      <c r="E83" s="76">
        <f t="shared" si="16"/>
        <v>0</v>
      </c>
      <c r="F83" s="76">
        <f t="shared" si="16"/>
        <v>0</v>
      </c>
      <c r="G83" s="76">
        <f t="shared" si="16"/>
        <v>0</v>
      </c>
      <c r="H83" s="76">
        <f t="shared" si="16"/>
        <v>0</v>
      </c>
      <c r="I83" s="76">
        <f t="shared" si="16"/>
        <v>0</v>
      </c>
      <c r="J83" s="76">
        <f t="shared" si="16"/>
        <v>0</v>
      </c>
      <c r="K83" s="76">
        <f t="shared" si="16"/>
        <v>0</v>
      </c>
      <c r="L83" s="76">
        <f t="shared" si="16"/>
        <v>0</v>
      </c>
      <c r="M83" s="76">
        <f t="shared" si="16"/>
        <v>0</v>
      </c>
      <c r="N83" s="76">
        <f t="shared" si="16"/>
        <v>0</v>
      </c>
      <c r="O83" s="76">
        <f t="shared" si="16"/>
        <v>0</v>
      </c>
      <c r="P83" s="76">
        <f t="shared" si="16"/>
        <v>0</v>
      </c>
      <c r="Q83" s="76">
        <f t="shared" si="16"/>
        <v>0</v>
      </c>
      <c r="R83" s="76">
        <f t="shared" si="16"/>
        <v>0</v>
      </c>
      <c r="S83" s="76">
        <f t="shared" si="16"/>
        <v>0</v>
      </c>
      <c r="T83" s="76">
        <f t="shared" si="16"/>
        <v>0</v>
      </c>
      <c r="U83" s="76">
        <f t="shared" si="16"/>
        <v>0</v>
      </c>
      <c r="V83" s="76">
        <f t="shared" si="16"/>
        <v>0</v>
      </c>
      <c r="W83" s="76">
        <f t="shared" si="16"/>
        <v>0</v>
      </c>
      <c r="X83" s="76">
        <f t="shared" si="16"/>
        <v>0</v>
      </c>
      <c r="Y83" s="76">
        <f t="shared" si="16"/>
        <v>0</v>
      </c>
      <c r="Z83" s="76">
        <f t="shared" si="16"/>
        <v>0</v>
      </c>
      <c r="AA83" s="76">
        <f t="shared" si="16"/>
        <v>0</v>
      </c>
      <c r="AB83" s="76">
        <f t="shared" si="16"/>
        <v>0</v>
      </c>
      <c r="AC83" s="76">
        <f t="shared" si="16"/>
        <v>0</v>
      </c>
      <c r="AD83" s="76">
        <f t="shared" si="16"/>
        <v>0</v>
      </c>
      <c r="AE83" s="76">
        <f t="shared" si="16"/>
        <v>0</v>
      </c>
      <c r="AF83" s="76">
        <f t="shared" si="16"/>
        <v>0</v>
      </c>
      <c r="AG83" s="52"/>
      <c r="AH83" s="48">
        <f t="shared" si="11"/>
        <v>0</v>
      </c>
      <c r="AI83" s="49">
        <f t="shared" si="12"/>
        <v>0</v>
      </c>
    </row>
    <row r="84" spans="1:37" x14ac:dyDescent="0.25">
      <c r="A84" s="54" t="s">
        <v>72</v>
      </c>
      <c r="B84" s="76">
        <f t="shared" ref="B84:AF84" si="17">IF(B64&lt;0,B64*-1,0)</f>
        <v>0</v>
      </c>
      <c r="C84" s="76">
        <f t="shared" si="17"/>
        <v>0</v>
      </c>
      <c r="D84" s="76">
        <f t="shared" si="17"/>
        <v>0</v>
      </c>
      <c r="E84" s="76">
        <f t="shared" si="17"/>
        <v>0</v>
      </c>
      <c r="F84" s="76">
        <f t="shared" si="17"/>
        <v>0</v>
      </c>
      <c r="G84" s="76">
        <f t="shared" si="17"/>
        <v>0</v>
      </c>
      <c r="H84" s="76">
        <f t="shared" si="17"/>
        <v>0</v>
      </c>
      <c r="I84" s="76">
        <f t="shared" si="17"/>
        <v>0</v>
      </c>
      <c r="J84" s="76">
        <f t="shared" si="17"/>
        <v>0</v>
      </c>
      <c r="K84" s="76">
        <f t="shared" si="17"/>
        <v>0</v>
      </c>
      <c r="L84" s="76">
        <f t="shared" si="17"/>
        <v>0</v>
      </c>
      <c r="M84" s="76">
        <f t="shared" si="17"/>
        <v>0</v>
      </c>
      <c r="N84" s="76">
        <f t="shared" si="17"/>
        <v>0</v>
      </c>
      <c r="O84" s="76">
        <f t="shared" si="17"/>
        <v>0</v>
      </c>
      <c r="P84" s="76">
        <f t="shared" si="17"/>
        <v>0</v>
      </c>
      <c r="Q84" s="76">
        <f t="shared" si="17"/>
        <v>0</v>
      </c>
      <c r="R84" s="76">
        <f t="shared" si="17"/>
        <v>0</v>
      </c>
      <c r="S84" s="76">
        <f t="shared" si="17"/>
        <v>0</v>
      </c>
      <c r="T84" s="76">
        <f t="shared" si="17"/>
        <v>0</v>
      </c>
      <c r="U84" s="76">
        <f t="shared" si="17"/>
        <v>0</v>
      </c>
      <c r="V84" s="76">
        <f t="shared" si="17"/>
        <v>0</v>
      </c>
      <c r="W84" s="76">
        <f t="shared" si="17"/>
        <v>0</v>
      </c>
      <c r="X84" s="76">
        <f t="shared" si="17"/>
        <v>0</v>
      </c>
      <c r="Y84" s="76">
        <f t="shared" si="17"/>
        <v>0</v>
      </c>
      <c r="Z84" s="76">
        <f t="shared" si="17"/>
        <v>0</v>
      </c>
      <c r="AA84" s="76">
        <f t="shared" si="17"/>
        <v>0</v>
      </c>
      <c r="AB84" s="76">
        <f t="shared" si="17"/>
        <v>0</v>
      </c>
      <c r="AC84" s="76">
        <f t="shared" si="17"/>
        <v>0</v>
      </c>
      <c r="AD84" s="76">
        <f t="shared" si="17"/>
        <v>0</v>
      </c>
      <c r="AE84" s="76">
        <f t="shared" si="17"/>
        <v>0</v>
      </c>
      <c r="AF84" s="76">
        <f t="shared" si="17"/>
        <v>0</v>
      </c>
      <c r="AG84" s="55"/>
      <c r="AH84" s="48">
        <f t="shared" si="11"/>
        <v>0</v>
      </c>
      <c r="AI84" s="49">
        <f t="shared" si="12"/>
        <v>0</v>
      </c>
    </row>
    <row r="85" spans="1:37" x14ac:dyDescent="0.25">
      <c r="A85" s="78" t="s">
        <v>91</v>
      </c>
      <c r="B85" s="76">
        <f t="shared" ref="B85:AF85" si="18">IF(B67&lt;0,B67*-1,0)</f>
        <v>0</v>
      </c>
      <c r="C85" s="76">
        <f t="shared" si="18"/>
        <v>0</v>
      </c>
      <c r="D85" s="76">
        <f t="shared" si="18"/>
        <v>0</v>
      </c>
      <c r="E85" s="76">
        <f t="shared" si="18"/>
        <v>0</v>
      </c>
      <c r="F85" s="76">
        <f t="shared" si="18"/>
        <v>0</v>
      </c>
      <c r="G85" s="76">
        <f t="shared" si="18"/>
        <v>0</v>
      </c>
      <c r="H85" s="76">
        <f t="shared" si="18"/>
        <v>0</v>
      </c>
      <c r="I85" s="76">
        <f t="shared" si="18"/>
        <v>0</v>
      </c>
      <c r="J85" s="76">
        <f t="shared" si="18"/>
        <v>0</v>
      </c>
      <c r="K85" s="76">
        <f t="shared" si="18"/>
        <v>0</v>
      </c>
      <c r="L85" s="76">
        <f t="shared" si="18"/>
        <v>0</v>
      </c>
      <c r="M85" s="76">
        <f t="shared" si="18"/>
        <v>0</v>
      </c>
      <c r="N85" s="76">
        <f t="shared" si="18"/>
        <v>0</v>
      </c>
      <c r="O85" s="76">
        <f t="shared" si="18"/>
        <v>0</v>
      </c>
      <c r="P85" s="76">
        <f t="shared" si="18"/>
        <v>0</v>
      </c>
      <c r="Q85" s="76">
        <f t="shared" si="18"/>
        <v>0</v>
      </c>
      <c r="R85" s="76">
        <f t="shared" si="18"/>
        <v>0</v>
      </c>
      <c r="S85" s="76">
        <f t="shared" si="18"/>
        <v>0</v>
      </c>
      <c r="T85" s="76">
        <f t="shared" si="18"/>
        <v>0</v>
      </c>
      <c r="U85" s="76">
        <f t="shared" si="18"/>
        <v>0</v>
      </c>
      <c r="V85" s="76">
        <f t="shared" si="18"/>
        <v>0</v>
      </c>
      <c r="W85" s="76">
        <f t="shared" si="18"/>
        <v>0</v>
      </c>
      <c r="X85" s="76">
        <f t="shared" si="18"/>
        <v>0</v>
      </c>
      <c r="Y85" s="76">
        <f t="shared" si="18"/>
        <v>0</v>
      </c>
      <c r="Z85" s="76">
        <f t="shared" si="18"/>
        <v>0</v>
      </c>
      <c r="AA85" s="76">
        <f t="shared" si="18"/>
        <v>0</v>
      </c>
      <c r="AB85" s="76">
        <f t="shared" si="18"/>
        <v>0</v>
      </c>
      <c r="AC85" s="76">
        <f t="shared" si="18"/>
        <v>0</v>
      </c>
      <c r="AD85" s="76">
        <f t="shared" si="18"/>
        <v>0</v>
      </c>
      <c r="AE85" s="76">
        <f t="shared" si="18"/>
        <v>0</v>
      </c>
      <c r="AF85" s="76">
        <f t="shared" si="18"/>
        <v>0</v>
      </c>
      <c r="AG85" s="86"/>
      <c r="AH85" s="48">
        <f t="shared" si="11"/>
        <v>0</v>
      </c>
      <c r="AI85" s="49">
        <f t="shared" si="12"/>
        <v>0</v>
      </c>
    </row>
    <row r="86" spans="1:37" x14ac:dyDescent="0.25">
      <c r="A86" s="78" t="s">
        <v>92</v>
      </c>
      <c r="B86" s="76">
        <f t="shared" ref="B86:AF86" si="19">IF(B65&lt;0,B65*-1,0)</f>
        <v>239</v>
      </c>
      <c r="C86" s="76">
        <f t="shared" si="19"/>
        <v>241</v>
      </c>
      <c r="D86" s="76">
        <f t="shared" si="19"/>
        <v>246</v>
      </c>
      <c r="E86" s="76">
        <f t="shared" si="19"/>
        <v>235</v>
      </c>
      <c r="F86" s="76">
        <f t="shared" si="19"/>
        <v>235</v>
      </c>
      <c r="G86" s="76">
        <f t="shared" si="19"/>
        <v>242</v>
      </c>
      <c r="H86" s="76">
        <f t="shared" si="19"/>
        <v>235</v>
      </c>
      <c r="I86" s="76">
        <f t="shared" si="19"/>
        <v>238</v>
      </c>
      <c r="J86" s="76">
        <f t="shared" si="19"/>
        <v>225</v>
      </c>
      <c r="K86" s="76">
        <f t="shared" si="19"/>
        <v>225</v>
      </c>
      <c r="L86" s="76">
        <f t="shared" si="19"/>
        <v>200</v>
      </c>
      <c r="M86" s="76">
        <f t="shared" si="19"/>
        <v>195</v>
      </c>
      <c r="N86" s="76">
        <f t="shared" si="19"/>
        <v>212</v>
      </c>
      <c r="O86" s="76">
        <f t="shared" si="19"/>
        <v>214</v>
      </c>
      <c r="P86" s="76">
        <f t="shared" si="19"/>
        <v>168</v>
      </c>
      <c r="Q86" s="76">
        <f t="shared" si="19"/>
        <v>169</v>
      </c>
      <c r="R86" s="76">
        <f t="shared" si="19"/>
        <v>156</v>
      </c>
      <c r="S86" s="76">
        <f t="shared" si="19"/>
        <v>166.5</v>
      </c>
      <c r="T86" s="76">
        <f t="shared" si="19"/>
        <v>170</v>
      </c>
      <c r="U86" s="76">
        <f t="shared" si="19"/>
        <v>174.4</v>
      </c>
      <c r="V86" s="76">
        <f t="shared" si="19"/>
        <v>0</v>
      </c>
      <c r="W86" s="76">
        <f t="shared" si="19"/>
        <v>96</v>
      </c>
      <c r="X86" s="76">
        <f t="shared" si="19"/>
        <v>20</v>
      </c>
      <c r="Y86" s="76">
        <f t="shared" si="19"/>
        <v>80.7</v>
      </c>
      <c r="Z86" s="76">
        <f t="shared" si="19"/>
        <v>108</v>
      </c>
      <c r="AA86" s="76">
        <f t="shared" si="19"/>
        <v>131.6</v>
      </c>
      <c r="AB86" s="76">
        <f t="shared" si="19"/>
        <v>155.69999999999999</v>
      </c>
      <c r="AC86" s="76">
        <f t="shared" si="19"/>
        <v>162.69999999999999</v>
      </c>
      <c r="AD86" s="76">
        <f t="shared" si="19"/>
        <v>178</v>
      </c>
      <c r="AE86" s="76">
        <f t="shared" si="19"/>
        <v>194.3</v>
      </c>
      <c r="AF86" s="76">
        <f t="shared" si="19"/>
        <v>180.4</v>
      </c>
      <c r="AG86" s="86"/>
      <c r="AH86" s="48">
        <f t="shared" si="11"/>
        <v>246</v>
      </c>
      <c r="AI86" s="49">
        <f t="shared" si="12"/>
        <v>0</v>
      </c>
    </row>
    <row r="87" spans="1:37" x14ac:dyDescent="0.25">
      <c r="A87" s="78" t="s">
        <v>71</v>
      </c>
      <c r="B87" s="76">
        <f t="shared" ref="B87:AF87" si="20">IF(B63&lt;0,B63*-1,0)</f>
        <v>0</v>
      </c>
      <c r="C87" s="76">
        <f t="shared" si="20"/>
        <v>0</v>
      </c>
      <c r="D87" s="76">
        <f t="shared" si="20"/>
        <v>0</v>
      </c>
      <c r="E87" s="76">
        <f t="shared" si="20"/>
        <v>0</v>
      </c>
      <c r="F87" s="76">
        <f t="shared" si="20"/>
        <v>0</v>
      </c>
      <c r="G87" s="76">
        <f t="shared" si="20"/>
        <v>0</v>
      </c>
      <c r="H87" s="76">
        <f t="shared" si="20"/>
        <v>0</v>
      </c>
      <c r="I87" s="76">
        <f t="shared" si="20"/>
        <v>0</v>
      </c>
      <c r="J87" s="76">
        <f t="shared" si="20"/>
        <v>0</v>
      </c>
      <c r="K87" s="76">
        <f t="shared" si="20"/>
        <v>0</v>
      </c>
      <c r="L87" s="76">
        <f t="shared" si="20"/>
        <v>0</v>
      </c>
      <c r="M87" s="76">
        <f t="shared" si="20"/>
        <v>0</v>
      </c>
      <c r="N87" s="76">
        <f t="shared" si="20"/>
        <v>0</v>
      </c>
      <c r="O87" s="76">
        <f t="shared" si="20"/>
        <v>0</v>
      </c>
      <c r="P87" s="76">
        <f t="shared" si="20"/>
        <v>0</v>
      </c>
      <c r="Q87" s="76">
        <f t="shared" si="20"/>
        <v>0</v>
      </c>
      <c r="R87" s="76">
        <f t="shared" si="20"/>
        <v>0</v>
      </c>
      <c r="S87" s="76">
        <f t="shared" si="20"/>
        <v>0</v>
      </c>
      <c r="T87" s="76">
        <f t="shared" si="20"/>
        <v>0</v>
      </c>
      <c r="U87" s="76">
        <f t="shared" si="20"/>
        <v>0</v>
      </c>
      <c r="V87" s="76">
        <f t="shared" si="20"/>
        <v>0</v>
      </c>
      <c r="W87" s="76">
        <f t="shared" si="20"/>
        <v>0</v>
      </c>
      <c r="X87" s="76">
        <f t="shared" si="20"/>
        <v>0</v>
      </c>
      <c r="Y87" s="76">
        <f t="shared" si="20"/>
        <v>0</v>
      </c>
      <c r="Z87" s="76">
        <f t="shared" si="20"/>
        <v>0</v>
      </c>
      <c r="AA87" s="76">
        <f t="shared" si="20"/>
        <v>0</v>
      </c>
      <c r="AB87" s="76">
        <f t="shared" si="20"/>
        <v>0</v>
      </c>
      <c r="AC87" s="76">
        <f t="shared" si="20"/>
        <v>0</v>
      </c>
      <c r="AD87" s="76">
        <f t="shared" si="20"/>
        <v>0</v>
      </c>
      <c r="AE87" s="76">
        <f t="shared" si="20"/>
        <v>0</v>
      </c>
      <c r="AF87" s="76">
        <f t="shared" si="20"/>
        <v>0</v>
      </c>
      <c r="AG87" s="86"/>
      <c r="AH87" s="48">
        <f t="shared" si="11"/>
        <v>0</v>
      </c>
      <c r="AI87" s="49">
        <f t="shared" si="12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11"/>
        <v>0</v>
      </c>
      <c r="AI88" s="49">
        <f t="shared" si="12"/>
        <v>0</v>
      </c>
    </row>
    <row r="89" spans="1:37" ht="15.75" thickBot="1" x14ac:dyDescent="0.3">
      <c r="A89" s="87" t="s">
        <v>94</v>
      </c>
      <c r="B89" s="61">
        <f t="shared" ref="B89:AF89" si="21">SUM(B83:B88)</f>
        <v>239</v>
      </c>
      <c r="C89" s="61">
        <f t="shared" si="21"/>
        <v>241</v>
      </c>
      <c r="D89" s="61">
        <f t="shared" si="21"/>
        <v>246</v>
      </c>
      <c r="E89" s="61">
        <f t="shared" si="21"/>
        <v>235</v>
      </c>
      <c r="F89" s="61">
        <f t="shared" si="21"/>
        <v>235</v>
      </c>
      <c r="G89" s="61">
        <f t="shared" si="21"/>
        <v>242</v>
      </c>
      <c r="H89" s="61">
        <f t="shared" si="21"/>
        <v>235</v>
      </c>
      <c r="I89" s="61">
        <f t="shared" si="21"/>
        <v>238</v>
      </c>
      <c r="J89" s="61">
        <f t="shared" si="21"/>
        <v>225</v>
      </c>
      <c r="K89" s="61">
        <f t="shared" si="21"/>
        <v>225</v>
      </c>
      <c r="L89" s="61">
        <f t="shared" si="21"/>
        <v>200</v>
      </c>
      <c r="M89" s="61">
        <f t="shared" si="21"/>
        <v>195</v>
      </c>
      <c r="N89" s="61">
        <f t="shared" si="21"/>
        <v>212</v>
      </c>
      <c r="O89" s="61">
        <f t="shared" si="21"/>
        <v>214</v>
      </c>
      <c r="P89" s="61">
        <f t="shared" si="21"/>
        <v>168</v>
      </c>
      <c r="Q89" s="61">
        <f t="shared" si="21"/>
        <v>169</v>
      </c>
      <c r="R89" s="61">
        <f t="shared" si="21"/>
        <v>156</v>
      </c>
      <c r="S89" s="61">
        <f t="shared" si="21"/>
        <v>166.5</v>
      </c>
      <c r="T89" s="61">
        <f t="shared" si="21"/>
        <v>170</v>
      </c>
      <c r="U89" s="61">
        <f t="shared" si="21"/>
        <v>174.4</v>
      </c>
      <c r="V89" s="61">
        <f t="shared" si="21"/>
        <v>0</v>
      </c>
      <c r="W89" s="61">
        <f t="shared" si="21"/>
        <v>96</v>
      </c>
      <c r="X89" s="61">
        <f t="shared" si="21"/>
        <v>20</v>
      </c>
      <c r="Y89" s="61">
        <f t="shared" si="21"/>
        <v>80.7</v>
      </c>
      <c r="Z89" s="61">
        <f t="shared" si="21"/>
        <v>108</v>
      </c>
      <c r="AA89" s="61">
        <f t="shared" si="21"/>
        <v>131.6</v>
      </c>
      <c r="AB89" s="61">
        <f t="shared" si="21"/>
        <v>155.69999999999999</v>
      </c>
      <c r="AC89" s="61">
        <f t="shared" si="21"/>
        <v>162.69999999999999</v>
      </c>
      <c r="AD89" s="61">
        <f t="shared" si="21"/>
        <v>178</v>
      </c>
      <c r="AE89" s="61">
        <f t="shared" si="21"/>
        <v>194.3</v>
      </c>
      <c r="AF89" s="61">
        <f t="shared" si="21"/>
        <v>180.4</v>
      </c>
      <c r="AG89" s="81"/>
      <c r="AH89" s="48">
        <f t="shared" si="11"/>
        <v>246</v>
      </c>
      <c r="AI89" s="49">
        <f t="shared" si="12"/>
        <v>0</v>
      </c>
      <c r="AK89" s="50"/>
    </row>
    <row r="90" spans="1:37" ht="15.75" thickBot="1" x14ac:dyDescent="0.3">
      <c r="A90" s="74" t="s">
        <v>95</v>
      </c>
      <c r="B90" s="61">
        <f t="shared" ref="B90:AF90" si="22">B74-B89</f>
        <v>-239</v>
      </c>
      <c r="C90" s="61">
        <f t="shared" si="22"/>
        <v>-241</v>
      </c>
      <c r="D90" s="61">
        <f t="shared" si="22"/>
        <v>-246</v>
      </c>
      <c r="E90" s="61">
        <f t="shared" si="22"/>
        <v>-235</v>
      </c>
      <c r="F90" s="61">
        <f t="shared" si="22"/>
        <v>-235</v>
      </c>
      <c r="G90" s="61">
        <f t="shared" si="22"/>
        <v>-242</v>
      </c>
      <c r="H90" s="61">
        <f t="shared" si="22"/>
        <v>-235</v>
      </c>
      <c r="I90" s="61">
        <f t="shared" si="22"/>
        <v>-238</v>
      </c>
      <c r="J90" s="61">
        <f t="shared" si="22"/>
        <v>-225</v>
      </c>
      <c r="K90" s="61">
        <f t="shared" si="22"/>
        <v>-225</v>
      </c>
      <c r="L90" s="61">
        <f t="shared" si="22"/>
        <v>-200</v>
      </c>
      <c r="M90" s="61">
        <f t="shared" si="22"/>
        <v>-195</v>
      </c>
      <c r="N90" s="61">
        <f t="shared" si="22"/>
        <v>-212</v>
      </c>
      <c r="O90" s="61">
        <f t="shared" si="22"/>
        <v>-214</v>
      </c>
      <c r="P90" s="61">
        <f t="shared" si="22"/>
        <v>-168</v>
      </c>
      <c r="Q90" s="61">
        <f t="shared" si="22"/>
        <v>-169</v>
      </c>
      <c r="R90" s="61">
        <f t="shared" si="22"/>
        <v>-156</v>
      </c>
      <c r="S90" s="61">
        <f t="shared" si="22"/>
        <v>-166.5</v>
      </c>
      <c r="T90" s="61">
        <f t="shared" si="22"/>
        <v>-170</v>
      </c>
      <c r="U90" s="61">
        <f t="shared" si="22"/>
        <v>-174.4</v>
      </c>
      <c r="V90" s="61">
        <f t="shared" si="22"/>
        <v>169.5</v>
      </c>
      <c r="W90" s="61">
        <f t="shared" si="22"/>
        <v>-96</v>
      </c>
      <c r="X90" s="61">
        <f t="shared" si="22"/>
        <v>-20</v>
      </c>
      <c r="Y90" s="61">
        <f t="shared" si="22"/>
        <v>-80.7</v>
      </c>
      <c r="Z90" s="61">
        <f t="shared" si="22"/>
        <v>-108</v>
      </c>
      <c r="AA90" s="61">
        <f t="shared" si="22"/>
        <v>-131.6</v>
      </c>
      <c r="AB90" s="61">
        <f t="shared" si="22"/>
        <v>-155.69999999999999</v>
      </c>
      <c r="AC90" s="61">
        <f t="shared" si="22"/>
        <v>-162.69999999999999</v>
      </c>
      <c r="AD90" s="61">
        <f t="shared" si="22"/>
        <v>-178</v>
      </c>
      <c r="AE90" s="61">
        <f t="shared" si="22"/>
        <v>-194.3</v>
      </c>
      <c r="AF90" s="61">
        <f t="shared" si="22"/>
        <v>-180.4</v>
      </c>
      <c r="AG90" s="81"/>
      <c r="AH90" s="48">
        <f t="shared" si="11"/>
        <v>169.5</v>
      </c>
      <c r="AI90" s="49">
        <f t="shared" si="12"/>
        <v>-246</v>
      </c>
    </row>
    <row r="91" spans="1:37" x14ac:dyDescent="0.25">
      <c r="A91" s="88" t="s">
        <v>96</v>
      </c>
      <c r="B91" s="89">
        <v>50.04</v>
      </c>
      <c r="C91" s="89">
        <v>50.048000000000002</v>
      </c>
      <c r="D91" s="89">
        <v>50.006999999999998</v>
      </c>
      <c r="E91" s="89">
        <v>50.02</v>
      </c>
      <c r="F91" s="89">
        <v>50.03</v>
      </c>
      <c r="G91" s="89">
        <v>50.02</v>
      </c>
      <c r="H91" s="89">
        <v>50.02</v>
      </c>
      <c r="I91" s="89">
        <v>49.96</v>
      </c>
      <c r="J91" s="89">
        <v>49.77</v>
      </c>
      <c r="K91" s="89">
        <v>49.89</v>
      </c>
      <c r="L91" s="89">
        <v>49.97</v>
      </c>
      <c r="M91" s="89">
        <v>49.994999999999997</v>
      </c>
      <c r="N91" s="89">
        <v>49.99</v>
      </c>
      <c r="O91" s="89">
        <v>50.024000000000001</v>
      </c>
      <c r="P91" s="89">
        <v>50.024000000000001</v>
      </c>
      <c r="Q91" s="89">
        <v>50.024000000000001</v>
      </c>
      <c r="R91" s="89">
        <v>49.923999999999999</v>
      </c>
      <c r="S91" s="89">
        <v>49.96</v>
      </c>
      <c r="T91" s="89">
        <v>50.03</v>
      </c>
      <c r="U91" s="89">
        <v>50.05</v>
      </c>
      <c r="V91" s="89">
        <v>49.938000000000002</v>
      </c>
      <c r="W91" s="89">
        <v>49.938000000000002</v>
      </c>
      <c r="X91" s="89">
        <v>49.96</v>
      </c>
      <c r="Y91" s="89">
        <v>49.976999999999997</v>
      </c>
      <c r="Z91" s="89">
        <v>50.033999999999999</v>
      </c>
      <c r="AA91" s="89">
        <v>50.033999999999999</v>
      </c>
      <c r="AB91" s="89">
        <v>50.037999999999997</v>
      </c>
      <c r="AC91" s="89">
        <v>49.936</v>
      </c>
      <c r="AD91" s="89">
        <v>50.04</v>
      </c>
      <c r="AE91" s="89">
        <v>50.06</v>
      </c>
      <c r="AF91" s="89">
        <v>49.98</v>
      </c>
      <c r="AG91" s="90"/>
      <c r="AH91" s="48">
        <f t="shared" si="11"/>
        <v>50.06</v>
      </c>
      <c r="AI91" s="49">
        <f t="shared" si="12"/>
        <v>49.77</v>
      </c>
    </row>
    <row r="92" spans="1:37" x14ac:dyDescent="0.25">
      <c r="A92" s="91" t="s">
        <v>97</v>
      </c>
      <c r="B92" s="65">
        <v>130.30000000000001</v>
      </c>
      <c r="C92" s="65">
        <v>130.5</v>
      </c>
      <c r="D92" s="65">
        <v>130.05000000000001</v>
      </c>
      <c r="E92" s="65">
        <v>131.19999999999999</v>
      </c>
      <c r="F92" s="65">
        <v>131.19999999999999</v>
      </c>
      <c r="G92" s="65">
        <v>130.4</v>
      </c>
      <c r="H92" s="65">
        <v>130.30000000000001</v>
      </c>
      <c r="I92" s="65">
        <v>128.9</v>
      </c>
      <c r="J92" s="65">
        <v>127.4</v>
      </c>
      <c r="K92" s="65">
        <v>125.9</v>
      </c>
      <c r="L92" s="65">
        <v>125.5</v>
      </c>
      <c r="M92" s="65">
        <v>126.4</v>
      </c>
      <c r="N92" s="65">
        <v>125.2</v>
      </c>
      <c r="O92" s="65">
        <v>125.3</v>
      </c>
      <c r="P92" s="65">
        <v>125.3</v>
      </c>
      <c r="Q92" s="65">
        <v>125.3</v>
      </c>
      <c r="R92" s="65">
        <v>126.7</v>
      </c>
      <c r="S92" s="65">
        <v>125.6</v>
      </c>
      <c r="T92" s="65">
        <v>126.4</v>
      </c>
      <c r="U92" s="65">
        <v>127.1</v>
      </c>
      <c r="V92" s="65">
        <v>126.8</v>
      </c>
      <c r="W92" s="65">
        <v>126.8</v>
      </c>
      <c r="X92" s="65">
        <v>126</v>
      </c>
      <c r="Y92" s="65">
        <v>126</v>
      </c>
      <c r="Z92" s="65">
        <v>127</v>
      </c>
      <c r="AA92" s="65">
        <v>127</v>
      </c>
      <c r="AB92" s="65">
        <v>127.9</v>
      </c>
      <c r="AC92" s="65">
        <v>127.8</v>
      </c>
      <c r="AD92" s="65">
        <v>129.19999999999999</v>
      </c>
      <c r="AE92" s="65">
        <v>129.4</v>
      </c>
      <c r="AF92" s="65">
        <v>128.80000000000001</v>
      </c>
      <c r="AG92" s="92"/>
      <c r="AH92" s="48">
        <f t="shared" si="11"/>
        <v>131.19999999999999</v>
      </c>
      <c r="AI92" s="49">
        <f t="shared" si="12"/>
        <v>125.2</v>
      </c>
    </row>
    <row r="93" spans="1:37" x14ac:dyDescent="0.25">
      <c r="A93" s="91" t="s">
        <v>98</v>
      </c>
      <c r="B93" s="65">
        <v>133.1</v>
      </c>
      <c r="C93" s="65">
        <v>133.19999999999999</v>
      </c>
      <c r="D93" s="65">
        <v>133.4</v>
      </c>
      <c r="E93" s="65">
        <v>133.69999999999999</v>
      </c>
      <c r="F93" s="65">
        <v>133.80000000000001</v>
      </c>
      <c r="G93" s="65">
        <v>1329</v>
      </c>
      <c r="H93" s="65">
        <v>132.80000000000001</v>
      </c>
      <c r="I93" s="65">
        <v>131.6</v>
      </c>
      <c r="J93" s="65">
        <v>129.69999999999999</v>
      </c>
      <c r="K93" s="65">
        <v>128</v>
      </c>
      <c r="L93" s="65">
        <v>127.6</v>
      </c>
      <c r="M93" s="65">
        <v>128.05000000000001</v>
      </c>
      <c r="N93" s="65">
        <v>127.7</v>
      </c>
      <c r="O93" s="65">
        <v>127.7</v>
      </c>
      <c r="P93" s="65">
        <v>127.7</v>
      </c>
      <c r="Q93" s="65">
        <v>127.7</v>
      </c>
      <c r="R93" s="65">
        <v>129</v>
      </c>
      <c r="S93" s="65">
        <v>128.69999999999999</v>
      </c>
      <c r="T93" s="65">
        <v>129.19999999999999</v>
      </c>
      <c r="U93" s="65">
        <v>129.5</v>
      </c>
      <c r="V93" s="65">
        <v>129</v>
      </c>
      <c r="W93" s="65">
        <v>129</v>
      </c>
      <c r="X93" s="65">
        <v>128.1</v>
      </c>
      <c r="Y93" s="65">
        <v>128.1</v>
      </c>
      <c r="Z93" s="65">
        <v>129.80000000000001</v>
      </c>
      <c r="AA93" s="65">
        <v>129.80000000000001</v>
      </c>
      <c r="AB93" s="65">
        <v>130.6</v>
      </c>
      <c r="AC93" s="65">
        <v>130.5</v>
      </c>
      <c r="AD93" s="65">
        <v>131.80000000000001</v>
      </c>
      <c r="AE93" s="65">
        <v>132.80000000000001</v>
      </c>
      <c r="AF93" s="65">
        <v>132.1</v>
      </c>
      <c r="AG93" s="92"/>
      <c r="AH93" s="48">
        <f t="shared" si="11"/>
        <v>1329</v>
      </c>
      <c r="AI93" s="49">
        <f t="shared" si="12"/>
        <v>127.6</v>
      </c>
    </row>
    <row r="94" spans="1:37" x14ac:dyDescent="0.25">
      <c r="A94" s="91" t="s">
        <v>99</v>
      </c>
      <c r="B94" s="65">
        <v>132.4</v>
      </c>
      <c r="C94" s="65">
        <v>132.69999999999999</v>
      </c>
      <c r="D94" s="65">
        <v>132.4</v>
      </c>
      <c r="E94" s="65">
        <v>133.6</v>
      </c>
      <c r="F94" s="65">
        <v>133.69999999999999</v>
      </c>
      <c r="G94" s="65">
        <v>133.4</v>
      </c>
      <c r="H94" s="65">
        <v>133.30000000000001</v>
      </c>
      <c r="I94" s="65">
        <v>131.6</v>
      </c>
      <c r="J94" s="65">
        <v>129.5</v>
      </c>
      <c r="K94" s="65">
        <v>129.30000000000001</v>
      </c>
      <c r="L94" s="65">
        <v>129</v>
      </c>
      <c r="M94" s="65">
        <v>130.6</v>
      </c>
      <c r="N94" s="65">
        <v>128.69999999999999</v>
      </c>
      <c r="O94" s="65">
        <v>128.30000000000001</v>
      </c>
      <c r="P94" s="65">
        <v>128.30000000000001</v>
      </c>
      <c r="Q94" s="65">
        <v>128.30000000000001</v>
      </c>
      <c r="R94" s="65">
        <v>130</v>
      </c>
      <c r="S94" s="65">
        <v>128.30000000000001</v>
      </c>
      <c r="T94" s="65">
        <v>127.9</v>
      </c>
      <c r="U94" s="65">
        <v>128.80000000000001</v>
      </c>
      <c r="V94" s="65">
        <v>129.5</v>
      </c>
      <c r="W94" s="65">
        <v>129.5</v>
      </c>
      <c r="X94" s="65">
        <v>128.4</v>
      </c>
      <c r="Y94" s="65">
        <v>128.4</v>
      </c>
      <c r="Z94" s="65">
        <v>129.69999999999999</v>
      </c>
      <c r="AA94" s="65">
        <v>129.69999999999999</v>
      </c>
      <c r="AB94" s="65">
        <v>131</v>
      </c>
      <c r="AC94" s="65">
        <v>129.80000000000001</v>
      </c>
      <c r="AD94" s="65">
        <v>131.9</v>
      </c>
      <c r="AE94" s="65">
        <v>133.1</v>
      </c>
      <c r="AF94" s="65">
        <v>132.4</v>
      </c>
      <c r="AG94" s="92"/>
      <c r="AH94" s="48">
        <f t="shared" si="11"/>
        <v>133.69999999999999</v>
      </c>
      <c r="AI94" s="49">
        <f t="shared" si="12"/>
        <v>127.9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11"/>
        <v>0</v>
      </c>
      <c r="AI95" s="49">
        <f t="shared" si="12"/>
        <v>0</v>
      </c>
    </row>
    <row r="96" spans="1:37" x14ac:dyDescent="0.25">
      <c r="A96" s="93" t="s">
        <v>101</v>
      </c>
      <c r="B96" s="94">
        <v>134</v>
      </c>
      <c r="C96" s="94">
        <v>134.1</v>
      </c>
      <c r="D96" s="94">
        <v>134.30000000000001</v>
      </c>
      <c r="E96" s="94">
        <v>134.1</v>
      </c>
      <c r="F96" s="94">
        <v>133.80000000000001</v>
      </c>
      <c r="G96" s="94">
        <v>133</v>
      </c>
      <c r="H96" s="94">
        <v>132.6</v>
      </c>
      <c r="I96" s="94">
        <v>132.5</v>
      </c>
      <c r="J96" s="94">
        <v>133.9</v>
      </c>
      <c r="K96" s="94">
        <v>133.30000000000001</v>
      </c>
      <c r="L96" s="94">
        <v>133.30000000000001</v>
      </c>
      <c r="M96" s="94">
        <v>133.30000000000001</v>
      </c>
      <c r="N96" s="94">
        <v>132.30000000000001</v>
      </c>
      <c r="O96" s="94">
        <v>132.30000000000001</v>
      </c>
      <c r="P96" s="94">
        <v>132.30000000000001</v>
      </c>
      <c r="Q96" s="94">
        <v>132.30000000000001</v>
      </c>
      <c r="R96" s="94">
        <v>134.30000000000001</v>
      </c>
      <c r="S96" s="94">
        <v>132.6</v>
      </c>
      <c r="T96" s="94">
        <v>133</v>
      </c>
      <c r="U96" s="94">
        <v>132.9</v>
      </c>
      <c r="V96" s="94">
        <v>133</v>
      </c>
      <c r="W96" s="94">
        <v>133</v>
      </c>
      <c r="X96" s="94">
        <v>130</v>
      </c>
      <c r="Y96" s="94">
        <v>130</v>
      </c>
      <c r="Z96" s="94">
        <v>135</v>
      </c>
      <c r="AA96" s="94">
        <v>135</v>
      </c>
      <c r="AB96" s="94">
        <v>135.6</v>
      </c>
      <c r="AC96" s="94">
        <v>136.5</v>
      </c>
      <c r="AD96" s="94">
        <v>136.1</v>
      </c>
      <c r="AE96" s="94">
        <v>135.5</v>
      </c>
      <c r="AF96" s="94">
        <v>134.30000000000001</v>
      </c>
      <c r="AG96" s="95"/>
      <c r="AH96" s="48">
        <f t="shared" si="11"/>
        <v>136.5</v>
      </c>
      <c r="AI96" s="49">
        <f t="shared" si="12"/>
        <v>130</v>
      </c>
    </row>
    <row r="97" spans="1:37" x14ac:dyDescent="0.25">
      <c r="A97" s="91" t="s">
        <v>102</v>
      </c>
      <c r="B97" s="65">
        <v>133.80000000000001</v>
      </c>
      <c r="C97" s="65">
        <v>134.19999999999999</v>
      </c>
      <c r="D97" s="65">
        <v>134.80000000000001</v>
      </c>
      <c r="E97" s="65">
        <v>132.5</v>
      </c>
      <c r="F97" s="65">
        <v>132.19999999999999</v>
      </c>
      <c r="G97" s="65">
        <v>131.80000000000001</v>
      </c>
      <c r="H97" s="65">
        <v>131</v>
      </c>
      <c r="I97" s="65">
        <v>130.80000000000001</v>
      </c>
      <c r="J97" s="65">
        <v>127.9</v>
      </c>
      <c r="K97" s="65">
        <v>126.4</v>
      </c>
      <c r="L97" s="65">
        <v>128.4</v>
      </c>
      <c r="M97" s="65">
        <v>130.19999999999999</v>
      </c>
      <c r="N97" s="65">
        <v>128.30000000000001</v>
      </c>
      <c r="O97" s="65">
        <v>129.5</v>
      </c>
      <c r="P97" s="65">
        <v>129.5</v>
      </c>
      <c r="Q97" s="65">
        <v>129.5</v>
      </c>
      <c r="R97" s="65">
        <v>133.30000000000001</v>
      </c>
      <c r="S97" s="65">
        <v>127.5</v>
      </c>
      <c r="T97" s="65">
        <v>129.5</v>
      </c>
      <c r="U97" s="65">
        <v>129.5</v>
      </c>
      <c r="V97" s="65">
        <v>129.80000000000001</v>
      </c>
      <c r="W97" s="65">
        <v>129.80000000000001</v>
      </c>
      <c r="X97" s="65">
        <v>127.3</v>
      </c>
      <c r="Y97" s="65">
        <v>127.3</v>
      </c>
      <c r="Z97" s="65">
        <v>131</v>
      </c>
      <c r="AA97" s="65">
        <v>131</v>
      </c>
      <c r="AB97" s="65">
        <v>134.80000000000001</v>
      </c>
      <c r="AC97" s="65">
        <v>135</v>
      </c>
      <c r="AD97" s="65">
        <v>135.69999999999999</v>
      </c>
      <c r="AE97" s="65">
        <v>136.1</v>
      </c>
      <c r="AF97" s="65">
        <v>132.5</v>
      </c>
      <c r="AG97" s="92"/>
      <c r="AH97" s="48">
        <f t="shared" si="11"/>
        <v>136.1</v>
      </c>
      <c r="AI97" s="49">
        <f t="shared" si="12"/>
        <v>126.4</v>
      </c>
    </row>
    <row r="98" spans="1:37" ht="15.75" thickBot="1" x14ac:dyDescent="0.3">
      <c r="A98" s="91" t="s">
        <v>103</v>
      </c>
      <c r="B98" s="96">
        <v>66.7</v>
      </c>
      <c r="C98" s="96">
        <v>66.8</v>
      </c>
      <c r="D98" s="96">
        <v>66.900000000000006</v>
      </c>
      <c r="E98" s="96">
        <v>67.099999999999994</v>
      </c>
      <c r="F98" s="96">
        <v>67</v>
      </c>
      <c r="G98" s="96">
        <v>66.599999999999994</v>
      </c>
      <c r="H98" s="96">
        <v>66.5</v>
      </c>
      <c r="I98" s="96">
        <v>65.8</v>
      </c>
      <c r="J98" s="96">
        <v>65.099999999999994</v>
      </c>
      <c r="K98" s="96">
        <v>64.3</v>
      </c>
      <c r="L98" s="96">
        <v>63.9</v>
      </c>
      <c r="M98" s="96">
        <v>64.3</v>
      </c>
      <c r="N98" s="96">
        <v>64.3</v>
      </c>
      <c r="O98" s="96">
        <v>64.3</v>
      </c>
      <c r="P98" s="96">
        <v>64.3</v>
      </c>
      <c r="Q98" s="96">
        <v>64.3</v>
      </c>
      <c r="R98" s="96">
        <v>64.7</v>
      </c>
      <c r="S98" s="96">
        <v>64.5</v>
      </c>
      <c r="T98" s="96">
        <v>64.7</v>
      </c>
      <c r="U98" s="96">
        <v>64.900000000000006</v>
      </c>
      <c r="V98" s="96">
        <v>64</v>
      </c>
      <c r="W98" s="96">
        <v>64</v>
      </c>
      <c r="X98" s="96">
        <v>64.3</v>
      </c>
      <c r="Y98" s="96">
        <v>64.3</v>
      </c>
      <c r="Z98" s="96">
        <v>65</v>
      </c>
      <c r="AA98" s="96">
        <v>65</v>
      </c>
      <c r="AB98" s="96">
        <v>65.900000000000006</v>
      </c>
      <c r="AC98" s="96">
        <v>65.599999999999994</v>
      </c>
      <c r="AD98" s="96">
        <v>66.5</v>
      </c>
      <c r="AE98" s="96">
        <v>67</v>
      </c>
      <c r="AF98" s="96">
        <v>66.7</v>
      </c>
      <c r="AG98" s="97"/>
      <c r="AH98" s="48">
        <f t="shared" si="11"/>
        <v>67.099999999999994</v>
      </c>
      <c r="AI98" s="49">
        <f t="shared" si="12"/>
        <v>63.9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11"/>
        <v>0</v>
      </c>
      <c r="AI99" s="49">
        <f t="shared" si="12"/>
        <v>0</v>
      </c>
    </row>
    <row r="100" spans="1:37" ht="15.75" thickBot="1" x14ac:dyDescent="0.3">
      <c r="A100" s="99" t="s">
        <v>104</v>
      </c>
      <c r="B100" s="100">
        <f t="shared" ref="B100:AF100" si="23">SUM(B15,B20,B22:B23,B48,B50:B51,B53,B55,B101:B105,B127,B133,B139,B148,B150,B162,B169,B172:B173,B180,B182,B184,B188:B190,B192:B194,B199,B205:B206,B208:B210,B218,B223)</f>
        <v>41</v>
      </c>
      <c r="C100" s="100">
        <f t="shared" si="23"/>
        <v>36.339999999999989</v>
      </c>
      <c r="D100" s="100">
        <f t="shared" si="23"/>
        <v>37.039999999999985</v>
      </c>
      <c r="E100" s="100">
        <f t="shared" si="23"/>
        <v>49.040000000000006</v>
      </c>
      <c r="F100" s="100">
        <f t="shared" si="23"/>
        <v>52.84</v>
      </c>
      <c r="G100" s="100">
        <f t="shared" si="23"/>
        <v>70.739999999999995</v>
      </c>
      <c r="H100" s="100">
        <f t="shared" si="23"/>
        <v>89.739999999999981</v>
      </c>
      <c r="I100" s="100">
        <f t="shared" si="23"/>
        <v>109.24000000000002</v>
      </c>
      <c r="J100" s="100">
        <f t="shared" si="23"/>
        <v>163.23999999999995</v>
      </c>
      <c r="K100" s="100">
        <f t="shared" si="23"/>
        <v>181.94</v>
      </c>
      <c r="L100" s="100">
        <f t="shared" si="23"/>
        <v>190.04</v>
      </c>
      <c r="M100" s="100">
        <f t="shared" si="23"/>
        <v>190.34</v>
      </c>
      <c r="N100" s="100">
        <f t="shared" si="23"/>
        <v>168.24</v>
      </c>
      <c r="O100" s="100">
        <f t="shared" si="23"/>
        <v>161.53999999999996</v>
      </c>
      <c r="P100" s="100">
        <f t="shared" si="23"/>
        <v>140.34000000000003</v>
      </c>
      <c r="Q100" s="100">
        <f t="shared" si="23"/>
        <v>255.6</v>
      </c>
      <c r="R100" s="100">
        <f t="shared" si="23"/>
        <v>105.89999999999999</v>
      </c>
      <c r="S100" s="100">
        <f t="shared" si="23"/>
        <v>126.6</v>
      </c>
      <c r="T100" s="100">
        <f t="shared" si="23"/>
        <v>132</v>
      </c>
      <c r="U100" s="100">
        <f t="shared" si="23"/>
        <v>156.79999999999995</v>
      </c>
      <c r="V100" s="100">
        <f t="shared" si="23"/>
        <v>169.7</v>
      </c>
      <c r="W100" s="100">
        <f t="shared" si="23"/>
        <v>159.69999999999999</v>
      </c>
      <c r="X100" s="100">
        <f t="shared" si="23"/>
        <v>180.19999999999993</v>
      </c>
      <c r="Y100" s="100">
        <f t="shared" si="23"/>
        <v>261.10000000000002</v>
      </c>
      <c r="Z100" s="100">
        <f t="shared" si="23"/>
        <v>235.3</v>
      </c>
      <c r="AA100" s="100">
        <f t="shared" si="23"/>
        <v>213.99999999999997</v>
      </c>
      <c r="AB100" s="100">
        <f t="shared" si="23"/>
        <v>183.19999999999996</v>
      </c>
      <c r="AC100" s="100">
        <f t="shared" si="23"/>
        <v>158.80000000000001</v>
      </c>
      <c r="AD100" s="100">
        <f t="shared" si="23"/>
        <v>142.30000000000001</v>
      </c>
      <c r="AE100" s="100">
        <f t="shared" si="23"/>
        <v>82.8</v>
      </c>
      <c r="AF100" s="100">
        <f t="shared" si="23"/>
        <v>57.299999999999969</v>
      </c>
      <c r="AG100" s="101"/>
      <c r="AH100" s="48">
        <f t="shared" si="11"/>
        <v>261.10000000000002</v>
      </c>
      <c r="AI100" s="49">
        <f t="shared" si="12"/>
        <v>36.339999999999989</v>
      </c>
    </row>
    <row r="101" spans="1:37" x14ac:dyDescent="0.25">
      <c r="A101" s="88" t="s">
        <v>105</v>
      </c>
      <c r="B101" s="102">
        <v>23</v>
      </c>
      <c r="C101" s="102">
        <v>22.2</v>
      </c>
      <c r="D101" s="102">
        <v>24.4</v>
      </c>
      <c r="E101" s="102">
        <v>23.1</v>
      </c>
      <c r="F101" s="102">
        <v>23.8</v>
      </c>
      <c r="G101" s="102">
        <v>28.6</v>
      </c>
      <c r="H101" s="102">
        <v>29.5</v>
      </c>
      <c r="I101" s="102">
        <v>37.799999999999997</v>
      </c>
      <c r="J101" s="102">
        <v>47.7</v>
      </c>
      <c r="K101" s="102">
        <v>54</v>
      </c>
      <c r="L101" s="102">
        <v>56.6</v>
      </c>
      <c r="M101" s="102">
        <v>45.9</v>
      </c>
      <c r="N101" s="102">
        <v>52.1</v>
      </c>
      <c r="O101" s="102">
        <v>50.4</v>
      </c>
      <c r="P101" s="102">
        <v>50.4</v>
      </c>
      <c r="Q101" s="102">
        <v>60</v>
      </c>
      <c r="R101" s="102">
        <v>0</v>
      </c>
      <c r="S101" s="102">
        <v>0</v>
      </c>
      <c r="T101" s="102">
        <v>44.3</v>
      </c>
      <c r="U101" s="102">
        <v>46.2</v>
      </c>
      <c r="V101" s="102">
        <v>48.6</v>
      </c>
      <c r="W101" s="102">
        <v>48.6</v>
      </c>
      <c r="X101" s="102">
        <v>51.8</v>
      </c>
      <c r="Y101" s="102">
        <v>53.5</v>
      </c>
      <c r="Z101" s="102">
        <v>60</v>
      </c>
      <c r="AA101" s="102">
        <v>60.8</v>
      </c>
      <c r="AB101" s="102">
        <v>54.5</v>
      </c>
      <c r="AC101" s="102">
        <v>51.2</v>
      </c>
      <c r="AD101" s="102">
        <v>45.3</v>
      </c>
      <c r="AE101" s="102">
        <v>38.799999999999997</v>
      </c>
      <c r="AF101" s="102">
        <v>26.7</v>
      </c>
      <c r="AG101" s="103">
        <v>75</v>
      </c>
      <c r="AH101" s="48">
        <f t="shared" si="11"/>
        <v>60.8</v>
      </c>
      <c r="AI101" s="49">
        <f t="shared" si="12"/>
        <v>0</v>
      </c>
    </row>
    <row r="102" spans="1:37" x14ac:dyDescent="0.25">
      <c r="A102" s="91" t="s">
        <v>106</v>
      </c>
      <c r="B102" s="104">
        <v>36</v>
      </c>
      <c r="C102" s="104">
        <v>34.4</v>
      </c>
      <c r="D102" s="104">
        <v>37.6</v>
      </c>
      <c r="E102" s="104">
        <v>36</v>
      </c>
      <c r="F102" s="104">
        <v>36.9</v>
      </c>
      <c r="G102" s="104">
        <v>43.9</v>
      </c>
      <c r="H102" s="104">
        <v>43.2</v>
      </c>
      <c r="I102" s="104">
        <v>56.4</v>
      </c>
      <c r="J102" s="104">
        <v>68.599999999999994</v>
      </c>
      <c r="K102" s="104">
        <v>76.7</v>
      </c>
      <c r="L102" s="104">
        <v>81.3</v>
      </c>
      <c r="M102" s="104">
        <v>82.3</v>
      </c>
      <c r="N102" s="104">
        <v>75</v>
      </c>
      <c r="O102" s="104">
        <v>72.099999999999994</v>
      </c>
      <c r="P102" s="104">
        <v>72.099999999999994</v>
      </c>
      <c r="Q102" s="104">
        <v>72.099999999999994</v>
      </c>
      <c r="R102" s="104">
        <v>77</v>
      </c>
      <c r="S102" s="104">
        <v>73.099999999999994</v>
      </c>
      <c r="T102" s="104">
        <v>64.3</v>
      </c>
      <c r="U102" s="104">
        <v>66.7</v>
      </c>
      <c r="V102" s="104">
        <v>70</v>
      </c>
      <c r="W102" s="104">
        <v>70</v>
      </c>
      <c r="X102" s="104">
        <v>77.099999999999994</v>
      </c>
      <c r="Y102" s="104">
        <v>80</v>
      </c>
      <c r="Z102" s="104">
        <v>87.8</v>
      </c>
      <c r="AA102" s="104">
        <v>88.7</v>
      </c>
      <c r="AB102" s="104">
        <v>77.900000000000006</v>
      </c>
      <c r="AC102" s="104">
        <v>73.7</v>
      </c>
      <c r="AD102" s="104">
        <v>65.8</v>
      </c>
      <c r="AE102" s="104">
        <v>56.7</v>
      </c>
      <c r="AF102" s="104">
        <v>44.7</v>
      </c>
      <c r="AG102" s="103">
        <v>240</v>
      </c>
      <c r="AH102" s="48">
        <f t="shared" si="11"/>
        <v>88.7</v>
      </c>
      <c r="AI102" s="49">
        <f t="shared" si="12"/>
        <v>34.4</v>
      </c>
    </row>
    <row r="103" spans="1:37" x14ac:dyDescent="0.25">
      <c r="A103" s="91" t="s">
        <v>107</v>
      </c>
      <c r="B103" s="104">
        <f>-65-69</f>
        <v>-134</v>
      </c>
      <c r="C103" s="104">
        <f>-66-70</f>
        <v>-136</v>
      </c>
      <c r="D103" s="104">
        <f>-63-67</f>
        <v>-130</v>
      </c>
      <c r="E103" s="104">
        <f>-55.8-60.6</f>
        <v>-116.4</v>
      </c>
      <c r="F103" s="104">
        <f>-55.8-60</f>
        <v>-115.8</v>
      </c>
      <c r="G103" s="104">
        <f>-57.5-61.4</f>
        <v>-118.9</v>
      </c>
      <c r="H103" s="104">
        <f>-53.7-57.8</f>
        <v>-111.5</v>
      </c>
      <c r="I103" s="104">
        <f>-61.6-63.1</f>
        <v>-124.7</v>
      </c>
      <c r="J103" s="104">
        <f>-53.3-52.4</f>
        <v>-105.69999999999999</v>
      </c>
      <c r="K103" s="104">
        <f>-49.6-53.4</f>
        <v>-103</v>
      </c>
      <c r="L103" s="104">
        <f>-49.5-52.7</f>
        <v>-102.2</v>
      </c>
      <c r="M103" s="104">
        <f>-49.5-52.7</f>
        <v>-102.2</v>
      </c>
      <c r="N103" s="104">
        <f>-58-62.4</f>
        <v>-120.4</v>
      </c>
      <c r="O103" s="104">
        <f>-59.5-64.1</f>
        <v>-123.6</v>
      </c>
      <c r="P103" s="104">
        <f t="shared" ref="P103" si="24">-59.5-64.1</f>
        <v>-123.6</v>
      </c>
      <c r="Q103" s="104">
        <v>0</v>
      </c>
      <c r="R103" s="104">
        <v>-104</v>
      </c>
      <c r="S103" s="104">
        <f>-51.6-55.5</f>
        <v>-107.1</v>
      </c>
      <c r="T103" s="104">
        <f>-69.9-65.6</f>
        <v>-135.5</v>
      </c>
      <c r="U103" s="104">
        <f>-59.6-58.4</f>
        <v>-118</v>
      </c>
      <c r="V103" s="104">
        <v>-116</v>
      </c>
      <c r="W103" s="104">
        <v>-116</v>
      </c>
      <c r="X103" s="104">
        <f>-54.2-58.6</f>
        <v>-112.80000000000001</v>
      </c>
      <c r="Y103" s="104">
        <v>-140</v>
      </c>
      <c r="Z103" s="104">
        <v>-104</v>
      </c>
      <c r="AA103" s="104">
        <v>-114.4</v>
      </c>
      <c r="AB103" s="104">
        <v>-117</v>
      </c>
      <c r="AC103" s="104">
        <v>-127</v>
      </c>
      <c r="AD103" s="104">
        <f>-60.5-63.8</f>
        <v>-124.3</v>
      </c>
      <c r="AE103" s="104">
        <f>-72.1-73.3</f>
        <v>-145.39999999999998</v>
      </c>
      <c r="AF103" s="104">
        <f>-70-74.3</f>
        <v>-144.30000000000001</v>
      </c>
      <c r="AG103" s="103">
        <v>240</v>
      </c>
      <c r="AH103" s="48">
        <f t="shared" si="11"/>
        <v>0</v>
      </c>
      <c r="AI103" s="49">
        <f t="shared" si="12"/>
        <v>-145.39999999999998</v>
      </c>
    </row>
    <row r="104" spans="1:37" x14ac:dyDescent="0.25">
      <c r="A104" s="91" t="s">
        <v>108</v>
      </c>
      <c r="B104" s="104">
        <v>0</v>
      </c>
      <c r="C104" s="104">
        <v>-1.2</v>
      </c>
      <c r="D104" s="104">
        <v>-3.6</v>
      </c>
      <c r="E104" s="104">
        <v>-2.2999999999999998</v>
      </c>
      <c r="F104" s="104">
        <v>-0.7</v>
      </c>
      <c r="G104" s="104">
        <v>0.2</v>
      </c>
      <c r="H104" s="104">
        <v>1.6</v>
      </c>
      <c r="I104" s="104">
        <v>2.5</v>
      </c>
      <c r="J104" s="104">
        <v>6.2</v>
      </c>
      <c r="K104" s="104">
        <v>7.8</v>
      </c>
      <c r="L104" s="104">
        <v>7.9</v>
      </c>
      <c r="M104" s="104">
        <v>7.9</v>
      </c>
      <c r="N104" s="104">
        <v>5.0999999999999996</v>
      </c>
      <c r="O104" s="104">
        <v>6.4</v>
      </c>
      <c r="P104" s="104">
        <v>6.4</v>
      </c>
      <c r="Q104" s="104">
        <v>6.4</v>
      </c>
      <c r="R104" s="104">
        <v>15.8</v>
      </c>
      <c r="S104" s="104">
        <v>12.4</v>
      </c>
      <c r="T104" s="104">
        <v>10.7</v>
      </c>
      <c r="U104" s="104">
        <v>13.7</v>
      </c>
      <c r="V104" s="104">
        <v>12.3</v>
      </c>
      <c r="W104" s="104">
        <v>12.3</v>
      </c>
      <c r="X104" s="104">
        <v>12.3</v>
      </c>
      <c r="Y104" s="104">
        <v>14</v>
      </c>
      <c r="Z104" s="104">
        <v>17.3</v>
      </c>
      <c r="AA104" s="104">
        <v>13.7</v>
      </c>
      <c r="AB104" s="104">
        <v>11.4</v>
      </c>
      <c r="AC104" s="104">
        <v>10.5</v>
      </c>
      <c r="AD104" s="104">
        <v>6</v>
      </c>
      <c r="AE104" s="104">
        <v>1.3</v>
      </c>
      <c r="AF104" s="104">
        <v>-1.3</v>
      </c>
      <c r="AG104" s="103">
        <v>60</v>
      </c>
      <c r="AH104" s="48">
        <f t="shared" si="11"/>
        <v>17.3</v>
      </c>
      <c r="AI104" s="49">
        <f t="shared" si="12"/>
        <v>-3.6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0</v>
      </c>
      <c r="Y105" s="106">
        <v>79</v>
      </c>
      <c r="Z105" s="106">
        <v>0</v>
      </c>
      <c r="AA105" s="106">
        <v>0</v>
      </c>
      <c r="AB105" s="106">
        <v>0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11"/>
        <v>79</v>
      </c>
      <c r="AI105" s="49">
        <f t="shared" si="12"/>
        <v>0</v>
      </c>
    </row>
    <row r="106" spans="1:37" x14ac:dyDescent="0.25">
      <c r="A106" s="105" t="s">
        <v>110</v>
      </c>
      <c r="B106" s="106">
        <v>-52</v>
      </c>
      <c r="C106" s="106">
        <v>-54</v>
      </c>
      <c r="D106" s="106">
        <v>-51.7</v>
      </c>
      <c r="E106" s="106">
        <v>-44.5</v>
      </c>
      <c r="F106" s="106">
        <v>-42</v>
      </c>
      <c r="G106" s="106">
        <v>-47.6</v>
      </c>
      <c r="H106" s="106">
        <v>-42.8</v>
      </c>
      <c r="I106" s="106">
        <v>-52.5</v>
      </c>
      <c r="J106" s="106">
        <v>-45.7</v>
      </c>
      <c r="K106" s="106">
        <v>-38.4</v>
      </c>
      <c r="L106" s="106">
        <v>41.2</v>
      </c>
      <c r="M106" s="106">
        <v>41.2</v>
      </c>
      <c r="N106" s="106">
        <v>-47.4</v>
      </c>
      <c r="O106" s="106">
        <v>-44</v>
      </c>
      <c r="P106" s="106">
        <v>-44</v>
      </c>
      <c r="Q106" s="106">
        <v>-44</v>
      </c>
      <c r="R106" s="106">
        <v>-27</v>
      </c>
      <c r="S106" s="106">
        <v>-15.4</v>
      </c>
      <c r="T106" s="106">
        <v>-33.5</v>
      </c>
      <c r="U106" s="106">
        <v>-32.799999999999997</v>
      </c>
      <c r="V106" s="106">
        <v>-40.299999999999997</v>
      </c>
      <c r="W106" s="106">
        <v>-40.299999999999997</v>
      </c>
      <c r="X106" s="106">
        <v>-22.2</v>
      </c>
      <c r="Y106" s="106">
        <v>-42.2</v>
      </c>
      <c r="Z106" s="106">
        <v>-25.6</v>
      </c>
      <c r="AA106" s="106">
        <v>-36.799999999999997</v>
      </c>
      <c r="AB106" s="106">
        <v>-40.200000000000003</v>
      </c>
      <c r="AC106" s="106">
        <v>-46.2</v>
      </c>
      <c r="AD106" s="106">
        <v>-43.6</v>
      </c>
      <c r="AE106" s="106">
        <v>-45.7</v>
      </c>
      <c r="AF106" s="106">
        <v>-29.2</v>
      </c>
      <c r="AG106" s="107"/>
      <c r="AH106" s="48">
        <f t="shared" si="11"/>
        <v>41.2</v>
      </c>
      <c r="AI106" s="49">
        <f t="shared" si="12"/>
        <v>-54</v>
      </c>
    </row>
    <row r="107" spans="1:37" x14ac:dyDescent="0.25">
      <c r="A107" s="105" t="s">
        <v>111</v>
      </c>
      <c r="B107" s="106">
        <v>-56</v>
      </c>
      <c r="C107" s="106">
        <v>-54</v>
      </c>
      <c r="D107" s="106">
        <v>-51.4</v>
      </c>
      <c r="E107" s="106">
        <v>-43.3</v>
      </c>
      <c r="F107" s="106">
        <v>44.9</v>
      </c>
      <c r="G107" s="106">
        <v>49.5</v>
      </c>
      <c r="H107" s="106">
        <v>47.5</v>
      </c>
      <c r="I107" s="106">
        <v>55.4</v>
      </c>
      <c r="J107" s="106">
        <v>62</v>
      </c>
      <c r="K107" s="106">
        <v>68.400000000000006</v>
      </c>
      <c r="L107" s="106">
        <v>-38.700000000000003</v>
      </c>
      <c r="M107" s="106">
        <v>-38.700000000000003</v>
      </c>
      <c r="N107" s="106">
        <v>-35.200000000000003</v>
      </c>
      <c r="O107" s="106">
        <v>-39.6</v>
      </c>
      <c r="P107" s="106">
        <v>-39.6</v>
      </c>
      <c r="Q107" s="106">
        <v>-39.6</v>
      </c>
      <c r="R107" s="106">
        <v>-45.4</v>
      </c>
      <c r="S107" s="106">
        <v>-49.5</v>
      </c>
      <c r="T107" s="106">
        <v>66</v>
      </c>
      <c r="U107" s="106">
        <v>65.5</v>
      </c>
      <c r="V107" s="106">
        <v>-38.200000000000003</v>
      </c>
      <c r="W107" s="106">
        <v>-38.200000000000003</v>
      </c>
      <c r="X107" s="106">
        <v>-69.3</v>
      </c>
      <c r="Y107" s="106">
        <v>-52.4</v>
      </c>
      <c r="Z107" s="106">
        <v>-47.1</v>
      </c>
      <c r="AA107" s="106">
        <v>-42.8</v>
      </c>
      <c r="AB107" s="106">
        <v>-36.4</v>
      </c>
      <c r="AC107" s="106">
        <v>-39.5</v>
      </c>
      <c r="AD107" s="106">
        <v>-42.2</v>
      </c>
      <c r="AE107" s="106">
        <v>-40.200000000000003</v>
      </c>
      <c r="AF107" s="106">
        <v>-54.6</v>
      </c>
      <c r="AG107" s="108"/>
      <c r="AH107" s="48">
        <f t="shared" si="11"/>
        <v>68.400000000000006</v>
      </c>
      <c r="AI107" s="49">
        <f t="shared" si="12"/>
        <v>-69.3</v>
      </c>
    </row>
    <row r="108" spans="1:37" x14ac:dyDescent="0.25">
      <c r="A108" s="109" t="s">
        <v>112</v>
      </c>
      <c r="B108" s="94">
        <v>107.4</v>
      </c>
      <c r="C108" s="94">
        <v>106</v>
      </c>
      <c r="D108" s="94">
        <v>108.8</v>
      </c>
      <c r="E108" s="94">
        <v>106.3</v>
      </c>
      <c r="F108" s="94">
        <v>105.8</v>
      </c>
      <c r="G108" s="94">
        <v>105.2</v>
      </c>
      <c r="H108" s="94">
        <v>104.4</v>
      </c>
      <c r="I108" s="94">
        <v>105.4</v>
      </c>
      <c r="J108" s="94">
        <v>96</v>
      </c>
      <c r="K108" s="94">
        <v>89.9</v>
      </c>
      <c r="L108" s="94">
        <v>88.3</v>
      </c>
      <c r="M108" s="94">
        <v>88.3</v>
      </c>
      <c r="N108" s="94">
        <v>93.8</v>
      </c>
      <c r="O108" s="94">
        <v>91.9</v>
      </c>
      <c r="P108" s="94">
        <v>91.9</v>
      </c>
      <c r="Q108" s="94">
        <v>91.9</v>
      </c>
      <c r="R108" s="94">
        <v>92.1</v>
      </c>
      <c r="S108" s="94">
        <v>91.9</v>
      </c>
      <c r="T108" s="94">
        <v>90.6</v>
      </c>
      <c r="U108" s="94">
        <v>87.1</v>
      </c>
      <c r="V108" s="94">
        <v>80.8</v>
      </c>
      <c r="W108" s="94">
        <v>72</v>
      </c>
      <c r="X108" s="94">
        <v>58.3</v>
      </c>
      <c r="Y108" s="94">
        <v>68.7</v>
      </c>
      <c r="Z108" s="94">
        <v>75.900000000000006</v>
      </c>
      <c r="AA108" s="94">
        <v>80</v>
      </c>
      <c r="AB108" s="94">
        <v>87.6</v>
      </c>
      <c r="AC108" s="94">
        <v>88</v>
      </c>
      <c r="AD108" s="94">
        <v>94.8</v>
      </c>
      <c r="AE108" s="94">
        <v>99.8</v>
      </c>
      <c r="AF108" s="94">
        <v>99.7</v>
      </c>
      <c r="AG108" s="108"/>
      <c r="AH108" s="48">
        <f t="shared" si="11"/>
        <v>108.8</v>
      </c>
      <c r="AI108" s="49">
        <f t="shared" si="12"/>
        <v>58.3</v>
      </c>
    </row>
    <row r="109" spans="1:37" ht="15.75" thickBot="1" x14ac:dyDescent="0.3">
      <c r="A109" s="109" t="s">
        <v>113</v>
      </c>
      <c r="B109" s="94">
        <v>93</v>
      </c>
      <c r="C109" s="94">
        <v>97</v>
      </c>
      <c r="D109" s="94">
        <v>94.8</v>
      </c>
      <c r="E109" s="94">
        <v>86.3</v>
      </c>
      <c r="F109" s="94">
        <v>83.6</v>
      </c>
      <c r="G109" s="94">
        <v>89</v>
      </c>
      <c r="H109" s="94">
        <v>84.2</v>
      </c>
      <c r="I109" s="94">
        <v>92.9</v>
      </c>
      <c r="J109" s="94">
        <v>85.1</v>
      </c>
      <c r="K109" s="94">
        <v>83.7</v>
      </c>
      <c r="L109" s="94">
        <v>86.9</v>
      </c>
      <c r="M109" s="94">
        <v>86.9</v>
      </c>
      <c r="N109" s="94">
        <v>101</v>
      </c>
      <c r="O109" s="94">
        <v>95.3</v>
      </c>
      <c r="P109" s="94">
        <v>95.3</v>
      </c>
      <c r="Q109" s="94">
        <v>90</v>
      </c>
      <c r="R109" s="94">
        <v>92.1</v>
      </c>
      <c r="S109" s="94">
        <v>83.5</v>
      </c>
      <c r="T109" s="94">
        <v>100</v>
      </c>
      <c r="U109" s="94">
        <v>88</v>
      </c>
      <c r="V109" s="94">
        <v>96</v>
      </c>
      <c r="W109" s="94">
        <v>88</v>
      </c>
      <c r="X109" s="94">
        <v>78.8</v>
      </c>
      <c r="Y109" s="94">
        <v>100</v>
      </c>
      <c r="Z109" s="94">
        <v>81.599999999999994</v>
      </c>
      <c r="AA109" s="94">
        <v>82.9</v>
      </c>
      <c r="AB109" s="94">
        <v>93.5</v>
      </c>
      <c r="AC109" s="94">
        <v>98.8</v>
      </c>
      <c r="AD109" s="94">
        <v>105.4</v>
      </c>
      <c r="AE109" s="94">
        <v>105.8</v>
      </c>
      <c r="AF109" s="94">
        <v>105.6</v>
      </c>
      <c r="AG109" s="108"/>
      <c r="AH109" s="48">
        <f t="shared" si="11"/>
        <v>105.8</v>
      </c>
      <c r="AI109" s="49">
        <f t="shared" si="12"/>
        <v>78.8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25">SUM(B111:B215)</f>
        <v>0</v>
      </c>
      <c r="C216" s="125">
        <f t="shared" si="25"/>
        <v>0</v>
      </c>
      <c r="D216" s="125">
        <f t="shared" si="25"/>
        <v>0</v>
      </c>
      <c r="E216" s="125">
        <f t="shared" si="25"/>
        <v>0</v>
      </c>
      <c r="F216" s="125">
        <f t="shared" si="25"/>
        <v>0</v>
      </c>
      <c r="G216" s="125">
        <f t="shared" si="25"/>
        <v>0</v>
      </c>
      <c r="H216" s="125">
        <f t="shared" si="25"/>
        <v>0</v>
      </c>
      <c r="I216" s="125">
        <f t="shared" si="25"/>
        <v>0</v>
      </c>
      <c r="J216" s="125">
        <f t="shared" si="25"/>
        <v>0</v>
      </c>
      <c r="K216" s="125">
        <f t="shared" si="25"/>
        <v>0</v>
      </c>
      <c r="L216" s="125">
        <f t="shared" si="25"/>
        <v>0</v>
      </c>
      <c r="M216" s="125">
        <f t="shared" si="25"/>
        <v>0</v>
      </c>
      <c r="N216" s="125">
        <f t="shared" si="25"/>
        <v>0</v>
      </c>
      <c r="O216" s="125">
        <f t="shared" si="25"/>
        <v>0</v>
      </c>
      <c r="P216" s="125">
        <f t="shared" si="25"/>
        <v>0</v>
      </c>
      <c r="Q216" s="125">
        <f t="shared" si="25"/>
        <v>0</v>
      </c>
      <c r="R216" s="125">
        <f t="shared" si="25"/>
        <v>0</v>
      </c>
      <c r="S216" s="125">
        <f t="shared" si="25"/>
        <v>0</v>
      </c>
      <c r="T216" s="125">
        <f t="shared" si="25"/>
        <v>0</v>
      </c>
      <c r="U216" s="125">
        <f t="shared" si="25"/>
        <v>0</v>
      </c>
      <c r="V216" s="125">
        <f t="shared" si="25"/>
        <v>0</v>
      </c>
      <c r="W216" s="125">
        <f t="shared" si="25"/>
        <v>0</v>
      </c>
      <c r="X216" s="125">
        <f t="shared" si="25"/>
        <v>0</v>
      </c>
      <c r="Y216" s="125">
        <f t="shared" si="25"/>
        <v>0</v>
      </c>
      <c r="Z216" s="125">
        <f t="shared" si="25"/>
        <v>0</v>
      </c>
      <c r="AA216" s="125">
        <f t="shared" si="25"/>
        <v>0</v>
      </c>
      <c r="AB216" s="125">
        <f t="shared" si="25"/>
        <v>0</v>
      </c>
      <c r="AC216" s="125">
        <f t="shared" si="25"/>
        <v>0</v>
      </c>
      <c r="AD216" s="125">
        <f t="shared" si="25"/>
        <v>0</v>
      </c>
      <c r="AE216" s="125">
        <f t="shared" si="25"/>
        <v>0</v>
      </c>
      <c r="AF216" s="126">
        <f t="shared" si="25"/>
        <v>0</v>
      </c>
      <c r="AG216" s="127">
        <f t="shared" si="25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26">AF218</f>
        <v>0</v>
      </c>
      <c r="C218" s="129">
        <v>0.3</v>
      </c>
      <c r="D218" s="129">
        <f t="shared" ref="D218:P223" si="27">C218</f>
        <v>0.3</v>
      </c>
      <c r="E218" s="129">
        <f t="shared" si="27"/>
        <v>0.3</v>
      </c>
      <c r="F218" s="129">
        <f t="shared" si="27"/>
        <v>0.3</v>
      </c>
      <c r="G218" s="129">
        <f t="shared" si="27"/>
        <v>0.3</v>
      </c>
      <c r="H218" s="129">
        <f t="shared" si="27"/>
        <v>0.3</v>
      </c>
      <c r="I218" s="129">
        <f t="shared" si="27"/>
        <v>0.3</v>
      </c>
      <c r="J218" s="129">
        <f t="shared" si="27"/>
        <v>0.3</v>
      </c>
      <c r="K218" s="129">
        <f t="shared" si="27"/>
        <v>0.3</v>
      </c>
      <c r="L218" s="129">
        <f t="shared" si="27"/>
        <v>0.3</v>
      </c>
      <c r="M218" s="129">
        <f t="shared" si="27"/>
        <v>0.3</v>
      </c>
      <c r="N218" s="129">
        <f t="shared" si="27"/>
        <v>0.3</v>
      </c>
      <c r="O218" s="129">
        <f t="shared" si="27"/>
        <v>0.3</v>
      </c>
      <c r="P218" s="129">
        <f t="shared" si="27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26"/>
        <v>0</v>
      </c>
      <c r="C219" s="117">
        <v>0.4</v>
      </c>
      <c r="D219" s="117">
        <f t="shared" si="27"/>
        <v>0.4</v>
      </c>
      <c r="E219" s="117">
        <f t="shared" si="27"/>
        <v>0.4</v>
      </c>
      <c r="F219" s="117">
        <f t="shared" si="27"/>
        <v>0.4</v>
      </c>
      <c r="G219" s="117">
        <f t="shared" si="27"/>
        <v>0.4</v>
      </c>
      <c r="H219" s="117">
        <f t="shared" si="27"/>
        <v>0.4</v>
      </c>
      <c r="I219" s="117">
        <f t="shared" si="27"/>
        <v>0.4</v>
      </c>
      <c r="J219" s="117">
        <f t="shared" si="27"/>
        <v>0.4</v>
      </c>
      <c r="K219" s="117">
        <f t="shared" si="27"/>
        <v>0.4</v>
      </c>
      <c r="L219" s="117">
        <f t="shared" si="27"/>
        <v>0.4</v>
      </c>
      <c r="M219" s="117">
        <f t="shared" si="27"/>
        <v>0.4</v>
      </c>
      <c r="N219" s="117">
        <f t="shared" si="27"/>
        <v>0.4</v>
      </c>
      <c r="O219" s="117">
        <f t="shared" si="27"/>
        <v>0.4</v>
      </c>
      <c r="P219" s="117">
        <f t="shared" si="27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26"/>
        <v>0</v>
      </c>
      <c r="C220" s="117">
        <v>1.5</v>
      </c>
      <c r="D220" s="117">
        <f t="shared" si="27"/>
        <v>1.5</v>
      </c>
      <c r="E220" s="117">
        <f t="shared" si="27"/>
        <v>1.5</v>
      </c>
      <c r="F220" s="117">
        <f t="shared" si="27"/>
        <v>1.5</v>
      </c>
      <c r="G220" s="117">
        <f t="shared" si="27"/>
        <v>1.5</v>
      </c>
      <c r="H220" s="117">
        <f t="shared" si="27"/>
        <v>1.5</v>
      </c>
      <c r="I220" s="117">
        <f t="shared" si="27"/>
        <v>1.5</v>
      </c>
      <c r="J220" s="117">
        <f t="shared" si="27"/>
        <v>1.5</v>
      </c>
      <c r="K220" s="117">
        <f t="shared" si="27"/>
        <v>1.5</v>
      </c>
      <c r="L220" s="117">
        <f t="shared" si="27"/>
        <v>1.5</v>
      </c>
      <c r="M220" s="117">
        <f t="shared" si="27"/>
        <v>1.5</v>
      </c>
      <c r="N220" s="117">
        <f t="shared" si="27"/>
        <v>1.5</v>
      </c>
      <c r="O220" s="117">
        <f t="shared" si="27"/>
        <v>1.5</v>
      </c>
      <c r="P220" s="117">
        <f t="shared" si="27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26"/>
        <v>0</v>
      </c>
      <c r="C221" s="117">
        <v>0.3</v>
      </c>
      <c r="D221" s="117">
        <f t="shared" si="27"/>
        <v>0.3</v>
      </c>
      <c r="E221" s="117">
        <f t="shared" si="27"/>
        <v>0.3</v>
      </c>
      <c r="F221" s="117">
        <f t="shared" si="27"/>
        <v>0.3</v>
      </c>
      <c r="G221" s="117">
        <f t="shared" si="27"/>
        <v>0.3</v>
      </c>
      <c r="H221" s="117">
        <f t="shared" si="27"/>
        <v>0.3</v>
      </c>
      <c r="I221" s="117">
        <f t="shared" si="27"/>
        <v>0.3</v>
      </c>
      <c r="J221" s="117">
        <f t="shared" si="27"/>
        <v>0.3</v>
      </c>
      <c r="K221" s="117">
        <f t="shared" si="27"/>
        <v>0.3</v>
      </c>
      <c r="L221" s="117">
        <f t="shared" si="27"/>
        <v>0.3</v>
      </c>
      <c r="M221" s="117">
        <f t="shared" si="27"/>
        <v>0.3</v>
      </c>
      <c r="N221" s="117">
        <f t="shared" si="27"/>
        <v>0.3</v>
      </c>
      <c r="O221" s="117">
        <f t="shared" si="27"/>
        <v>0.3</v>
      </c>
      <c r="P221" s="117">
        <f t="shared" si="27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26"/>
        <v>0</v>
      </c>
      <c r="C222" s="117">
        <v>0.4</v>
      </c>
      <c r="D222" s="117">
        <f t="shared" si="27"/>
        <v>0.4</v>
      </c>
      <c r="E222" s="117">
        <f t="shared" si="27"/>
        <v>0.4</v>
      </c>
      <c r="F222" s="117">
        <f t="shared" si="27"/>
        <v>0.4</v>
      </c>
      <c r="G222" s="117">
        <f t="shared" si="27"/>
        <v>0.4</v>
      </c>
      <c r="H222" s="117">
        <f t="shared" si="27"/>
        <v>0.4</v>
      </c>
      <c r="I222" s="117">
        <f t="shared" si="27"/>
        <v>0.4</v>
      </c>
      <c r="J222" s="117">
        <f t="shared" si="27"/>
        <v>0.4</v>
      </c>
      <c r="K222" s="117">
        <f t="shared" si="27"/>
        <v>0.4</v>
      </c>
      <c r="L222" s="117">
        <f t="shared" si="27"/>
        <v>0.4</v>
      </c>
      <c r="M222" s="117">
        <f t="shared" si="27"/>
        <v>0.4</v>
      </c>
      <c r="N222" s="117">
        <f t="shared" si="27"/>
        <v>0.4</v>
      </c>
      <c r="O222" s="117">
        <f t="shared" si="27"/>
        <v>0.4</v>
      </c>
      <c r="P222" s="117">
        <f t="shared" si="27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26"/>
        <v>0</v>
      </c>
      <c r="C223" s="121">
        <v>0.64</v>
      </c>
      <c r="D223" s="121">
        <f t="shared" si="27"/>
        <v>0.64</v>
      </c>
      <c r="E223" s="121">
        <f t="shared" si="27"/>
        <v>0.64</v>
      </c>
      <c r="F223" s="121">
        <f t="shared" si="27"/>
        <v>0.64</v>
      </c>
      <c r="G223" s="121">
        <f t="shared" si="27"/>
        <v>0.64</v>
      </c>
      <c r="H223" s="121">
        <f t="shared" si="27"/>
        <v>0.64</v>
      </c>
      <c r="I223" s="121">
        <f t="shared" si="27"/>
        <v>0.64</v>
      </c>
      <c r="J223" s="121">
        <f t="shared" si="27"/>
        <v>0.64</v>
      </c>
      <c r="K223" s="121">
        <f t="shared" si="27"/>
        <v>0.64</v>
      </c>
      <c r="L223" s="121">
        <f t="shared" si="27"/>
        <v>0.64</v>
      </c>
      <c r="M223" s="121">
        <f t="shared" si="27"/>
        <v>0.64</v>
      </c>
      <c r="N223" s="121">
        <f t="shared" si="27"/>
        <v>0.64</v>
      </c>
      <c r="O223" s="121">
        <f t="shared" si="27"/>
        <v>0.64</v>
      </c>
      <c r="P223" s="121">
        <f t="shared" si="27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8">SUM(B218:B223)</f>
        <v>0</v>
      </c>
      <c r="C224" s="125">
        <f t="shared" si="28"/>
        <v>3.54</v>
      </c>
      <c r="D224" s="125">
        <f t="shared" si="28"/>
        <v>3.54</v>
      </c>
      <c r="E224" s="125">
        <f t="shared" si="28"/>
        <v>3.54</v>
      </c>
      <c r="F224" s="125">
        <f t="shared" si="28"/>
        <v>3.54</v>
      </c>
      <c r="G224" s="125">
        <f t="shared" si="28"/>
        <v>3.54</v>
      </c>
      <c r="H224" s="125">
        <f t="shared" si="28"/>
        <v>3.54</v>
      </c>
      <c r="I224" s="125">
        <f t="shared" si="28"/>
        <v>3.54</v>
      </c>
      <c r="J224" s="125">
        <f t="shared" si="28"/>
        <v>3.54</v>
      </c>
      <c r="K224" s="125">
        <f t="shared" si="28"/>
        <v>3.54</v>
      </c>
      <c r="L224" s="125">
        <f t="shared" si="28"/>
        <v>3.54</v>
      </c>
      <c r="M224" s="125">
        <f t="shared" si="28"/>
        <v>3.54</v>
      </c>
      <c r="N224" s="125">
        <f t="shared" si="28"/>
        <v>3.54</v>
      </c>
      <c r="O224" s="125">
        <f t="shared" si="28"/>
        <v>3.54</v>
      </c>
      <c r="P224" s="125">
        <f t="shared" si="28"/>
        <v>3.54</v>
      </c>
      <c r="Q224" s="125">
        <f t="shared" si="28"/>
        <v>0</v>
      </c>
      <c r="R224" s="125">
        <f t="shared" si="28"/>
        <v>0</v>
      </c>
      <c r="S224" s="125">
        <f t="shared" si="28"/>
        <v>0</v>
      </c>
      <c r="T224" s="125">
        <f t="shared" si="28"/>
        <v>0</v>
      </c>
      <c r="U224" s="125">
        <f t="shared" si="28"/>
        <v>0</v>
      </c>
      <c r="V224" s="125">
        <f t="shared" si="28"/>
        <v>0</v>
      </c>
      <c r="W224" s="125">
        <f t="shared" si="28"/>
        <v>0</v>
      </c>
      <c r="X224" s="125">
        <f t="shared" si="28"/>
        <v>0</v>
      </c>
      <c r="Y224" s="125">
        <f t="shared" si="28"/>
        <v>0</v>
      </c>
      <c r="Z224" s="125">
        <f t="shared" si="28"/>
        <v>0</v>
      </c>
      <c r="AA224" s="125">
        <f t="shared" si="28"/>
        <v>0</v>
      </c>
      <c r="AB224" s="125">
        <f t="shared" si="28"/>
        <v>0</v>
      </c>
      <c r="AC224" s="125">
        <f t="shared" si="28"/>
        <v>0</v>
      </c>
      <c r="AD224" s="125">
        <f t="shared" si="28"/>
        <v>0</v>
      </c>
      <c r="AE224" s="125">
        <f t="shared" si="28"/>
        <v>0</v>
      </c>
      <c r="AF224" s="125">
        <f t="shared" si="28"/>
        <v>0</v>
      </c>
      <c r="AG224" s="134">
        <f t="shared" si="28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1234.8399999999999</v>
      </c>
      <c r="C233" s="150">
        <f>INDEX(G9:N9,1,MATCH(MAX(G81:N81),G81:N81,0))</f>
        <v>0.33333333333333331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15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2079/06/15)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2079/06/15)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29">B81</f>
        <v>1010.3399999999999</v>
      </c>
      <c r="U238" s="159">
        <f t="shared" si="29"/>
        <v>1004.64</v>
      </c>
      <c r="V238" s="159">
        <f t="shared" si="29"/>
        <v>996.33999999999992</v>
      </c>
      <c r="W238" s="159">
        <f t="shared" si="29"/>
        <v>995.83999999999992</v>
      </c>
      <c r="X238" s="159">
        <f t="shared" si="29"/>
        <v>995.83999999999992</v>
      </c>
      <c r="Y238" s="159">
        <f t="shared" si="29"/>
        <v>1043.1399999999999</v>
      </c>
      <c r="Z238" s="159">
        <f t="shared" si="29"/>
        <v>1047.24</v>
      </c>
      <c r="AA238" s="159">
        <f t="shared" si="29"/>
        <v>1086.94</v>
      </c>
      <c r="AB238" s="159">
        <f t="shared" si="29"/>
        <v>1165.04</v>
      </c>
      <c r="AC238" s="159">
        <f t="shared" si="29"/>
        <v>1206.24</v>
      </c>
      <c r="AD238" s="159">
        <f t="shared" si="29"/>
        <v>1214.8399999999999</v>
      </c>
      <c r="AE238" s="159">
        <f t="shared" si="29"/>
        <v>1234.8399999999999</v>
      </c>
      <c r="AF238" s="159">
        <f t="shared" si="29"/>
        <v>1228.74</v>
      </c>
      <c r="AG238" s="159">
        <f t="shared" si="29"/>
        <v>1201.94</v>
      </c>
      <c r="AH238" s="159">
        <f t="shared" si="29"/>
        <v>1180.74</v>
      </c>
      <c r="AI238" s="159">
        <f t="shared" si="29"/>
        <v>1150.04</v>
      </c>
      <c r="AJ238" s="159">
        <f t="shared" si="29"/>
        <v>1121.74</v>
      </c>
      <c r="AK238" s="159">
        <f t="shared" si="29"/>
        <v>1169.24</v>
      </c>
      <c r="AL238" s="159">
        <f t="shared" si="29"/>
        <v>1201.6399999999999</v>
      </c>
      <c r="AM238" s="159">
        <f t="shared" si="29"/>
        <v>1198.94</v>
      </c>
      <c r="AN238" s="159">
        <f t="shared" si="29"/>
        <v>1385.34</v>
      </c>
      <c r="AO238" s="159">
        <f t="shared" si="29"/>
        <v>1224.8399999999999</v>
      </c>
      <c r="AP238" s="159">
        <f t="shared" si="29"/>
        <v>1292.24</v>
      </c>
      <c r="AQ238" s="159">
        <f t="shared" si="29"/>
        <v>1339.74</v>
      </c>
      <c r="AR238" s="159">
        <f t="shared" si="29"/>
        <v>1308.54</v>
      </c>
      <c r="AS238" s="159">
        <f t="shared" si="29"/>
        <v>1298.8400000000001</v>
      </c>
      <c r="AT238" s="159">
        <f t="shared" si="29"/>
        <v>1268.1400000000001</v>
      </c>
      <c r="AU238" s="159">
        <f t="shared" si="29"/>
        <v>1252.54</v>
      </c>
      <c r="AV238" s="159">
        <f t="shared" si="29"/>
        <v>1209.24</v>
      </c>
      <c r="AW238" s="159">
        <f t="shared" si="29"/>
        <v>1103.44</v>
      </c>
      <c r="AX238" s="159">
        <f t="shared" si="29"/>
        <v>1091.74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30">C223</f>
        <v>0.64</v>
      </c>
      <c r="C259" s="162">
        <f t="shared" si="30"/>
        <v>0.64</v>
      </c>
      <c r="D259" s="162">
        <f t="shared" si="30"/>
        <v>0.64</v>
      </c>
      <c r="E259" s="162">
        <f t="shared" si="30"/>
        <v>0.64</v>
      </c>
      <c r="F259" s="162">
        <f t="shared" si="30"/>
        <v>0.64</v>
      </c>
      <c r="G259" s="162">
        <f t="shared" si="30"/>
        <v>0.64</v>
      </c>
      <c r="H259" s="162">
        <f t="shared" si="30"/>
        <v>0.64</v>
      </c>
      <c r="I259" s="162">
        <f t="shared" si="30"/>
        <v>0.64</v>
      </c>
      <c r="J259" s="162">
        <f t="shared" si="30"/>
        <v>0.64</v>
      </c>
      <c r="K259" s="162">
        <f t="shared" si="30"/>
        <v>0.64</v>
      </c>
      <c r="L259" s="162">
        <f t="shared" si="30"/>
        <v>0.64</v>
      </c>
      <c r="M259" s="162">
        <f t="shared" si="30"/>
        <v>0.64</v>
      </c>
      <c r="N259" s="162">
        <f t="shared" si="30"/>
        <v>0.64</v>
      </c>
      <c r="O259" s="162">
        <f t="shared" si="30"/>
        <v>0.64</v>
      </c>
      <c r="P259" s="162">
        <f t="shared" si="30"/>
        <v>0</v>
      </c>
      <c r="Q259" s="162">
        <f t="shared" si="30"/>
        <v>0</v>
      </c>
      <c r="R259" s="162">
        <f t="shared" si="30"/>
        <v>0</v>
      </c>
      <c r="S259" s="162">
        <f t="shared" si="30"/>
        <v>0</v>
      </c>
      <c r="T259" s="162">
        <f t="shared" si="30"/>
        <v>0</v>
      </c>
      <c r="U259" s="162">
        <f t="shared" si="30"/>
        <v>0</v>
      </c>
      <c r="V259" s="162">
        <f t="shared" si="30"/>
        <v>0</v>
      </c>
      <c r="W259" s="162">
        <f t="shared" si="30"/>
        <v>0</v>
      </c>
      <c r="X259" s="162">
        <f t="shared" si="30"/>
        <v>0</v>
      </c>
      <c r="Y259" s="162">
        <f t="shared" si="30"/>
        <v>0</v>
      </c>
      <c r="Z259" s="162">
        <f t="shared" si="30"/>
        <v>0</v>
      </c>
      <c r="AA259" s="162">
        <f t="shared" si="30"/>
        <v>0</v>
      </c>
      <c r="AB259" s="162">
        <f t="shared" si="30"/>
        <v>0</v>
      </c>
      <c r="AC259" s="162">
        <f t="shared" si="30"/>
        <v>0</v>
      </c>
      <c r="AD259" s="162">
        <f t="shared" si="30"/>
        <v>0</v>
      </c>
      <c r="AE259" s="162">
        <f t="shared" si="30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31">IF(B227&lt;100,"",B227-520)</f>
        <v/>
      </c>
      <c r="C260" s="163" t="str">
        <f t="shared" si="31"/>
        <v/>
      </c>
      <c r="D260" s="163" t="str">
        <f t="shared" si="31"/>
        <v/>
      </c>
      <c r="E260" s="163" t="str">
        <f t="shared" si="31"/>
        <v/>
      </c>
      <c r="F260" s="163" t="str">
        <f t="shared" si="31"/>
        <v/>
      </c>
      <c r="G260" s="163" t="str">
        <f t="shared" si="31"/>
        <v/>
      </c>
      <c r="H260" s="163" t="str">
        <f t="shared" si="31"/>
        <v/>
      </c>
      <c r="I260" s="163" t="str">
        <f t="shared" si="31"/>
        <v/>
      </c>
      <c r="J260" s="163" t="str">
        <f t="shared" si="31"/>
        <v/>
      </c>
      <c r="K260" s="163" t="str">
        <f t="shared" si="31"/>
        <v/>
      </c>
      <c r="L260" s="163" t="str">
        <f t="shared" si="31"/>
        <v/>
      </c>
      <c r="M260" s="163" t="str">
        <f t="shared" si="31"/>
        <v/>
      </c>
      <c r="N260" s="163" t="str">
        <f t="shared" si="31"/>
        <v/>
      </c>
      <c r="O260" s="163" t="str">
        <f t="shared" si="31"/>
        <v/>
      </c>
      <c r="P260" s="163" t="str">
        <f t="shared" si="31"/>
        <v/>
      </c>
      <c r="Q260" s="163" t="str">
        <f t="shared" si="31"/>
        <v/>
      </c>
      <c r="R260" s="163" t="str">
        <f t="shared" si="31"/>
        <v/>
      </c>
      <c r="S260" s="163" t="str">
        <f t="shared" si="31"/>
        <v/>
      </c>
      <c r="T260" s="163" t="str">
        <f t="shared" si="31"/>
        <v/>
      </c>
      <c r="U260" s="163" t="str">
        <f t="shared" si="31"/>
        <v/>
      </c>
      <c r="V260" s="163" t="str">
        <f t="shared" si="31"/>
        <v/>
      </c>
      <c r="W260" s="163" t="str">
        <f t="shared" si="31"/>
        <v/>
      </c>
      <c r="X260" s="163" t="str">
        <f t="shared" si="31"/>
        <v/>
      </c>
      <c r="Y260" s="163" t="str">
        <f t="shared" si="31"/>
        <v/>
      </c>
      <c r="Z260" s="163" t="str">
        <f t="shared" si="31"/>
        <v/>
      </c>
      <c r="AA260" s="163" t="str">
        <f t="shared" si="31"/>
        <v/>
      </c>
      <c r="AB260" s="163" t="str">
        <f t="shared" si="31"/>
        <v/>
      </c>
      <c r="AC260" s="163" t="str">
        <f t="shared" si="31"/>
        <v/>
      </c>
      <c r="AD260" s="163" t="str">
        <f t="shared" si="31"/>
        <v/>
      </c>
      <c r="AE260" s="163" t="str">
        <f t="shared" si="31"/>
        <v/>
      </c>
      <c r="AF260" s="163" t="str">
        <f t="shared" si="31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32">IF(B228&lt;100,"",B228-620)</f>
        <v/>
      </c>
      <c r="C261" s="163" t="str">
        <f t="shared" si="32"/>
        <v/>
      </c>
      <c r="D261" s="163" t="str">
        <f t="shared" si="32"/>
        <v/>
      </c>
      <c r="E261" s="163" t="str">
        <f t="shared" si="32"/>
        <v/>
      </c>
      <c r="F261" s="163" t="str">
        <f t="shared" si="32"/>
        <v/>
      </c>
      <c r="G261" s="163" t="str">
        <f t="shared" si="32"/>
        <v/>
      </c>
      <c r="H261" s="163" t="str">
        <f t="shared" si="32"/>
        <v/>
      </c>
      <c r="I261" s="163" t="str">
        <f t="shared" si="32"/>
        <v/>
      </c>
      <c r="J261" s="163" t="str">
        <f t="shared" si="32"/>
        <v/>
      </c>
      <c r="K261" s="163" t="str">
        <f t="shared" si="32"/>
        <v/>
      </c>
      <c r="L261" s="163" t="str">
        <f t="shared" si="32"/>
        <v/>
      </c>
      <c r="M261" s="163" t="str">
        <f t="shared" si="32"/>
        <v/>
      </c>
      <c r="N261" s="163" t="str">
        <f t="shared" si="32"/>
        <v/>
      </c>
      <c r="O261" s="163" t="str">
        <f t="shared" si="32"/>
        <v/>
      </c>
      <c r="P261" s="163" t="str">
        <f t="shared" si="32"/>
        <v/>
      </c>
      <c r="Q261" s="163" t="str">
        <f t="shared" si="32"/>
        <v/>
      </c>
      <c r="R261" s="163" t="str">
        <f t="shared" si="32"/>
        <v/>
      </c>
      <c r="S261" s="163" t="str">
        <f t="shared" si="32"/>
        <v/>
      </c>
      <c r="T261" s="163" t="str">
        <f t="shared" si="32"/>
        <v/>
      </c>
      <c r="U261" s="163" t="str">
        <f t="shared" si="32"/>
        <v/>
      </c>
      <c r="V261" s="163" t="str">
        <f t="shared" si="32"/>
        <v/>
      </c>
      <c r="W261" s="163" t="str">
        <f t="shared" si="32"/>
        <v/>
      </c>
      <c r="X261" s="163" t="str">
        <f t="shared" si="32"/>
        <v/>
      </c>
      <c r="Y261" s="163" t="str">
        <f t="shared" si="32"/>
        <v/>
      </c>
      <c r="Z261" s="163" t="str">
        <f t="shared" si="32"/>
        <v/>
      </c>
      <c r="AA261" s="163" t="str">
        <f t="shared" si="32"/>
        <v/>
      </c>
      <c r="AB261" s="163" t="str">
        <f t="shared" si="32"/>
        <v/>
      </c>
      <c r="AC261" s="163" t="str">
        <f t="shared" si="32"/>
        <v/>
      </c>
      <c r="AD261" s="163" t="str">
        <f t="shared" si="32"/>
        <v/>
      </c>
      <c r="AE261" s="163" t="str">
        <f t="shared" si="32"/>
        <v/>
      </c>
      <c r="AF261" s="163" t="str">
        <f t="shared" si="32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3">IF(B229&lt;100,"",B229-330)</f>
        <v/>
      </c>
      <c r="C262" s="163" t="str">
        <f t="shared" si="33"/>
        <v/>
      </c>
      <c r="D262" s="163" t="str">
        <f t="shared" si="33"/>
        <v/>
      </c>
      <c r="E262" s="163" t="str">
        <f t="shared" si="33"/>
        <v/>
      </c>
      <c r="F262" s="163" t="str">
        <f t="shared" si="33"/>
        <v/>
      </c>
      <c r="G262" s="163" t="str">
        <f t="shared" si="33"/>
        <v/>
      </c>
      <c r="H262" s="163" t="str">
        <f t="shared" si="33"/>
        <v/>
      </c>
      <c r="I262" s="163" t="str">
        <f t="shared" si="33"/>
        <v/>
      </c>
      <c r="J262" s="163" t="str">
        <f t="shared" si="33"/>
        <v/>
      </c>
      <c r="K262" s="163" t="str">
        <f t="shared" si="33"/>
        <v/>
      </c>
      <c r="L262" s="163" t="str">
        <f t="shared" si="33"/>
        <v/>
      </c>
      <c r="M262" s="163" t="str">
        <f t="shared" si="33"/>
        <v/>
      </c>
      <c r="N262" s="163" t="str">
        <f t="shared" si="33"/>
        <v/>
      </c>
      <c r="O262" s="163" t="str">
        <f t="shared" si="33"/>
        <v/>
      </c>
      <c r="P262" s="163" t="str">
        <f t="shared" si="33"/>
        <v/>
      </c>
      <c r="Q262" s="163" t="str">
        <f t="shared" si="33"/>
        <v/>
      </c>
      <c r="R262" s="163" t="str">
        <f t="shared" si="33"/>
        <v/>
      </c>
      <c r="S262" s="163" t="str">
        <f t="shared" si="33"/>
        <v/>
      </c>
      <c r="T262" s="163" t="str">
        <f t="shared" si="33"/>
        <v/>
      </c>
      <c r="U262" s="163" t="str">
        <f t="shared" si="33"/>
        <v/>
      </c>
      <c r="V262" s="163" t="str">
        <f t="shared" si="33"/>
        <v/>
      </c>
      <c r="W262" s="163" t="str">
        <f t="shared" si="33"/>
        <v/>
      </c>
      <c r="X262" s="163" t="str">
        <f t="shared" si="33"/>
        <v/>
      </c>
      <c r="Y262" s="163" t="str">
        <f t="shared" si="33"/>
        <v/>
      </c>
      <c r="Z262" s="163" t="str">
        <f t="shared" si="33"/>
        <v/>
      </c>
      <c r="AA262" s="163" t="str">
        <f t="shared" si="33"/>
        <v/>
      </c>
      <c r="AB262" s="163" t="str">
        <f t="shared" si="33"/>
        <v/>
      </c>
      <c r="AC262" s="163" t="str">
        <f t="shared" si="33"/>
        <v/>
      </c>
      <c r="AD262" s="163" t="str">
        <f t="shared" si="33"/>
        <v/>
      </c>
      <c r="AE262" s="163" t="str">
        <f t="shared" si="33"/>
        <v/>
      </c>
      <c r="AF262" s="163" t="str">
        <f t="shared" si="33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4">IF(B230&lt;100,"",B230-1500)</f>
        <v/>
      </c>
      <c r="C263" s="163" t="str">
        <f t="shared" si="34"/>
        <v/>
      </c>
      <c r="D263" s="163" t="str">
        <f t="shared" si="34"/>
        <v/>
      </c>
      <c r="E263" s="163" t="str">
        <f t="shared" si="34"/>
        <v/>
      </c>
      <c r="F263" s="163" t="str">
        <f t="shared" si="34"/>
        <v/>
      </c>
      <c r="G263" s="163" t="str">
        <f t="shared" si="34"/>
        <v/>
      </c>
      <c r="H263" s="163" t="str">
        <f t="shared" si="34"/>
        <v/>
      </c>
      <c r="I263" s="163" t="str">
        <f t="shared" si="34"/>
        <v/>
      </c>
      <c r="J263" s="163" t="str">
        <f t="shared" si="34"/>
        <v/>
      </c>
      <c r="K263" s="163" t="str">
        <f t="shared" si="34"/>
        <v/>
      </c>
      <c r="L263" s="163" t="str">
        <f t="shared" si="34"/>
        <v/>
      </c>
      <c r="M263" s="163" t="str">
        <f t="shared" si="34"/>
        <v/>
      </c>
      <c r="N263" s="163" t="str">
        <f t="shared" si="34"/>
        <v/>
      </c>
      <c r="O263" s="163" t="str">
        <f t="shared" si="34"/>
        <v/>
      </c>
      <c r="P263" s="163" t="str">
        <f t="shared" si="34"/>
        <v/>
      </c>
      <c r="Q263" s="163" t="str">
        <f t="shared" si="34"/>
        <v/>
      </c>
      <c r="R263" s="163" t="str">
        <f t="shared" si="34"/>
        <v/>
      </c>
      <c r="S263" s="163" t="str">
        <f t="shared" si="34"/>
        <v/>
      </c>
      <c r="T263" s="163" t="str">
        <f t="shared" si="34"/>
        <v/>
      </c>
      <c r="U263" s="163" t="str">
        <f t="shared" si="34"/>
        <v/>
      </c>
      <c r="V263" s="163" t="str">
        <f t="shared" si="34"/>
        <v/>
      </c>
      <c r="W263" s="163" t="str">
        <f t="shared" si="34"/>
        <v/>
      </c>
      <c r="X263" s="163" t="str">
        <f t="shared" si="34"/>
        <v/>
      </c>
      <c r="Y263" s="163" t="str">
        <f t="shared" si="34"/>
        <v/>
      </c>
      <c r="Z263" s="163" t="str">
        <f t="shared" si="34"/>
        <v/>
      </c>
      <c r="AA263" s="163" t="str">
        <f t="shared" si="34"/>
        <v/>
      </c>
      <c r="AB263" s="163" t="str">
        <f t="shared" si="34"/>
        <v/>
      </c>
      <c r="AC263" s="163" t="str">
        <f t="shared" si="34"/>
        <v/>
      </c>
      <c r="AD263" s="163" t="str">
        <f t="shared" si="34"/>
        <v/>
      </c>
      <c r="AE263" s="163" t="str">
        <f t="shared" si="34"/>
        <v/>
      </c>
      <c r="AF263" s="163" t="str">
        <f t="shared" si="34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Y11:AF11 B16:AF16 B20:AF23">
    <cfRule type="expression" dxfId="6579" priority="239">
      <formula>B$9&gt;=20/24</formula>
    </cfRule>
    <cfRule type="expression" dxfId="6578" priority="240">
      <formula>AND(B$9&gt;=14/24,B$9&lt;20/24)</formula>
    </cfRule>
    <cfRule type="expression" dxfId="6577" priority="241">
      <formula>AND(B$9&gt;=8/24,B$9&lt;14/24)</formula>
    </cfRule>
    <cfRule type="expression" dxfId="6576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Z39:AF39">
    <cfRule type="expression" dxfId="6575" priority="234">
      <formula>Z$9&gt;=20/24</formula>
    </cfRule>
    <cfRule type="expression" dxfId="6574" priority="235">
      <formula>AND(Z$9&gt;=14/24,Z$9&lt;20/24)</formula>
    </cfRule>
    <cfRule type="expression" dxfId="6573" priority="236">
      <formula>AND(Z$9&gt;=8/24,Z$9&lt;14/24)</formula>
    </cfRule>
    <cfRule type="expression" dxfId="6572" priority="237">
      <formula>Z$9&lt;8/24</formula>
    </cfRule>
  </conditionalFormatting>
  <conditionalFormatting sqref="AG57 B12:X16 Z39:AF39 Y11:AF16 B18:AF18 B37:AF37 B20:AF23">
    <cfRule type="expression" dxfId="6571" priority="233">
      <formula>B11&gt;$AG11</formula>
    </cfRule>
  </conditionalFormatting>
  <conditionalFormatting sqref="A91:A101 A11:A14 A51:A78 A87:A89 A194:A224 A38:A49 A110:A181 A34:A35 A83:A85 A80:A81 A103:A105 A31:A32 A18:A29 A16">
    <cfRule type="expression" dxfId="6570" priority="232">
      <formula>$AH11=0</formula>
    </cfRule>
  </conditionalFormatting>
  <conditionalFormatting sqref="A106">
    <cfRule type="expression" dxfId="6569" priority="231">
      <formula>$AH106=0</formula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6568" priority="229">
      <formula>$AH37=0</formula>
    </cfRule>
  </conditionalFormatting>
  <conditionalFormatting sqref="A90">
    <cfRule type="expression" dxfId="6567" priority="228">
      <formula>$AH90=0</formula>
    </cfRule>
  </conditionalFormatting>
  <conditionalFormatting sqref="A15">
    <cfRule type="expression" dxfId="6566" priority="227">
      <formula>$AH15=0</formula>
    </cfRule>
  </conditionalFormatting>
  <conditionalFormatting sqref="A188:A193">
    <cfRule type="expression" dxfId="6565" priority="226">
      <formula>$AH188=0</formula>
    </cfRule>
  </conditionalFormatting>
  <conditionalFormatting sqref="A182:A187">
    <cfRule type="expression" dxfId="6564" priority="225">
      <formula>$AH182=0</formula>
    </cfRule>
  </conditionalFormatting>
  <conditionalFormatting sqref="A50">
    <cfRule type="expression" dxfId="6563" priority="224">
      <formula>$AH50=0</formula>
    </cfRule>
  </conditionalFormatting>
  <conditionalFormatting sqref="A86">
    <cfRule type="expression" dxfId="6562" priority="223">
      <formula>$AH86=0</formula>
    </cfRule>
  </conditionalFormatting>
  <conditionalFormatting sqref="C91:AF91">
    <cfRule type="expression" dxfId="6561" priority="219">
      <formula>C$9&gt;=20/24</formula>
    </cfRule>
    <cfRule type="expression" dxfId="6560" priority="220">
      <formula>AND(C$9&gt;=14/24,C$9&lt;20/24)</formula>
    </cfRule>
    <cfRule type="expression" dxfId="6559" priority="221">
      <formula>AND(C$9&gt;=8/24,C$9&lt;14/24)</formula>
    </cfRule>
    <cfRule type="expression" dxfId="6558" priority="222">
      <formula>C$9&lt;8/24</formula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557" priority="245">
      <formula>C$9&gt;=20/24</formula>
    </cfRule>
    <cfRule type="expression" dxfId="6556" priority="246">
      <formula>AND(C$9&gt;=14/24,C$9&lt;20/24)</formula>
    </cfRule>
    <cfRule type="expression" dxfId="6555" priority="247">
      <formula>AND(C$9&gt;=8/24,C$9&lt;14/24)</formula>
    </cfRule>
    <cfRule type="expression" dxfId="6554" priority="248">
      <formula>C$9&lt;8/24</formula>
    </cfRule>
  </conditionalFormatting>
  <conditionalFormatting sqref="A225">
    <cfRule type="expression" dxfId="6553" priority="249">
      <formula>$AH225=0</formula>
    </cfRule>
  </conditionalFormatting>
  <conditionalFormatting sqref="AG237">
    <cfRule type="expression" dxfId="6552" priority="250">
      <formula>B$9&gt;=20/24</formula>
    </cfRule>
    <cfRule type="expression" dxfId="6551" priority="251">
      <formula>AND(B$9&gt;=14/24,B$9&lt;20/24)</formula>
    </cfRule>
    <cfRule type="expression" dxfId="6550" priority="252">
      <formula>AND(B$9&gt;=8/24,B$9&lt;14/24)</formula>
    </cfRule>
    <cfRule type="expression" dxfId="6549" priority="253">
      <formula>B$9&lt;8/24</formula>
    </cfRule>
  </conditionalFormatting>
  <conditionalFormatting sqref="S8">
    <cfRule type="expression" dxfId="6548" priority="214">
      <formula>U$9&gt;=20/24</formula>
    </cfRule>
    <cfRule type="expression" dxfId="6547" priority="215">
      <formula>AND(U$9&gt;=14/24,U$9&lt;20/24)</formula>
    </cfRule>
    <cfRule type="expression" dxfId="6546" priority="216">
      <formula>AND(U$9&gt;=8/24,U$9&lt;14/24)</formula>
    </cfRule>
    <cfRule type="expression" dxfId="6545" priority="217">
      <formula>U$9&lt;8/24</formula>
    </cfRule>
  </conditionalFormatting>
  <conditionalFormatting sqref="AB8">
    <cfRule type="expression" dxfId="6544" priority="210">
      <formula>AD$9&gt;=20/24</formula>
    </cfRule>
    <cfRule type="expression" dxfId="6543" priority="211">
      <formula>AND(AD$9&gt;=14/24,AD$9&lt;20/24)</formula>
    </cfRule>
    <cfRule type="expression" dxfId="6542" priority="212">
      <formula>AND(AD$9&gt;=8/24,AD$9&lt;14/24)</formula>
    </cfRule>
    <cfRule type="expression" dxfId="6541" priority="213">
      <formula>AD$9&lt;8/24</formula>
    </cfRule>
  </conditionalFormatting>
  <conditionalFormatting sqref="AH237:AX237">
    <cfRule type="expression" dxfId="6540" priority="254">
      <formula>AG$9&gt;=20/24</formula>
    </cfRule>
    <cfRule type="expression" dxfId="6539" priority="255">
      <formula>AND(AG$9&gt;=14/24,AG$9&lt;20/24)</formula>
    </cfRule>
    <cfRule type="expression" dxfId="6538" priority="256">
      <formula>AND(AG$9&gt;=8/24,AG$9&lt;14/24)</formula>
    </cfRule>
    <cfRule type="expression" dxfId="6537" priority="257">
      <formula>AG$9&lt;8/24</formula>
    </cfRule>
  </conditionalFormatting>
  <conditionalFormatting sqref="T237">
    <cfRule type="expression" dxfId="6536" priority="258">
      <formula>AX$9&gt;=20/24</formula>
    </cfRule>
    <cfRule type="expression" dxfId="6535" priority="259">
      <formula>AND(AX$9&gt;=14/24,AX$9&lt;20/24)</formula>
    </cfRule>
    <cfRule type="expression" dxfId="6534" priority="260">
      <formula>AND(AX$9&gt;=8/24,AX$9&lt;14/24)</formula>
    </cfRule>
    <cfRule type="expression" dxfId="6533" priority="261">
      <formula>AX$9&lt;8/24</formula>
    </cfRule>
  </conditionalFormatting>
  <conditionalFormatting sqref="A107:A108">
    <cfRule type="expression" dxfId="6532" priority="209">
      <formula>$AH107=0</formula>
    </cfRule>
  </conditionalFormatting>
  <conditionalFormatting sqref="H46:N47 V46:AF47 N63:AF63">
    <cfRule type="expression" dxfId="6531" priority="205">
      <formula>H$9&gt;=20/24</formula>
    </cfRule>
    <cfRule type="expression" dxfId="6530" priority="206">
      <formula>AND(H$9&gt;=14/24,H$9&lt;20/24)</formula>
    </cfRule>
    <cfRule type="expression" dxfId="6529" priority="207">
      <formula>AND(H$9&gt;=8/24,H$9&lt;14/24)</formula>
    </cfRule>
    <cfRule type="expression" dxfId="6528" priority="208">
      <formula>H$9&lt;8/24</formula>
    </cfRule>
  </conditionalFormatting>
  <conditionalFormatting sqref="H45:N45 V45:AF45">
    <cfRule type="expression" dxfId="6527" priority="201">
      <formula>H$9&gt;=20/24</formula>
    </cfRule>
    <cfRule type="expression" dxfId="6526" priority="202">
      <formula>AND(H$9&gt;=14/24,H$9&lt;20/24)</formula>
    </cfRule>
    <cfRule type="expression" dxfId="6525" priority="203">
      <formula>AND(H$9&gt;=8/24,H$9&lt;14/24)</formula>
    </cfRule>
    <cfRule type="expression" dxfId="6524" priority="204">
      <formula>H$9&lt;8/24</formula>
    </cfRule>
  </conditionalFormatting>
  <conditionalFormatting sqref="H45:N47 V45:AF47">
    <cfRule type="expression" dxfId="6523" priority="200">
      <formula>H45&gt;$AG45</formula>
    </cfRule>
  </conditionalFormatting>
  <conditionalFormatting sqref="C88:AF88 S59:AF61 M39:Y39 N64:AD65 AB66:AD73 D92:AF98 C75:AF78 Z38:AF38 Z25:AF27 Z29:AF29 Y12:AF14 Y18:AF18 Z31:AF34 AE64:AF73">
    <cfRule type="expression" dxfId="6522" priority="196">
      <formula>C$9&gt;=20/24</formula>
    </cfRule>
    <cfRule type="expression" dxfId="6521" priority="197">
      <formula>AND(C$9&gt;=14/24,C$9&lt;20/24)</formula>
    </cfRule>
    <cfRule type="expression" dxfId="6520" priority="198">
      <formula>AND(C$9&gt;=8/24,C$9&lt;14/24)</formula>
    </cfRule>
    <cfRule type="expression" dxfId="6519" priority="199">
      <formula>C$9&lt;8/24</formula>
    </cfRule>
  </conditionalFormatting>
  <conditionalFormatting sqref="Z35:AF35">
    <cfRule type="expression" dxfId="6518" priority="192">
      <formula>Z$9&gt;=20/24</formula>
    </cfRule>
    <cfRule type="expression" dxfId="6517" priority="193">
      <formula>AND(Z$9&gt;=14/24,Z$9&lt;20/24)</formula>
    </cfRule>
    <cfRule type="expression" dxfId="6516" priority="194">
      <formula>AND(Z$9&gt;=8/24,Z$9&lt;14/24)</formula>
    </cfRule>
    <cfRule type="expression" dxfId="6515" priority="195">
      <formula>Z$9&lt;8/24</formula>
    </cfRule>
  </conditionalFormatting>
  <conditionalFormatting sqref="C57:AF57 S59:AF61 H48:N48 M39:Y39 Z38:AF38 Z25:AF29 Z31:AF35 AD48:AF49">
    <cfRule type="expression" dxfId="6514" priority="191">
      <formula>C25&gt;$AG25</formula>
    </cfRule>
  </conditionalFormatting>
  <conditionalFormatting sqref="Z37:AF37">
    <cfRule type="expression" dxfId="6513" priority="187">
      <formula>Z$9&gt;=20/24</formula>
    </cfRule>
    <cfRule type="expression" dxfId="6512" priority="188">
      <formula>AND(Z$9&gt;=14/24,Z$9&lt;20/24)</formula>
    </cfRule>
    <cfRule type="expression" dxfId="6511" priority="189">
      <formula>AND(Z$9&gt;=8/24,Z$9&lt;14/24)</formula>
    </cfRule>
    <cfRule type="expression" dxfId="6510" priority="190">
      <formula>Z$9&lt;8/24</formula>
    </cfRule>
  </conditionalFormatting>
  <conditionalFormatting sqref="Y15:AF15">
    <cfRule type="expression" dxfId="6509" priority="183">
      <formula>Y$9&gt;=20/24</formula>
    </cfRule>
    <cfRule type="expression" dxfId="6508" priority="184">
      <formula>AND(Y$9&gt;=14/24,Y$9&lt;20/24)</formula>
    </cfRule>
    <cfRule type="expression" dxfId="6507" priority="185">
      <formula>AND(Y$9&gt;=8/24,Y$9&lt;14/24)</formula>
    </cfRule>
    <cfRule type="expression" dxfId="6506" priority="186">
      <formula>Y$9&lt;8/24</formula>
    </cfRule>
  </conditionalFormatting>
  <conditionalFormatting sqref="Z36:AF36">
    <cfRule type="expression" dxfId="6505" priority="179">
      <formula>Z$9&gt;=20/24</formula>
    </cfRule>
    <cfRule type="expression" dxfId="6504" priority="180">
      <formula>AND(Z$9&gt;=14/24,Z$9&lt;20/24)</formula>
    </cfRule>
    <cfRule type="expression" dxfId="6503" priority="181">
      <formula>AND(Z$9&gt;=8/24,Z$9&lt;14/24)</formula>
    </cfRule>
    <cfRule type="expression" dxfId="6502" priority="182">
      <formula>Z$9&lt;8/24</formula>
    </cfRule>
  </conditionalFormatting>
  <conditionalFormatting sqref="Z36:AF36">
    <cfRule type="expression" dxfId="6501" priority="178">
      <formula>Z36&gt;$AG36</formula>
    </cfRule>
  </conditionalFormatting>
  <conditionalFormatting sqref="V48:AC49 AE50:AF56">
    <cfRule type="expression" dxfId="6500" priority="174">
      <formula>V$9&gt;=20/24</formula>
    </cfRule>
    <cfRule type="expression" dxfId="6499" priority="175">
      <formula>AND(V$9&gt;=14/24,V$9&lt;20/24)</formula>
    </cfRule>
    <cfRule type="expression" dxfId="6498" priority="176">
      <formula>AND(V$9&gt;=8/24,V$9&lt;14/24)</formula>
    </cfRule>
    <cfRule type="expression" dxfId="6497" priority="177">
      <formula>V$9&lt;8/24</formula>
    </cfRule>
  </conditionalFormatting>
  <conditionalFormatting sqref="V48:AC49 AE50:AF56">
    <cfRule type="expression" dxfId="6496" priority="173">
      <formula>V48&gt;$AG48</formula>
    </cfRule>
  </conditionalFormatting>
  <conditionalFormatting sqref="O45:U49 V51:AD51">
    <cfRule type="expression" dxfId="6495" priority="169">
      <formula>O$9&gt;=20/24</formula>
    </cfRule>
    <cfRule type="expression" dxfId="6494" priority="170">
      <formula>AND(O$9&gt;=14/24,O$9&lt;20/24)</formula>
    </cfRule>
    <cfRule type="expression" dxfId="6493" priority="171">
      <formula>AND(O$9&gt;=8/24,O$9&lt;14/24)</formula>
    </cfRule>
    <cfRule type="expression" dxfId="6492" priority="172">
      <formula>O$9&lt;8/24</formula>
    </cfRule>
  </conditionalFormatting>
  <conditionalFormatting sqref="O45:U49 V51:AD51">
    <cfRule type="expression" dxfId="6491" priority="168">
      <formula>O45&gt;$AG45</formula>
    </cfRule>
  </conditionalFormatting>
  <conditionalFormatting sqref="Z28:AF28">
    <cfRule type="expression" dxfId="6490" priority="164">
      <formula>Z$9&gt;=20/24</formula>
    </cfRule>
    <cfRule type="expression" dxfId="6489" priority="165">
      <formula>AND(Z$9&gt;=14/24,Z$9&lt;20/24)</formula>
    </cfRule>
    <cfRule type="expression" dxfId="6488" priority="166">
      <formula>AND(Z$9&gt;=8/24,Z$9&lt;14/24)</formula>
    </cfRule>
    <cfRule type="expression" dxfId="6487" priority="167">
      <formula>Z$9&lt;8/24</formula>
    </cfRule>
  </conditionalFormatting>
  <conditionalFormatting sqref="Y19:AF19 Z24:AF24">
    <cfRule type="expression" dxfId="6486" priority="160">
      <formula>Y$9&gt;=20/24</formula>
    </cfRule>
    <cfRule type="expression" dxfId="6485" priority="161">
      <formula>AND(Y$9&gt;=14/24,Y$9&lt;20/24)</formula>
    </cfRule>
    <cfRule type="expression" dxfId="6484" priority="162">
      <formula>AND(Y$9&gt;=8/24,Y$9&lt;14/24)</formula>
    </cfRule>
    <cfRule type="expression" dxfId="6483" priority="163">
      <formula>Y$9&lt;8/24</formula>
    </cfRule>
  </conditionalFormatting>
  <conditionalFormatting sqref="Y19:AF19 Z24:AF24">
    <cfRule type="expression" dxfId="6482" priority="159">
      <formula>Y19&gt;$AG19</formula>
    </cfRule>
  </conditionalFormatting>
  <conditionalFormatting sqref="B101 B80:AF80 B89:AF89 B103:B108 B11:X11">
    <cfRule type="expression" dxfId="6481" priority="141">
      <formula>B$9&gt;=20/24</formula>
    </cfRule>
    <cfRule type="expression" dxfId="6480" priority="142">
      <formula>AND(B$9&gt;=14/24,B$9&lt;20/24)</formula>
    </cfRule>
    <cfRule type="expression" dxfId="6479" priority="143">
      <formula>AND(B$9&gt;=8/24,B$9&lt;14/24)</formula>
    </cfRule>
    <cfRule type="expression" dxfId="6478" priority="144">
      <formula>B$9&lt;8/24</formula>
    </cfRule>
  </conditionalFormatting>
  <conditionalFormatting sqref="B39:L39">
    <cfRule type="expression" dxfId="6477" priority="137">
      <formula>B$9&gt;=20/24</formula>
    </cfRule>
    <cfRule type="expression" dxfId="6476" priority="138">
      <formula>AND(B$9&gt;=14/24,B$9&lt;20/24)</formula>
    </cfRule>
    <cfRule type="expression" dxfId="6475" priority="139">
      <formula>AND(B$9&gt;=8/24,B$9&lt;14/24)</formula>
    </cfRule>
    <cfRule type="expression" dxfId="6474" priority="140">
      <formula>B$9&lt;8/24</formula>
    </cfRule>
  </conditionalFormatting>
  <conditionalFormatting sqref="B39:L39 B11:X11">
    <cfRule type="expression" dxfId="6473" priority="136">
      <formula>B11&gt;$AG11</formula>
    </cfRule>
  </conditionalFormatting>
  <conditionalFormatting sqref="B91">
    <cfRule type="expression" dxfId="6472" priority="132">
      <formula>B$9&gt;=20/24</formula>
    </cfRule>
    <cfRule type="expression" dxfId="6471" priority="133">
      <formula>AND(B$9&gt;=14/24,B$9&lt;20/24)</formula>
    </cfRule>
    <cfRule type="expression" dxfId="6470" priority="134">
      <formula>AND(B$9&gt;=8/24,B$9&lt;14/24)</formula>
    </cfRule>
    <cfRule type="expression" dxfId="6469" priority="135">
      <formula>B$9&lt;8/24</formula>
    </cfRule>
  </conditionalFormatting>
  <conditionalFormatting sqref="B46:G47 B63:M63 B38:Y38">
    <cfRule type="expression" dxfId="6468" priority="128">
      <formula>B$9&gt;=20/24</formula>
    </cfRule>
    <cfRule type="expression" dxfId="6467" priority="129">
      <formula>AND(B$9&gt;=14/24,B$9&lt;20/24)</formula>
    </cfRule>
    <cfRule type="expression" dxfId="6466" priority="130">
      <formula>AND(B$9&gt;=8/24,B$9&lt;14/24)</formula>
    </cfRule>
    <cfRule type="expression" dxfId="6465" priority="131">
      <formula>B$9&lt;8/24</formula>
    </cfRule>
  </conditionalFormatting>
  <conditionalFormatting sqref="B45:G45">
    <cfRule type="expression" dxfId="6464" priority="124">
      <formula>B$9&gt;=20/24</formula>
    </cfRule>
    <cfRule type="expression" dxfId="6463" priority="125">
      <formula>AND(B$9&gt;=14/24,B$9&lt;20/24)</formula>
    </cfRule>
    <cfRule type="expression" dxfId="6462" priority="126">
      <formula>AND(B$9&gt;=8/24,B$9&lt;14/24)</formula>
    </cfRule>
    <cfRule type="expression" dxfId="6461" priority="127">
      <formula>B$9&lt;8/24</formula>
    </cfRule>
  </conditionalFormatting>
  <conditionalFormatting sqref="B45:G47 B38:Y38">
    <cfRule type="expression" dxfId="6460" priority="123">
      <formula>B38&gt;$AG38</formula>
    </cfRule>
  </conditionalFormatting>
  <conditionalFormatting sqref="B59:B62 B75:B79 B81:AF81 B88 C62:AG62 C79:AG79 B90:AF90 B92:C98 C59:R61 B64:M73 B12:X14 B18:X18 B25:Y27 B29:Y29 B31:Y34 N66:AA73">
    <cfRule type="expression" dxfId="6459" priority="119">
      <formula>B$9&gt;=20/24</formula>
    </cfRule>
    <cfRule type="expression" dxfId="6458" priority="120">
      <formula>AND(B$9&gt;=14/24,B$9&lt;20/24)</formula>
    </cfRule>
    <cfRule type="expression" dxfId="6457" priority="121">
      <formula>AND(B$9&gt;=8/24,B$9&lt;14/24)</formula>
    </cfRule>
    <cfRule type="expression" dxfId="6456" priority="122">
      <formula>B$9&lt;8/24</formula>
    </cfRule>
  </conditionalFormatting>
  <conditionalFormatting sqref="B35:Y35">
    <cfRule type="expression" dxfId="6455" priority="115">
      <formula>B$9&gt;=20/24</formula>
    </cfRule>
    <cfRule type="expression" dxfId="6454" priority="116">
      <formula>AND(B$9&gt;=14/24,B$9&lt;20/24)</formula>
    </cfRule>
    <cfRule type="expression" dxfId="6453" priority="117">
      <formula>AND(B$9&gt;=8/24,B$9&lt;14/24)</formula>
    </cfRule>
    <cfRule type="expression" dxfId="6452" priority="118">
      <formula>B$9&lt;8/24</formula>
    </cfRule>
  </conditionalFormatting>
  <conditionalFormatting sqref="B57:B62 B40:AG40 C58:AG58 C62:AG62 C59:R61 B48:G49 H49:N49 B25:Y29 B31:Y35">
    <cfRule type="expression" dxfId="6451" priority="114">
      <formula>B25&gt;$AG25</formula>
    </cfRule>
  </conditionalFormatting>
  <conditionalFormatting sqref="B37:Y37">
    <cfRule type="expression" dxfId="6450" priority="110">
      <formula>B$9&gt;=20/24</formula>
    </cfRule>
    <cfRule type="expression" dxfId="6449" priority="111">
      <formula>AND(B$9&gt;=14/24,B$9&lt;20/24)</formula>
    </cfRule>
    <cfRule type="expression" dxfId="6448" priority="112">
      <formula>AND(B$9&gt;=8/24,B$9&lt;14/24)</formula>
    </cfRule>
    <cfRule type="expression" dxfId="6447" priority="113">
      <formula>B$9&lt;8/24</formula>
    </cfRule>
  </conditionalFormatting>
  <conditionalFormatting sqref="B15:X15">
    <cfRule type="expression" dxfId="6446" priority="106">
      <formula>B$9&gt;=20/24</formula>
    </cfRule>
    <cfRule type="expression" dxfId="6445" priority="107">
      <formula>AND(B$9&gt;=14/24,B$9&lt;20/24)</formula>
    </cfRule>
    <cfRule type="expression" dxfId="6444" priority="108">
      <formula>AND(B$9&gt;=8/24,B$9&lt;14/24)</formula>
    </cfRule>
    <cfRule type="expression" dxfId="6443" priority="109">
      <formula>B$9&lt;8/24</formula>
    </cfRule>
  </conditionalFormatting>
  <conditionalFormatting sqref="B36:Y36">
    <cfRule type="expression" dxfId="6442" priority="102">
      <formula>B$9&gt;=20/24</formula>
    </cfRule>
    <cfRule type="expression" dxfId="6441" priority="103">
      <formula>AND(B$9&gt;=14/24,B$9&lt;20/24)</formula>
    </cfRule>
    <cfRule type="expression" dxfId="6440" priority="104">
      <formula>AND(B$9&gt;=8/24,B$9&lt;14/24)</formula>
    </cfRule>
    <cfRule type="expression" dxfId="6439" priority="105">
      <formula>B$9&lt;8/24</formula>
    </cfRule>
  </conditionalFormatting>
  <conditionalFormatting sqref="B36:Y36">
    <cfRule type="expression" dxfId="6438" priority="101">
      <formula>B36&gt;$AG36</formula>
    </cfRule>
  </conditionalFormatting>
  <conditionalFormatting sqref="B51:U56 B50:AD50 V53:AD56">
    <cfRule type="expression" dxfId="6437" priority="97">
      <formula>B$9&gt;=20/24</formula>
    </cfRule>
    <cfRule type="expression" dxfId="6436" priority="98">
      <formula>AND(B$9&gt;=14/24,B$9&lt;20/24)</formula>
    </cfRule>
    <cfRule type="expression" dxfId="6435" priority="99">
      <formula>AND(B$9&gt;=8/24,B$9&lt;14/24)</formula>
    </cfRule>
    <cfRule type="expression" dxfId="6434" priority="100">
      <formula>B$9&lt;8/24</formula>
    </cfRule>
  </conditionalFormatting>
  <conditionalFormatting sqref="B51:U56 B50:AD50 V53:AD56">
    <cfRule type="expression" dxfId="6433" priority="96">
      <formula>B50&gt;$AG50</formula>
    </cfRule>
  </conditionalFormatting>
  <conditionalFormatting sqref="B28:Y28">
    <cfRule type="expression" dxfId="6432" priority="92">
      <formula>B$9&gt;=20/24</formula>
    </cfRule>
    <cfRule type="expression" dxfId="6431" priority="93">
      <formula>AND(B$9&gt;=14/24,B$9&lt;20/24)</formula>
    </cfRule>
    <cfRule type="expression" dxfId="6430" priority="94">
      <formula>AND(B$9&gt;=8/24,B$9&lt;14/24)</formula>
    </cfRule>
    <cfRule type="expression" dxfId="6429" priority="95">
      <formula>B$9&lt;8/24</formula>
    </cfRule>
  </conditionalFormatting>
  <conditionalFormatting sqref="B19:X19 B24:Y24">
    <cfRule type="expression" dxfId="6428" priority="88">
      <formula>B$9&gt;=20/24</formula>
    </cfRule>
    <cfRule type="expression" dxfId="6427" priority="89">
      <formula>AND(B$9&gt;=14/24,B$9&lt;20/24)</formula>
    </cfRule>
    <cfRule type="expression" dxfId="6426" priority="90">
      <formula>AND(B$9&gt;=8/24,B$9&lt;14/24)</formula>
    </cfRule>
    <cfRule type="expression" dxfId="6425" priority="91">
      <formula>B$9&lt;8/24</formula>
    </cfRule>
  </conditionalFormatting>
  <conditionalFormatting sqref="B19:X19 B24:Y24">
    <cfRule type="expression" dxfId="6424" priority="87">
      <formula>B19&gt;$AG19</formula>
    </cfRule>
  </conditionalFormatting>
  <conditionalFormatting sqref="A36">
    <cfRule type="expression" dxfId="6423" priority="86">
      <formula>$AH36=0</formula>
    </cfRule>
  </conditionalFormatting>
  <conditionalFormatting sqref="B74:AF74">
    <cfRule type="expression" dxfId="6422" priority="82">
      <formula>B$9&gt;=20/24</formula>
    </cfRule>
    <cfRule type="expression" dxfId="6421" priority="83">
      <formula>AND(B$9&gt;=14/24,B$9&lt;20/24)</formula>
    </cfRule>
    <cfRule type="expression" dxfId="6420" priority="84">
      <formula>AND(B$9&gt;=8/24,B$9&lt;14/24)</formula>
    </cfRule>
    <cfRule type="expression" dxfId="6419" priority="85">
      <formula>B$9&lt;8/24</formula>
    </cfRule>
  </conditionalFormatting>
  <conditionalFormatting sqref="B83:AF87">
    <cfRule type="expression" dxfId="6418" priority="78">
      <formula>B$9&gt;=20/24</formula>
    </cfRule>
    <cfRule type="expression" dxfId="6417" priority="79">
      <formula>AND(B$9&gt;=14/24,B$9&lt;20/24)</formula>
    </cfRule>
    <cfRule type="expression" dxfId="6416" priority="80">
      <formula>AND(B$9&gt;=8/24,B$9&lt;14/24)</formula>
    </cfRule>
    <cfRule type="expression" dxfId="6415" priority="81">
      <formula>B$9&lt;8/24</formula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M42:Q42 N41:Q41 N43:Q43 R41:AF43">
    <cfRule type="expression" dxfId="6414" priority="74">
      <formula>M$9&gt;=20/24</formula>
    </cfRule>
    <cfRule type="expression" dxfId="6413" priority="75">
      <formula>AND(M$9&gt;=14/24,M$9&lt;20/24)</formula>
    </cfRule>
    <cfRule type="expression" dxfId="6412" priority="76">
      <formula>AND(M$9&gt;=8/24,M$9&lt;14/24)</formula>
    </cfRule>
    <cfRule type="expression" dxfId="6411" priority="77">
      <formula>M$9&lt;8/24</formula>
    </cfRule>
  </conditionalFormatting>
  <conditionalFormatting sqref="M42:Q42 N41:Q41 N43:Q43 R41:AF43">
    <cfRule type="expression" dxfId="6410" priority="73">
      <formula>M41&gt;$AG41</formula>
    </cfRule>
  </conditionalFormatting>
  <conditionalFormatting sqref="B41:B44 C44:AG44 C41:L43 M41 M43">
    <cfRule type="expression" dxfId="6409" priority="69">
      <formula>B$9&gt;=20/24</formula>
    </cfRule>
    <cfRule type="expression" dxfId="6408" priority="70">
      <formula>AND(B$9&gt;=14/24,B$9&lt;20/24)</formula>
    </cfRule>
    <cfRule type="expression" dxfId="6407" priority="71">
      <formula>AND(B$9&gt;=8/24,B$9&lt;14/24)</formula>
    </cfRule>
    <cfRule type="expression" dxfId="6406" priority="72">
      <formula>B$9&lt;8/24</formula>
    </cfRule>
  </conditionalFormatting>
  <conditionalFormatting sqref="B41:B44 C44:AG44 C41:L43 M41 M43">
    <cfRule type="expression" dxfId="6405" priority="68">
      <formula>B41&gt;$AG41</formula>
    </cfRule>
  </conditionalFormatting>
  <conditionalFormatting sqref="C99:AF99">
    <cfRule type="expression" dxfId="6404" priority="64">
      <formula>C$9&gt;=20/24</formula>
    </cfRule>
    <cfRule type="expression" dxfId="6403" priority="65">
      <formula>AND(C$9&gt;=14/24,C$9&lt;20/24)</formula>
    </cfRule>
    <cfRule type="expression" dxfId="6402" priority="66">
      <formula>AND(C$9&gt;=8/24,C$9&lt;14/24)</formula>
    </cfRule>
    <cfRule type="expression" dxfId="6401" priority="67">
      <formula>C$9&lt;8/24</formula>
    </cfRule>
  </conditionalFormatting>
  <conditionalFormatting sqref="B99">
    <cfRule type="expression" dxfId="6400" priority="60">
      <formula>B$9&gt;=20/24</formula>
    </cfRule>
    <cfRule type="expression" dxfId="6399" priority="61">
      <formula>AND(B$9&gt;=14/24,B$9&lt;20/24)</formula>
    </cfRule>
    <cfRule type="expression" dxfId="6398" priority="62">
      <formula>AND(B$9&gt;=8/24,B$9&lt;14/24)</formula>
    </cfRule>
    <cfRule type="expression" dxfId="6397" priority="63">
      <formula>B$9&lt;8/24</formula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6396" priority="54">
      <formula>$AH33=0</formula>
    </cfRule>
  </conditionalFormatting>
  <conditionalFormatting sqref="A82">
    <cfRule type="expression" dxfId="6395" priority="52">
      <formula>$AH82=0</formula>
    </cfRule>
  </conditionalFormatting>
  <conditionalFormatting sqref="A79">
    <cfRule type="expression" dxfId="6394" priority="53">
      <formula>$AH79=0</formula>
    </cfRule>
  </conditionalFormatting>
  <conditionalFormatting sqref="A109">
    <cfRule type="expression" dxfId="6393" priority="43">
      <formula>$AH109=0</formula>
    </cfRule>
  </conditionalFormatting>
  <conditionalFormatting sqref="C102:AF102">
    <cfRule type="expression" dxfId="6392" priority="39">
      <formula>C$9&gt;=20/24</formula>
    </cfRule>
    <cfRule type="expression" dxfId="6391" priority="40">
      <formula>AND(C$9&gt;=14/24,C$9&lt;20/24)</formula>
    </cfRule>
    <cfRule type="expression" dxfId="6390" priority="41">
      <formula>AND(C$9&gt;=8/24,C$9&lt;14/24)</formula>
    </cfRule>
    <cfRule type="expression" dxfId="6389" priority="42">
      <formula>C$9&lt;8/24</formula>
    </cfRule>
  </conditionalFormatting>
  <conditionalFormatting sqref="A102">
    <cfRule type="expression" dxfId="6388" priority="38">
      <formula>$AH102=0</formula>
    </cfRule>
  </conditionalFormatting>
  <conditionalFormatting sqref="B102">
    <cfRule type="expression" dxfId="6387" priority="34">
      <formula>B$9&gt;=20/24</formula>
    </cfRule>
    <cfRule type="expression" dxfId="6386" priority="35">
      <formula>AND(B$9&gt;=14/24,B$9&lt;20/24)</formula>
    </cfRule>
    <cfRule type="expression" dxfId="6385" priority="36">
      <formula>AND(B$9&gt;=8/24,B$9&lt;14/24)</formula>
    </cfRule>
    <cfRule type="expression" dxfId="6384" priority="37">
      <formula>B$9&lt;8/24</formula>
    </cfRule>
  </conditionalFormatting>
  <conditionalFormatting sqref="V52:AD52">
    <cfRule type="expression" dxfId="6383" priority="30">
      <formula>V$9&gt;=20/24</formula>
    </cfRule>
    <cfRule type="expression" dxfId="6382" priority="31">
      <formula>AND(V$9&gt;=14/24,V$9&lt;20/24)</formula>
    </cfRule>
    <cfRule type="expression" dxfId="6381" priority="32">
      <formula>AND(V$9&gt;=8/24,V$9&lt;14/24)</formula>
    </cfRule>
    <cfRule type="expression" dxfId="6380" priority="33">
      <formula>V$9&lt;8/24</formula>
    </cfRule>
  </conditionalFormatting>
  <conditionalFormatting sqref="V52:AD52">
    <cfRule type="expression" dxfId="6379" priority="29">
      <formula>V52&gt;$AG52</formula>
    </cfRule>
  </conditionalFormatting>
  <conditionalFormatting sqref="B17:AF17">
    <cfRule type="expression" dxfId="6378" priority="27">
      <formula>B17&gt;$AG17</formula>
    </cfRule>
  </conditionalFormatting>
  <conditionalFormatting sqref="A17">
    <cfRule type="expression" dxfId="6377" priority="26">
      <formula>$AH17=0</formula>
    </cfRule>
  </conditionalFormatting>
  <conditionalFormatting sqref="Y17:AF17">
    <cfRule type="expression" dxfId="6376" priority="22">
      <formula>Y$9&gt;=20/24</formula>
    </cfRule>
    <cfRule type="expression" dxfId="6375" priority="23">
      <formula>AND(Y$9&gt;=14/24,Y$9&lt;20/24)</formula>
    </cfRule>
    <cfRule type="expression" dxfId="6374" priority="24">
      <formula>AND(Y$9&gt;=8/24,Y$9&lt;14/24)</formula>
    </cfRule>
    <cfRule type="expression" dxfId="6373" priority="25">
      <formula>Y$9&lt;8/24</formula>
    </cfRule>
  </conditionalFormatting>
  <conditionalFormatting sqref="B17:X17">
    <cfRule type="expression" dxfId="6372" priority="18">
      <formula>B$9&gt;=20/24</formula>
    </cfRule>
    <cfRule type="expression" dxfId="6371" priority="19">
      <formula>AND(B$9&gt;=14/24,B$9&lt;20/24)</formula>
    </cfRule>
    <cfRule type="expression" dxfId="6370" priority="20">
      <formula>AND(B$9&gt;=8/24,B$9&lt;14/24)</formula>
    </cfRule>
    <cfRule type="expression" dxfId="6369" priority="21">
      <formula>B$9&lt;8/24</formula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6368" priority="16">
      <formula>$AH30=0</formula>
    </cfRule>
  </conditionalFormatting>
  <conditionalFormatting sqref="Z30:AF30">
    <cfRule type="expression" dxfId="6367" priority="12">
      <formula>Z$9&gt;=20/24</formula>
    </cfRule>
    <cfRule type="expression" dxfId="6366" priority="13">
      <formula>AND(Z$9&gt;=14/24,Z$9&lt;20/24)</formula>
    </cfRule>
    <cfRule type="expression" dxfId="6365" priority="14">
      <formula>AND(Z$9&gt;=8/24,Z$9&lt;14/24)</formula>
    </cfRule>
    <cfRule type="expression" dxfId="6364" priority="15">
      <formula>Z$9&lt;8/24</formula>
    </cfRule>
  </conditionalFormatting>
  <conditionalFormatting sqref="Z30:AF30">
    <cfRule type="expression" dxfId="6363" priority="11">
      <formula>Z30&gt;$AG30</formula>
    </cfRule>
  </conditionalFormatting>
  <conditionalFormatting sqref="B30:Y30">
    <cfRule type="expression" dxfId="6362" priority="2">
      <formula>B$9&gt;=20/24</formula>
    </cfRule>
    <cfRule type="expression" dxfId="6361" priority="3">
      <formula>AND(B$9&gt;=14/24,B$9&lt;20/24)</formula>
    </cfRule>
    <cfRule type="expression" dxfId="6360" priority="4">
      <formula>AND(B$9&gt;=8/24,B$9&lt;14/24)</formula>
    </cfRule>
    <cfRule type="expression" dxfId="6359" priority="5">
      <formula>B$9&lt;8/24</formula>
    </cfRule>
  </conditionalFormatting>
  <conditionalFormatting sqref="B30:Y30">
    <cfRule type="expression" dxfId="6358" priority="1">
      <formula>B30&gt;$AG30</formula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E691E913-2EE1-47BC-A4CA-6DFA37C5E26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C87AA4AE-96A6-46B8-8C1B-F887C5235FC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7C5FAC8B-315A-4751-8764-CA4EA4D051A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25B8BEFB-DC5A-49BB-B3C7-24FDA350A68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8" id="{C2666C2A-63C2-44BC-A914-5B9C8BC0EE5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8DF9EA76-76BC-4783-90CF-D5412C7ED1EE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3CC043F2-7E57-49F8-A2BD-52B5A5B4AD6E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DB30AA9B-AEC6-40BC-BA03-9CE5AE9866BE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4" id="{6D1CA907-AEBD-4F63-9BE2-E1CBA0C3C1E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7455D947-083D-46FF-B573-0511927F97E0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CBA86E9D-8FEA-4A28-8503-6002B9A2A75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0531E58F-62D2-4DA7-82AC-898AC6192A47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J270"/>
  <sheetViews>
    <sheetView zoomScale="90" zoomScaleNormal="90" workbookViewId="0">
      <pane xSplit="1" ySplit="10" topLeftCell="E23" activePane="bottomRight" state="frozen"/>
      <selection activeCell="AF88" sqref="AF88"/>
      <selection pane="topRight" activeCell="AF88" sqref="AF88"/>
      <selection pane="bottomLeft" activeCell="AF88" sqref="AF88"/>
      <selection pane="bottomRight" activeCell="AF75" sqref="AF7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2079/06/16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181.8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2.7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1263MW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Load=1047</v>
      </c>
      <c r="B7" s="35">
        <f t="shared" ref="B7:AF7" si="1">B81</f>
        <v>1071.1399999999999</v>
      </c>
      <c r="C7" s="35">
        <f t="shared" si="1"/>
        <v>1061.44</v>
      </c>
      <c r="D7" s="35">
        <f t="shared" si="1"/>
        <v>1237.6399999999999</v>
      </c>
      <c r="E7" s="35">
        <f t="shared" si="1"/>
        <v>1047.04</v>
      </c>
      <c r="F7" s="35">
        <f t="shared" si="1"/>
        <v>1055.8399999999999</v>
      </c>
      <c r="G7" s="35">
        <f t="shared" si="1"/>
        <v>1103.74</v>
      </c>
      <c r="H7" s="35">
        <f t="shared" si="1"/>
        <v>1148.44</v>
      </c>
      <c r="I7" s="35">
        <f t="shared" si="1"/>
        <v>1179.04</v>
      </c>
      <c r="J7" s="35">
        <f t="shared" si="1"/>
        <v>1239.94</v>
      </c>
      <c r="K7" s="35">
        <f t="shared" si="1"/>
        <v>1260.94</v>
      </c>
      <c r="L7" s="35">
        <f t="shared" si="1"/>
        <v>1197.3400000000001</v>
      </c>
      <c r="M7" s="35">
        <f t="shared" si="1"/>
        <v>1262.6399999999999</v>
      </c>
      <c r="N7" s="35">
        <f t="shared" si="1"/>
        <v>1243.8399999999999</v>
      </c>
      <c r="O7" s="35">
        <f t="shared" si="1"/>
        <v>1205.44</v>
      </c>
      <c r="P7" s="35">
        <f t="shared" si="1"/>
        <v>1207.24</v>
      </c>
      <c r="Q7" s="35">
        <f t="shared" si="1"/>
        <v>1181.6399999999999</v>
      </c>
      <c r="R7" s="35">
        <f t="shared" si="1"/>
        <v>1182.44</v>
      </c>
      <c r="S7" s="35">
        <f t="shared" si="1"/>
        <v>1210.3400000000001</v>
      </c>
      <c r="T7" s="35">
        <f t="shared" si="1"/>
        <v>1219.74</v>
      </c>
      <c r="U7" s="35">
        <f t="shared" si="1"/>
        <v>1219.74</v>
      </c>
      <c r="V7" s="35">
        <f t="shared" si="1"/>
        <v>1239.54</v>
      </c>
      <c r="W7" s="35">
        <f t="shared" si="1"/>
        <v>1298.24</v>
      </c>
      <c r="X7" s="35">
        <f t="shared" si="1"/>
        <v>1365.8400000000001</v>
      </c>
      <c r="Y7" s="35">
        <f t="shared" si="1"/>
        <v>1323.14</v>
      </c>
      <c r="Z7" s="35">
        <f t="shared" si="1"/>
        <v>1327.04</v>
      </c>
      <c r="AA7" s="35">
        <f t="shared" si="1"/>
        <v>1276.6400000000001</v>
      </c>
      <c r="AB7" s="35">
        <f t="shared" si="1"/>
        <v>1254.24</v>
      </c>
      <c r="AC7" s="35">
        <f t="shared" si="1"/>
        <v>1252.24</v>
      </c>
      <c r="AD7" s="35">
        <f t="shared" si="1"/>
        <v>1236.44</v>
      </c>
      <c r="AE7" s="35">
        <f t="shared" si="1"/>
        <v>1122.1400000000001</v>
      </c>
      <c r="AF7" s="35">
        <f t="shared" si="1"/>
        <v>1052.24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6">
        <v>51.6</v>
      </c>
      <c r="C11" s="46">
        <v>51.6</v>
      </c>
      <c r="D11" s="46">
        <v>51.7</v>
      </c>
      <c r="E11" s="46">
        <v>51.7</v>
      </c>
      <c r="F11" s="46">
        <v>51.7</v>
      </c>
      <c r="G11" s="46">
        <v>51.7</v>
      </c>
      <c r="H11" s="46">
        <v>51.7</v>
      </c>
      <c r="I11" s="46">
        <v>51.7</v>
      </c>
      <c r="J11" s="46">
        <v>51.7</v>
      </c>
      <c r="K11" s="46">
        <v>51.7</v>
      </c>
      <c r="L11" s="46">
        <v>51.7</v>
      </c>
      <c r="M11" s="45">
        <v>50.8</v>
      </c>
      <c r="N11" s="45">
        <v>50.8</v>
      </c>
      <c r="O11" s="45">
        <v>50.8</v>
      </c>
      <c r="P11" s="45">
        <v>52.6</v>
      </c>
      <c r="Q11" s="45">
        <v>47.8</v>
      </c>
      <c r="R11" s="45">
        <v>49.5</v>
      </c>
      <c r="S11" s="45">
        <v>51.2</v>
      </c>
      <c r="T11" s="45">
        <v>51.2</v>
      </c>
      <c r="U11" s="45">
        <v>51.2</v>
      </c>
      <c r="V11" s="46">
        <v>49.7</v>
      </c>
      <c r="W11" s="46">
        <v>49.7</v>
      </c>
      <c r="X11" s="46">
        <v>49.7</v>
      </c>
      <c r="Y11" s="46">
        <v>49.7</v>
      </c>
      <c r="Z11" s="46">
        <v>49.7</v>
      </c>
      <c r="AA11" s="46">
        <v>52.3</v>
      </c>
      <c r="AB11" s="46">
        <v>52.3</v>
      </c>
      <c r="AC11" s="46">
        <v>52.3</v>
      </c>
      <c r="AD11" s="46">
        <v>52.3</v>
      </c>
      <c r="AE11" s="46">
        <v>52.3</v>
      </c>
      <c r="AF11" s="46">
        <v>39.1</v>
      </c>
      <c r="AG11" s="47">
        <v>52.4</v>
      </c>
      <c r="AH11" s="48">
        <f>MAX(B11:AF11)</f>
        <v>52.6</v>
      </c>
      <c r="AI11" s="49">
        <f>MIN(B11:AF11)</f>
        <v>39.1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50.7</v>
      </c>
      <c r="C12" s="45">
        <v>50.7</v>
      </c>
      <c r="D12" s="45">
        <v>50.5</v>
      </c>
      <c r="E12" s="45">
        <v>50.5</v>
      </c>
      <c r="F12" s="45">
        <v>50.5</v>
      </c>
      <c r="G12" s="45">
        <v>50.5</v>
      </c>
      <c r="H12" s="45">
        <v>50.5</v>
      </c>
      <c r="I12" s="45">
        <v>50.5</v>
      </c>
      <c r="J12" s="45">
        <v>50.5</v>
      </c>
      <c r="K12" s="45">
        <v>50.5</v>
      </c>
      <c r="L12" s="45">
        <v>50.5</v>
      </c>
      <c r="M12" s="45">
        <v>50.6</v>
      </c>
      <c r="N12" s="45">
        <v>50.2</v>
      </c>
      <c r="O12" s="45">
        <v>50.2</v>
      </c>
      <c r="P12" s="45">
        <v>50.3</v>
      </c>
      <c r="Q12" s="45">
        <v>50.3</v>
      </c>
      <c r="R12" s="45">
        <v>50.1</v>
      </c>
      <c r="S12" s="45">
        <v>50.5</v>
      </c>
      <c r="T12" s="45">
        <v>50.5</v>
      </c>
      <c r="U12" s="45">
        <v>50.5</v>
      </c>
      <c r="V12" s="45">
        <v>50.5</v>
      </c>
      <c r="W12" s="45">
        <v>50</v>
      </c>
      <c r="X12" s="45">
        <v>50</v>
      </c>
      <c r="Y12" s="45">
        <v>50</v>
      </c>
      <c r="Z12" s="45">
        <v>50</v>
      </c>
      <c r="AA12" s="45">
        <v>50.2</v>
      </c>
      <c r="AB12" s="45">
        <v>50.2</v>
      </c>
      <c r="AC12" s="45">
        <v>50.2</v>
      </c>
      <c r="AD12" s="45">
        <v>50.2</v>
      </c>
      <c r="AE12" s="45">
        <v>50.2</v>
      </c>
      <c r="AF12" s="45">
        <v>50.3</v>
      </c>
      <c r="AG12" s="51">
        <v>50</v>
      </c>
      <c r="AH12" s="48">
        <f t="shared" ref="AH12:AH75" si="2">MAX(B12:AF12)</f>
        <v>50.7</v>
      </c>
      <c r="AI12" s="49">
        <f t="shared" ref="AI12:AI75" si="3">MIN(B12:AF12)</f>
        <v>50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37</v>
      </c>
      <c r="C13" s="45">
        <v>37</v>
      </c>
      <c r="D13" s="45">
        <v>37</v>
      </c>
      <c r="E13" s="45">
        <v>37</v>
      </c>
      <c r="F13" s="45">
        <v>37</v>
      </c>
      <c r="G13" s="45">
        <v>36.799999999999997</v>
      </c>
      <c r="H13" s="45">
        <v>36.799999999999997</v>
      </c>
      <c r="I13" s="45">
        <v>36.799999999999997</v>
      </c>
      <c r="J13" s="45">
        <v>45.3</v>
      </c>
      <c r="K13" s="45">
        <v>45.3</v>
      </c>
      <c r="L13" s="45">
        <v>45.3</v>
      </c>
      <c r="M13" s="45">
        <v>42.7</v>
      </c>
      <c r="N13" s="45">
        <v>43.3</v>
      </c>
      <c r="O13" s="45">
        <v>43.3</v>
      </c>
      <c r="P13" s="45">
        <v>41.9</v>
      </c>
      <c r="Q13" s="45">
        <v>41.9</v>
      </c>
      <c r="R13" s="45">
        <v>41.9</v>
      </c>
      <c r="S13" s="45">
        <v>41.9</v>
      </c>
      <c r="T13" s="45">
        <v>41.9</v>
      </c>
      <c r="U13" s="45">
        <v>41.9</v>
      </c>
      <c r="V13" s="45">
        <v>41</v>
      </c>
      <c r="W13" s="45">
        <v>44.3</v>
      </c>
      <c r="X13" s="45">
        <v>44.3</v>
      </c>
      <c r="Y13" s="45">
        <v>44.3</v>
      </c>
      <c r="Z13" s="45">
        <v>44.3</v>
      </c>
      <c r="AA13" s="45">
        <v>43</v>
      </c>
      <c r="AB13" s="45">
        <v>43</v>
      </c>
      <c r="AC13" s="45">
        <v>43</v>
      </c>
      <c r="AD13" s="45">
        <v>43</v>
      </c>
      <c r="AE13" s="45">
        <v>31</v>
      </c>
      <c r="AF13" s="45">
        <v>30.9</v>
      </c>
      <c r="AG13" s="51">
        <v>45</v>
      </c>
      <c r="AH13" s="48">
        <f t="shared" si="2"/>
        <v>45.3</v>
      </c>
      <c r="AI13" s="49">
        <f t="shared" si="3"/>
        <v>30.9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20.5</v>
      </c>
      <c r="C14" s="45">
        <v>20.5</v>
      </c>
      <c r="D14" s="45">
        <v>20.5</v>
      </c>
      <c r="E14" s="45">
        <v>20.5</v>
      </c>
      <c r="F14" s="45">
        <v>20.5</v>
      </c>
      <c r="G14" s="45">
        <v>15</v>
      </c>
      <c r="H14" s="45">
        <v>28</v>
      </c>
      <c r="I14" s="45">
        <v>28</v>
      </c>
      <c r="J14" s="45">
        <v>28</v>
      </c>
      <c r="K14" s="45">
        <v>28</v>
      </c>
      <c r="L14" s="45">
        <v>24</v>
      </c>
      <c r="M14" s="45">
        <v>24</v>
      </c>
      <c r="N14" s="45">
        <v>20</v>
      </c>
      <c r="O14" s="45">
        <v>20</v>
      </c>
      <c r="P14" s="45">
        <v>20.5</v>
      </c>
      <c r="Q14" s="45">
        <v>20.5</v>
      </c>
      <c r="R14" s="45">
        <v>20.5</v>
      </c>
      <c r="S14" s="45">
        <v>20.5</v>
      </c>
      <c r="T14" s="45">
        <v>20.5</v>
      </c>
      <c r="U14" s="45">
        <v>20.5</v>
      </c>
      <c r="V14" s="45">
        <v>25.5</v>
      </c>
      <c r="W14" s="45">
        <v>35.5</v>
      </c>
      <c r="X14" s="45">
        <v>37</v>
      </c>
      <c r="Y14" s="45">
        <v>37</v>
      </c>
      <c r="Z14" s="45">
        <v>37</v>
      </c>
      <c r="AA14" s="45">
        <v>26</v>
      </c>
      <c r="AB14" s="45">
        <v>26</v>
      </c>
      <c r="AC14" s="45">
        <v>26</v>
      </c>
      <c r="AD14" s="45">
        <v>26</v>
      </c>
      <c r="AE14" s="45">
        <v>19</v>
      </c>
      <c r="AF14" s="45">
        <v>19</v>
      </c>
      <c r="AG14" s="51">
        <v>42</v>
      </c>
      <c r="AH14" s="48">
        <f t="shared" si="2"/>
        <v>37</v>
      </c>
      <c r="AI14" s="49">
        <f t="shared" si="3"/>
        <v>15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10</v>
      </c>
      <c r="K15" s="45">
        <v>15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20</v>
      </c>
      <c r="X15" s="45">
        <v>30</v>
      </c>
      <c r="Y15" s="45">
        <v>30</v>
      </c>
      <c r="Z15" s="45">
        <v>30</v>
      </c>
      <c r="AA15" s="45">
        <v>10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52">
        <v>30</v>
      </c>
      <c r="AH15" s="48">
        <f t="shared" si="2"/>
        <v>30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15.7</v>
      </c>
      <c r="C16" s="45">
        <v>15.7</v>
      </c>
      <c r="D16" s="45">
        <v>15.7</v>
      </c>
      <c r="E16" s="45">
        <v>15.7</v>
      </c>
      <c r="F16" s="45">
        <v>15.7</v>
      </c>
      <c r="G16" s="45">
        <v>15.7</v>
      </c>
      <c r="H16" s="45">
        <v>15.7</v>
      </c>
      <c r="I16" s="45">
        <v>15.7</v>
      </c>
      <c r="J16" s="45">
        <v>15.7</v>
      </c>
      <c r="K16" s="45">
        <v>15.7</v>
      </c>
      <c r="L16" s="45">
        <v>14</v>
      </c>
      <c r="M16" s="45">
        <v>33.200000000000003</v>
      </c>
      <c r="N16" s="45">
        <v>33.200000000000003</v>
      </c>
      <c r="O16" s="45">
        <v>33.200000000000003</v>
      </c>
      <c r="P16" s="45">
        <v>24</v>
      </c>
      <c r="Q16" s="45">
        <v>24</v>
      </c>
      <c r="R16" s="45">
        <v>22.7</v>
      </c>
      <c r="S16" s="45">
        <v>22.7</v>
      </c>
      <c r="T16" s="45">
        <v>22.7</v>
      </c>
      <c r="U16" s="45">
        <v>22.7</v>
      </c>
      <c r="V16" s="45">
        <v>23.7</v>
      </c>
      <c r="W16" s="45">
        <v>23.6</v>
      </c>
      <c r="X16" s="45">
        <v>24.7</v>
      </c>
      <c r="Y16" s="45">
        <v>24.7</v>
      </c>
      <c r="Z16" s="45">
        <v>24.7</v>
      </c>
      <c r="AA16" s="45">
        <v>24.7</v>
      </c>
      <c r="AB16" s="45">
        <v>24.7</v>
      </c>
      <c r="AC16" s="45">
        <v>24.7</v>
      </c>
      <c r="AD16" s="45">
        <v>24.7</v>
      </c>
      <c r="AE16" s="45">
        <v>15.5</v>
      </c>
      <c r="AF16" s="45">
        <v>15.5</v>
      </c>
      <c r="AG16" s="51">
        <v>24.2</v>
      </c>
      <c r="AH16" s="48">
        <f t="shared" si="2"/>
        <v>33.200000000000003</v>
      </c>
      <c r="AI16" s="49">
        <f t="shared" si="3"/>
        <v>14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9</v>
      </c>
      <c r="K17" s="45">
        <v>9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4</v>
      </c>
      <c r="W17" s="45">
        <v>20</v>
      </c>
      <c r="X17" s="45">
        <v>27</v>
      </c>
      <c r="Y17" s="45">
        <v>27</v>
      </c>
      <c r="Z17" s="45">
        <v>27</v>
      </c>
      <c r="AA17" s="45">
        <v>10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52">
        <v>30</v>
      </c>
      <c r="AH17" s="48">
        <f t="shared" si="2"/>
        <v>27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18</v>
      </c>
      <c r="C18" s="45">
        <v>18</v>
      </c>
      <c r="D18" s="45">
        <v>18</v>
      </c>
      <c r="E18" s="45">
        <v>18</v>
      </c>
      <c r="F18" s="45">
        <v>18</v>
      </c>
      <c r="G18" s="45">
        <v>18</v>
      </c>
      <c r="H18" s="45">
        <v>18</v>
      </c>
      <c r="I18" s="45">
        <v>20</v>
      </c>
      <c r="J18" s="45">
        <v>25</v>
      </c>
      <c r="K18" s="45">
        <v>25</v>
      </c>
      <c r="L18" s="45">
        <v>25</v>
      </c>
      <c r="M18" s="45">
        <v>20</v>
      </c>
      <c r="N18" s="45">
        <v>20</v>
      </c>
      <c r="O18" s="45">
        <v>20</v>
      </c>
      <c r="P18" s="45">
        <v>20</v>
      </c>
      <c r="Q18" s="45">
        <v>20</v>
      </c>
      <c r="R18" s="45">
        <v>20</v>
      </c>
      <c r="S18" s="45">
        <v>20</v>
      </c>
      <c r="T18" s="45">
        <v>20</v>
      </c>
      <c r="U18" s="45">
        <v>20</v>
      </c>
      <c r="V18" s="45">
        <v>25</v>
      </c>
      <c r="W18" s="45">
        <v>25</v>
      </c>
      <c r="X18" s="45">
        <v>25</v>
      </c>
      <c r="Y18" s="45">
        <v>25</v>
      </c>
      <c r="Z18" s="45">
        <v>25</v>
      </c>
      <c r="AA18" s="45">
        <v>25</v>
      </c>
      <c r="AB18" s="45">
        <v>25</v>
      </c>
      <c r="AC18" s="45">
        <v>25</v>
      </c>
      <c r="AD18" s="45">
        <v>25</v>
      </c>
      <c r="AE18" s="45">
        <v>18</v>
      </c>
      <c r="AF18" s="45">
        <v>18</v>
      </c>
      <c r="AG18" s="51">
        <v>25</v>
      </c>
      <c r="AH18" s="48">
        <f t="shared" si="2"/>
        <v>25</v>
      </c>
      <c r="AI18" s="49">
        <f t="shared" si="3"/>
        <v>18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25</v>
      </c>
      <c r="C19" s="45">
        <v>25</v>
      </c>
      <c r="D19" s="45">
        <v>25</v>
      </c>
      <c r="E19" s="45">
        <v>25</v>
      </c>
      <c r="F19" s="45">
        <v>25</v>
      </c>
      <c r="G19" s="45">
        <v>25</v>
      </c>
      <c r="H19" s="45">
        <v>25</v>
      </c>
      <c r="I19" s="45">
        <v>25</v>
      </c>
      <c r="J19" s="45">
        <v>25</v>
      </c>
      <c r="K19" s="45">
        <v>25</v>
      </c>
      <c r="L19" s="45">
        <v>25</v>
      </c>
      <c r="M19" s="45">
        <v>25</v>
      </c>
      <c r="N19" s="45">
        <v>25</v>
      </c>
      <c r="O19" s="45">
        <v>25</v>
      </c>
      <c r="P19" s="45">
        <v>25</v>
      </c>
      <c r="Q19" s="45">
        <v>25</v>
      </c>
      <c r="R19" s="45">
        <v>25</v>
      </c>
      <c r="S19" s="45">
        <v>25</v>
      </c>
      <c r="T19" s="45">
        <v>25</v>
      </c>
      <c r="U19" s="45">
        <v>25</v>
      </c>
      <c r="V19" s="45">
        <v>25</v>
      </c>
      <c r="W19" s="45">
        <v>25</v>
      </c>
      <c r="X19" s="45">
        <v>25</v>
      </c>
      <c r="Y19" s="45">
        <v>25</v>
      </c>
      <c r="Z19" s="45">
        <v>25</v>
      </c>
      <c r="AA19" s="45">
        <v>25</v>
      </c>
      <c r="AB19" s="45">
        <v>25</v>
      </c>
      <c r="AC19" s="45">
        <v>25</v>
      </c>
      <c r="AD19" s="45">
        <v>25</v>
      </c>
      <c r="AE19" s="45">
        <v>25</v>
      </c>
      <c r="AF19" s="45">
        <v>25</v>
      </c>
      <c r="AG19" s="51">
        <v>25</v>
      </c>
      <c r="AH19" s="48">
        <f t="shared" si="2"/>
        <v>25</v>
      </c>
      <c r="AI19" s="49">
        <f t="shared" si="3"/>
        <v>25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22</v>
      </c>
      <c r="C20" s="45">
        <v>22</v>
      </c>
      <c r="D20" s="45">
        <v>22</v>
      </c>
      <c r="E20" s="45">
        <v>22</v>
      </c>
      <c r="F20" s="45">
        <v>22</v>
      </c>
      <c r="G20" s="45">
        <v>22</v>
      </c>
      <c r="H20" s="45">
        <v>22</v>
      </c>
      <c r="I20" s="45">
        <v>22</v>
      </c>
      <c r="J20" s="45">
        <v>22</v>
      </c>
      <c r="K20" s="45">
        <v>22</v>
      </c>
      <c r="L20" s="45">
        <v>22</v>
      </c>
      <c r="M20" s="45">
        <v>22</v>
      </c>
      <c r="N20" s="45">
        <v>22</v>
      </c>
      <c r="O20" s="45">
        <v>22</v>
      </c>
      <c r="P20" s="45">
        <v>22</v>
      </c>
      <c r="Q20" s="45">
        <v>22</v>
      </c>
      <c r="R20" s="45">
        <v>22</v>
      </c>
      <c r="S20" s="45">
        <v>22</v>
      </c>
      <c r="T20" s="45">
        <v>22</v>
      </c>
      <c r="U20" s="45">
        <v>22</v>
      </c>
      <c r="V20" s="45">
        <v>22</v>
      </c>
      <c r="W20" s="45">
        <v>22</v>
      </c>
      <c r="X20" s="45">
        <v>22</v>
      </c>
      <c r="Y20" s="45">
        <v>22</v>
      </c>
      <c r="Z20" s="45">
        <v>22</v>
      </c>
      <c r="AA20" s="45">
        <v>22</v>
      </c>
      <c r="AB20" s="45">
        <v>22</v>
      </c>
      <c r="AC20" s="45">
        <v>22</v>
      </c>
      <c r="AD20" s="45">
        <v>22</v>
      </c>
      <c r="AE20" s="45">
        <v>17</v>
      </c>
      <c r="AF20" s="45">
        <v>17</v>
      </c>
      <c r="AG20" s="51">
        <v>25</v>
      </c>
      <c r="AH20" s="48">
        <f t="shared" si="2"/>
        <v>22</v>
      </c>
      <c r="AI20" s="49">
        <f t="shared" si="3"/>
        <v>17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22.1</v>
      </c>
      <c r="C21" s="45">
        <v>22.1</v>
      </c>
      <c r="D21" s="45">
        <v>22.1</v>
      </c>
      <c r="E21" s="45">
        <v>22.1</v>
      </c>
      <c r="F21" s="45">
        <v>22.1</v>
      </c>
      <c r="G21" s="45">
        <v>22.1</v>
      </c>
      <c r="H21" s="45">
        <v>22.1</v>
      </c>
      <c r="I21" s="45">
        <v>22.1</v>
      </c>
      <c r="J21" s="45">
        <v>22.1</v>
      </c>
      <c r="K21" s="45">
        <v>22.1</v>
      </c>
      <c r="L21" s="45">
        <v>22.1</v>
      </c>
      <c r="M21" s="45">
        <v>22.1</v>
      </c>
      <c r="N21" s="45">
        <v>20.9</v>
      </c>
      <c r="O21" s="45">
        <v>20.9</v>
      </c>
      <c r="P21" s="45">
        <v>20.9</v>
      </c>
      <c r="Q21" s="45">
        <v>20.9</v>
      </c>
      <c r="R21" s="45">
        <v>20.9</v>
      </c>
      <c r="S21" s="45">
        <v>20.9</v>
      </c>
      <c r="T21" s="45">
        <v>20.9</v>
      </c>
      <c r="U21" s="45">
        <v>20.9</v>
      </c>
      <c r="V21" s="45">
        <v>20.9</v>
      </c>
      <c r="W21" s="45">
        <v>20.9</v>
      </c>
      <c r="X21" s="45">
        <v>21.2</v>
      </c>
      <c r="Y21" s="45">
        <v>21.2</v>
      </c>
      <c r="Z21" s="45">
        <v>21.2</v>
      </c>
      <c r="AA21" s="45">
        <v>21.2</v>
      </c>
      <c r="AB21" s="45">
        <v>21.2</v>
      </c>
      <c r="AC21" s="45">
        <v>21.2</v>
      </c>
      <c r="AD21" s="45">
        <v>21.2</v>
      </c>
      <c r="AE21" s="45">
        <v>21.7</v>
      </c>
      <c r="AF21" s="45">
        <v>21.7</v>
      </c>
      <c r="AG21" s="51">
        <v>23.5</v>
      </c>
      <c r="AH21" s="48">
        <f t="shared" si="2"/>
        <v>22.1</v>
      </c>
      <c r="AI21" s="49">
        <f t="shared" si="3"/>
        <v>20.9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13</v>
      </c>
      <c r="C22" s="45">
        <v>13</v>
      </c>
      <c r="D22" s="45">
        <v>13</v>
      </c>
      <c r="E22" s="45">
        <v>13</v>
      </c>
      <c r="F22" s="45">
        <v>13</v>
      </c>
      <c r="G22" s="45">
        <v>13</v>
      </c>
      <c r="H22" s="45">
        <v>13</v>
      </c>
      <c r="I22" s="45">
        <v>13</v>
      </c>
      <c r="J22" s="45">
        <v>13</v>
      </c>
      <c r="K22" s="45">
        <v>13</v>
      </c>
      <c r="L22" s="45">
        <v>13</v>
      </c>
      <c r="M22" s="45">
        <v>13</v>
      </c>
      <c r="N22" s="45">
        <v>13</v>
      </c>
      <c r="O22" s="45">
        <v>13</v>
      </c>
      <c r="P22" s="45">
        <v>13</v>
      </c>
      <c r="Q22" s="45">
        <v>13</v>
      </c>
      <c r="R22" s="45">
        <v>13</v>
      </c>
      <c r="S22" s="45">
        <v>13</v>
      </c>
      <c r="T22" s="45">
        <v>13</v>
      </c>
      <c r="U22" s="45">
        <v>13</v>
      </c>
      <c r="V22" s="45">
        <v>13</v>
      </c>
      <c r="W22" s="45">
        <v>13</v>
      </c>
      <c r="X22" s="45">
        <v>13</v>
      </c>
      <c r="Y22" s="45">
        <v>13</v>
      </c>
      <c r="Z22" s="45">
        <v>13</v>
      </c>
      <c r="AA22" s="45">
        <v>13</v>
      </c>
      <c r="AB22" s="45">
        <v>13</v>
      </c>
      <c r="AC22" s="45">
        <v>13</v>
      </c>
      <c r="AD22" s="45">
        <v>13</v>
      </c>
      <c r="AE22" s="45">
        <v>13</v>
      </c>
      <c r="AF22" s="45">
        <v>13</v>
      </c>
      <c r="AG22" s="51">
        <v>22.2</v>
      </c>
      <c r="AH22" s="48">
        <f t="shared" si="2"/>
        <v>13</v>
      </c>
      <c r="AI22" s="49">
        <f t="shared" si="3"/>
        <v>13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18</v>
      </c>
      <c r="C23" s="45">
        <v>18</v>
      </c>
      <c r="D23" s="45">
        <v>18</v>
      </c>
      <c r="E23" s="45">
        <v>18</v>
      </c>
      <c r="F23" s="45">
        <v>18</v>
      </c>
      <c r="G23" s="45">
        <v>18</v>
      </c>
      <c r="H23" s="45">
        <v>18</v>
      </c>
      <c r="I23" s="45">
        <v>18</v>
      </c>
      <c r="J23" s="45">
        <v>18</v>
      </c>
      <c r="K23" s="45">
        <v>18</v>
      </c>
      <c r="L23" s="45">
        <v>18</v>
      </c>
      <c r="M23" s="45">
        <v>18</v>
      </c>
      <c r="N23" s="45">
        <v>18</v>
      </c>
      <c r="O23" s="45">
        <v>18</v>
      </c>
      <c r="P23" s="45">
        <v>18</v>
      </c>
      <c r="Q23" s="45">
        <v>18</v>
      </c>
      <c r="R23" s="45">
        <v>18</v>
      </c>
      <c r="S23" s="45">
        <v>18</v>
      </c>
      <c r="T23" s="45">
        <v>18</v>
      </c>
      <c r="U23" s="45">
        <v>18</v>
      </c>
      <c r="V23" s="45">
        <v>18</v>
      </c>
      <c r="W23" s="45">
        <v>18</v>
      </c>
      <c r="X23" s="45">
        <v>18</v>
      </c>
      <c r="Y23" s="45">
        <v>18</v>
      </c>
      <c r="Z23" s="45">
        <v>18</v>
      </c>
      <c r="AA23" s="45">
        <v>18</v>
      </c>
      <c r="AB23" s="45">
        <v>18</v>
      </c>
      <c r="AC23" s="45">
        <v>18</v>
      </c>
      <c r="AD23" s="45">
        <v>18</v>
      </c>
      <c r="AE23" s="45">
        <v>18</v>
      </c>
      <c r="AF23" s="45">
        <v>18</v>
      </c>
      <c r="AG23" s="51">
        <v>22.1</v>
      </c>
      <c r="AH23" s="48">
        <f t="shared" si="2"/>
        <v>18</v>
      </c>
      <c r="AI23" s="49">
        <f t="shared" si="3"/>
        <v>18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22</v>
      </c>
      <c r="C24" s="45">
        <v>22</v>
      </c>
      <c r="D24" s="45">
        <v>22</v>
      </c>
      <c r="E24" s="45">
        <v>22</v>
      </c>
      <c r="F24" s="45">
        <v>22</v>
      </c>
      <c r="G24" s="45">
        <v>22</v>
      </c>
      <c r="H24" s="45">
        <v>22</v>
      </c>
      <c r="I24" s="45">
        <v>22</v>
      </c>
      <c r="J24" s="45">
        <v>22</v>
      </c>
      <c r="K24" s="45">
        <v>22</v>
      </c>
      <c r="L24" s="45">
        <v>22</v>
      </c>
      <c r="M24" s="45">
        <v>22</v>
      </c>
      <c r="N24" s="45">
        <v>22</v>
      </c>
      <c r="O24" s="45">
        <v>22</v>
      </c>
      <c r="P24" s="45">
        <v>22</v>
      </c>
      <c r="Q24" s="45">
        <v>22</v>
      </c>
      <c r="R24" s="45">
        <v>22</v>
      </c>
      <c r="S24" s="45">
        <v>22</v>
      </c>
      <c r="T24" s="45">
        <v>22</v>
      </c>
      <c r="U24" s="45">
        <v>22</v>
      </c>
      <c r="V24" s="45">
        <v>22</v>
      </c>
      <c r="W24" s="45">
        <v>22</v>
      </c>
      <c r="X24" s="45">
        <v>22</v>
      </c>
      <c r="Y24" s="45">
        <v>22</v>
      </c>
      <c r="Z24" s="45">
        <v>22</v>
      </c>
      <c r="AA24" s="45">
        <v>22</v>
      </c>
      <c r="AB24" s="45">
        <v>22</v>
      </c>
      <c r="AC24" s="45">
        <v>22</v>
      </c>
      <c r="AD24" s="45">
        <v>22</v>
      </c>
      <c r="AE24" s="45">
        <v>22</v>
      </c>
      <c r="AF24" s="45">
        <v>22</v>
      </c>
      <c r="AG24" s="51">
        <v>22</v>
      </c>
      <c r="AH24" s="48">
        <f t="shared" si="2"/>
        <v>22</v>
      </c>
      <c r="AI24" s="49">
        <f t="shared" si="3"/>
        <v>22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18</v>
      </c>
      <c r="C25" s="45">
        <v>18</v>
      </c>
      <c r="D25" s="45">
        <v>18</v>
      </c>
      <c r="E25" s="45">
        <v>18</v>
      </c>
      <c r="F25" s="45">
        <v>18</v>
      </c>
      <c r="G25" s="45">
        <v>15</v>
      </c>
      <c r="H25" s="45">
        <v>15</v>
      </c>
      <c r="I25" s="45">
        <v>19</v>
      </c>
      <c r="J25" s="45">
        <v>15</v>
      </c>
      <c r="K25" s="45">
        <v>15</v>
      </c>
      <c r="L25" s="45">
        <v>15</v>
      </c>
      <c r="M25" s="45">
        <v>15</v>
      </c>
      <c r="N25" s="45">
        <v>15</v>
      </c>
      <c r="O25" s="45">
        <v>15</v>
      </c>
      <c r="P25" s="45">
        <v>15</v>
      </c>
      <c r="Q25" s="45">
        <v>15</v>
      </c>
      <c r="R25" s="45">
        <v>15</v>
      </c>
      <c r="S25" s="45">
        <v>15</v>
      </c>
      <c r="T25" s="45">
        <v>15</v>
      </c>
      <c r="U25" s="45">
        <v>15</v>
      </c>
      <c r="V25" s="45">
        <v>15</v>
      </c>
      <c r="W25" s="45">
        <v>15</v>
      </c>
      <c r="X25" s="45">
        <v>15</v>
      </c>
      <c r="Y25" s="45">
        <v>15</v>
      </c>
      <c r="Z25" s="45">
        <v>15</v>
      </c>
      <c r="AA25" s="45">
        <v>15</v>
      </c>
      <c r="AB25" s="45">
        <v>15</v>
      </c>
      <c r="AC25" s="45">
        <v>15</v>
      </c>
      <c r="AD25" s="45">
        <v>15</v>
      </c>
      <c r="AE25" s="45">
        <v>15</v>
      </c>
      <c r="AF25" s="45">
        <v>15</v>
      </c>
      <c r="AG25" s="51">
        <v>22</v>
      </c>
      <c r="AH25" s="48">
        <f t="shared" si="2"/>
        <v>19</v>
      </c>
      <c r="AI25" s="49">
        <f t="shared" si="3"/>
        <v>15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10</v>
      </c>
      <c r="L26" s="45">
        <v>10</v>
      </c>
      <c r="M26" s="45">
        <v>10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10</v>
      </c>
      <c r="X26" s="45">
        <v>10</v>
      </c>
      <c r="Y26" s="45">
        <v>10</v>
      </c>
      <c r="Z26" s="45">
        <v>10</v>
      </c>
      <c r="AA26" s="45">
        <v>6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>
        <v>14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14.9</v>
      </c>
      <c r="AH27" s="48">
        <f t="shared" si="2"/>
        <v>14</v>
      </c>
      <c r="AI27" s="49">
        <f t="shared" si="3"/>
        <v>14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51">
        <v>13.6</v>
      </c>
      <c r="AH28" s="48">
        <f t="shared" si="2"/>
        <v>6</v>
      </c>
      <c r="AI28" s="49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10.6</v>
      </c>
      <c r="C29" s="45">
        <v>10.6</v>
      </c>
      <c r="D29" s="45">
        <v>10.6</v>
      </c>
      <c r="E29" s="45">
        <v>10.6</v>
      </c>
      <c r="F29" s="45">
        <v>10.6</v>
      </c>
      <c r="G29" s="45">
        <v>10.6</v>
      </c>
      <c r="H29" s="45">
        <v>10.6</v>
      </c>
      <c r="I29" s="45">
        <v>10.6</v>
      </c>
      <c r="J29" s="45">
        <v>10.6</v>
      </c>
      <c r="K29" s="45">
        <v>10.6</v>
      </c>
      <c r="L29" s="45">
        <v>10.6</v>
      </c>
      <c r="M29" s="45">
        <v>10.6</v>
      </c>
      <c r="N29" s="45">
        <v>10.6</v>
      </c>
      <c r="O29" s="45">
        <v>10.6</v>
      </c>
      <c r="P29" s="45">
        <v>10.6</v>
      </c>
      <c r="Q29" s="45">
        <v>10.6</v>
      </c>
      <c r="R29" s="45">
        <v>10.6</v>
      </c>
      <c r="S29" s="45">
        <v>10.6</v>
      </c>
      <c r="T29" s="45">
        <v>10.6</v>
      </c>
      <c r="U29" s="45">
        <v>10.6</v>
      </c>
      <c r="V29" s="45">
        <v>10.6</v>
      </c>
      <c r="W29" s="45">
        <v>10.6</v>
      </c>
      <c r="X29" s="45">
        <v>10.6</v>
      </c>
      <c r="Y29" s="45">
        <v>10.6</v>
      </c>
      <c r="Z29" s="45">
        <v>10.6</v>
      </c>
      <c r="AA29" s="45">
        <v>10.6</v>
      </c>
      <c r="AB29" s="45">
        <v>10.6</v>
      </c>
      <c r="AC29" s="45">
        <v>10.6</v>
      </c>
      <c r="AD29" s="45">
        <v>10.6</v>
      </c>
      <c r="AE29" s="45">
        <v>6</v>
      </c>
      <c r="AF29" s="45">
        <v>6</v>
      </c>
      <c r="AG29" s="51">
        <v>13</v>
      </c>
      <c r="AH29" s="48">
        <f t="shared" si="2"/>
        <v>10.6</v>
      </c>
      <c r="AI29" s="49">
        <f t="shared" si="3"/>
        <v>6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6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3</v>
      </c>
      <c r="W30" s="45">
        <v>3</v>
      </c>
      <c r="X30" s="45">
        <v>3</v>
      </c>
      <c r="Y30" s="45">
        <v>3</v>
      </c>
      <c r="Z30" s="45">
        <v>3</v>
      </c>
      <c r="AA30" s="45">
        <v>3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51">
        <v>12</v>
      </c>
      <c r="AH30" s="48">
        <f t="shared" si="2"/>
        <v>6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12</v>
      </c>
      <c r="C31" s="45">
        <v>12</v>
      </c>
      <c r="D31" s="45">
        <v>12</v>
      </c>
      <c r="E31" s="45">
        <v>12</v>
      </c>
      <c r="F31" s="45">
        <v>12</v>
      </c>
      <c r="G31" s="45">
        <v>12</v>
      </c>
      <c r="H31" s="45">
        <v>12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2"/>
        <v>12</v>
      </c>
      <c r="AI31" s="49">
        <f t="shared" si="3"/>
        <v>12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3</v>
      </c>
      <c r="C32" s="45">
        <v>3</v>
      </c>
      <c r="D32" s="45">
        <v>3</v>
      </c>
      <c r="E32" s="45">
        <v>3</v>
      </c>
      <c r="F32" s="45">
        <v>3</v>
      </c>
      <c r="G32" s="45">
        <v>3</v>
      </c>
      <c r="H32" s="45">
        <v>3</v>
      </c>
      <c r="I32" s="45">
        <v>3</v>
      </c>
      <c r="J32" s="45">
        <v>3</v>
      </c>
      <c r="K32" s="45">
        <v>3</v>
      </c>
      <c r="L32" s="45">
        <v>3</v>
      </c>
      <c r="M32" s="45">
        <v>3</v>
      </c>
      <c r="N32" s="45">
        <v>3</v>
      </c>
      <c r="O32" s="45">
        <v>3</v>
      </c>
      <c r="P32" s="45">
        <v>3</v>
      </c>
      <c r="Q32" s="45">
        <v>3</v>
      </c>
      <c r="R32" s="45">
        <v>3</v>
      </c>
      <c r="S32" s="45">
        <v>3</v>
      </c>
      <c r="T32" s="45">
        <v>3</v>
      </c>
      <c r="U32" s="45">
        <v>3</v>
      </c>
      <c r="V32" s="45">
        <v>3</v>
      </c>
      <c r="W32" s="45">
        <v>3</v>
      </c>
      <c r="X32" s="45">
        <v>3</v>
      </c>
      <c r="Y32" s="45">
        <v>3</v>
      </c>
      <c r="Z32" s="45">
        <v>3</v>
      </c>
      <c r="AA32" s="45">
        <v>3</v>
      </c>
      <c r="AB32" s="45">
        <v>3</v>
      </c>
      <c r="AC32" s="45">
        <v>3</v>
      </c>
      <c r="AD32" s="45">
        <v>0</v>
      </c>
      <c r="AE32" s="45">
        <v>0</v>
      </c>
      <c r="AF32" s="45">
        <v>0</v>
      </c>
      <c r="AG32" s="51">
        <v>12</v>
      </c>
      <c r="AH32" s="48">
        <f t="shared" si="2"/>
        <v>3</v>
      </c>
      <c r="AI32" s="49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8</v>
      </c>
      <c r="C33" s="45">
        <v>8</v>
      </c>
      <c r="D33" s="45">
        <v>8</v>
      </c>
      <c r="E33" s="45">
        <v>8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3">
        <v>22</v>
      </c>
      <c r="AH33" s="48">
        <f t="shared" si="2"/>
        <v>8</v>
      </c>
      <c r="AI33" s="49">
        <f t="shared" si="3"/>
        <v>8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10</v>
      </c>
      <c r="C34" s="45">
        <v>10</v>
      </c>
      <c r="D34" s="45">
        <v>10</v>
      </c>
      <c r="E34" s="45">
        <v>10</v>
      </c>
      <c r="F34" s="45">
        <v>10</v>
      </c>
      <c r="G34" s="45">
        <v>10</v>
      </c>
      <c r="H34" s="45">
        <v>10</v>
      </c>
      <c r="I34" s="45">
        <v>10</v>
      </c>
      <c r="J34" s="45">
        <v>10</v>
      </c>
      <c r="K34" s="45">
        <v>10</v>
      </c>
      <c r="L34" s="45">
        <v>10</v>
      </c>
      <c r="M34" s="45">
        <v>10</v>
      </c>
      <c r="N34" s="45">
        <v>10</v>
      </c>
      <c r="O34" s="45">
        <v>10</v>
      </c>
      <c r="P34" s="45">
        <v>10</v>
      </c>
      <c r="Q34" s="45">
        <v>10</v>
      </c>
      <c r="R34" s="45">
        <v>10</v>
      </c>
      <c r="S34" s="45">
        <v>10</v>
      </c>
      <c r="T34" s="45">
        <v>10</v>
      </c>
      <c r="U34" s="45">
        <v>10</v>
      </c>
      <c r="V34" s="45">
        <v>10</v>
      </c>
      <c r="W34" s="45">
        <v>10</v>
      </c>
      <c r="X34" s="45">
        <v>10</v>
      </c>
      <c r="Y34" s="45">
        <v>10</v>
      </c>
      <c r="Z34" s="45">
        <v>10</v>
      </c>
      <c r="AA34" s="45">
        <v>10</v>
      </c>
      <c r="AB34" s="45">
        <v>10</v>
      </c>
      <c r="AC34" s="45">
        <v>10</v>
      </c>
      <c r="AD34" s="45">
        <v>10</v>
      </c>
      <c r="AE34" s="45">
        <v>6</v>
      </c>
      <c r="AF34" s="45">
        <v>6</v>
      </c>
      <c r="AG34" s="52">
        <v>11.88</v>
      </c>
      <c r="AH34" s="48">
        <f t="shared" si="2"/>
        <v>10</v>
      </c>
      <c r="AI34" s="49">
        <f t="shared" si="3"/>
        <v>6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9</v>
      </c>
      <c r="C35" s="45">
        <v>9</v>
      </c>
      <c r="D35" s="45">
        <v>9</v>
      </c>
      <c r="E35" s="45">
        <v>9</v>
      </c>
      <c r="F35" s="45">
        <v>9</v>
      </c>
      <c r="G35" s="45">
        <v>9</v>
      </c>
      <c r="H35" s="45">
        <v>9</v>
      </c>
      <c r="I35" s="45">
        <v>9</v>
      </c>
      <c r="J35" s="45">
        <v>9</v>
      </c>
      <c r="K35" s="45">
        <v>9</v>
      </c>
      <c r="L35" s="45">
        <v>9</v>
      </c>
      <c r="M35" s="45">
        <v>9</v>
      </c>
      <c r="N35" s="45">
        <v>9</v>
      </c>
      <c r="O35" s="45">
        <v>9</v>
      </c>
      <c r="P35" s="45">
        <v>9</v>
      </c>
      <c r="Q35" s="45">
        <v>9</v>
      </c>
      <c r="R35" s="45">
        <v>9</v>
      </c>
      <c r="S35" s="45">
        <v>9</v>
      </c>
      <c r="T35" s="45">
        <v>9</v>
      </c>
      <c r="U35" s="45">
        <v>9</v>
      </c>
      <c r="V35" s="45">
        <v>9</v>
      </c>
      <c r="W35" s="45">
        <v>9</v>
      </c>
      <c r="X35" s="45">
        <v>9</v>
      </c>
      <c r="Y35" s="45">
        <v>9</v>
      </c>
      <c r="Z35" s="45">
        <v>9</v>
      </c>
      <c r="AA35" s="45">
        <v>9</v>
      </c>
      <c r="AB35" s="45">
        <v>9</v>
      </c>
      <c r="AC35" s="45">
        <v>9</v>
      </c>
      <c r="AD35" s="45">
        <v>7</v>
      </c>
      <c r="AE35" s="45">
        <v>7</v>
      </c>
      <c r="AF35" s="45">
        <v>7</v>
      </c>
      <c r="AG35" s="55">
        <v>11</v>
      </c>
      <c r="AH35" s="48">
        <f t="shared" si="2"/>
        <v>9</v>
      </c>
      <c r="AI35" s="49">
        <f t="shared" si="3"/>
        <v>7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8</v>
      </c>
      <c r="C36" s="45">
        <v>8</v>
      </c>
      <c r="D36" s="45">
        <v>8</v>
      </c>
      <c r="E36" s="45">
        <v>8</v>
      </c>
      <c r="F36" s="45">
        <v>8</v>
      </c>
      <c r="G36" s="45">
        <v>8</v>
      </c>
      <c r="H36" s="45">
        <v>8</v>
      </c>
      <c r="I36" s="45">
        <v>8</v>
      </c>
      <c r="J36" s="45">
        <v>8</v>
      </c>
      <c r="K36" s="45">
        <v>8</v>
      </c>
      <c r="L36" s="45">
        <v>8</v>
      </c>
      <c r="M36" s="45">
        <v>8</v>
      </c>
      <c r="N36" s="45">
        <v>8</v>
      </c>
      <c r="O36" s="45">
        <v>8</v>
      </c>
      <c r="P36" s="45">
        <v>8</v>
      </c>
      <c r="Q36" s="45">
        <v>8</v>
      </c>
      <c r="R36" s="45">
        <v>8</v>
      </c>
      <c r="S36" s="45">
        <v>8</v>
      </c>
      <c r="T36" s="45">
        <v>8</v>
      </c>
      <c r="U36" s="45">
        <v>8</v>
      </c>
      <c r="V36" s="45">
        <v>8</v>
      </c>
      <c r="W36" s="45">
        <v>8</v>
      </c>
      <c r="X36" s="45">
        <v>8</v>
      </c>
      <c r="Y36" s="45">
        <v>8</v>
      </c>
      <c r="Z36" s="45">
        <v>8</v>
      </c>
      <c r="AA36" s="45">
        <v>8</v>
      </c>
      <c r="AB36" s="45">
        <v>8</v>
      </c>
      <c r="AC36" s="45">
        <v>6</v>
      </c>
      <c r="AD36" s="45">
        <v>6</v>
      </c>
      <c r="AE36" s="45">
        <v>6</v>
      </c>
      <c r="AF36" s="45">
        <v>6</v>
      </c>
      <c r="AG36" s="55">
        <v>10</v>
      </c>
      <c r="AH36" s="48">
        <f t="shared" si="2"/>
        <v>8</v>
      </c>
      <c r="AI36" s="49">
        <f t="shared" si="3"/>
        <v>6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0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300</v>
      </c>
      <c r="C38" s="57">
        <v>300</v>
      </c>
      <c r="D38" s="57">
        <v>300</v>
      </c>
      <c r="E38" s="57">
        <v>300</v>
      </c>
      <c r="F38" s="57">
        <v>300</v>
      </c>
      <c r="G38" s="57">
        <v>300</v>
      </c>
      <c r="H38" s="57">
        <v>300</v>
      </c>
      <c r="I38" s="57">
        <v>300</v>
      </c>
      <c r="J38" s="57">
        <v>300</v>
      </c>
      <c r="K38" s="57">
        <v>300</v>
      </c>
      <c r="L38" s="57">
        <v>300</v>
      </c>
      <c r="M38" s="57">
        <v>300</v>
      </c>
      <c r="N38" s="57">
        <v>300</v>
      </c>
      <c r="O38" s="57">
        <v>300</v>
      </c>
      <c r="P38" s="57">
        <v>300</v>
      </c>
      <c r="Q38" s="57">
        <v>300</v>
      </c>
      <c r="R38" s="57">
        <v>300</v>
      </c>
      <c r="S38" s="57">
        <v>300</v>
      </c>
      <c r="T38" s="57">
        <v>300</v>
      </c>
      <c r="U38" s="57">
        <v>300</v>
      </c>
      <c r="V38" s="57">
        <v>300</v>
      </c>
      <c r="W38" s="57">
        <v>300</v>
      </c>
      <c r="X38" s="57">
        <v>300</v>
      </c>
      <c r="Y38" s="57">
        <v>300</v>
      </c>
      <c r="Z38" s="57">
        <v>300</v>
      </c>
      <c r="AA38" s="57">
        <v>300</v>
      </c>
      <c r="AB38" s="57">
        <v>300</v>
      </c>
      <c r="AC38" s="57">
        <v>300</v>
      </c>
      <c r="AD38" s="57">
        <v>300</v>
      </c>
      <c r="AE38" s="57">
        <v>300</v>
      </c>
      <c r="AF38" s="57">
        <v>300</v>
      </c>
      <c r="AG38" s="55">
        <v>85</v>
      </c>
      <c r="AH38" s="48">
        <f t="shared" si="2"/>
        <v>300</v>
      </c>
      <c r="AI38" s="49">
        <f t="shared" si="3"/>
        <v>300</v>
      </c>
      <c r="AK38" s="50"/>
    </row>
    <row r="39" spans="1:88" ht="15.75" thickBot="1" x14ac:dyDescent="0.3">
      <c r="A39" s="58" t="s">
        <v>47</v>
      </c>
      <c r="B39" s="59">
        <f>64.7+78.9</f>
        <v>143.60000000000002</v>
      </c>
      <c r="C39" s="59">
        <f>64.8+80</f>
        <v>144.80000000000001</v>
      </c>
      <c r="D39" s="59">
        <f>63.4+79.4</f>
        <v>142.80000000000001</v>
      </c>
      <c r="E39" s="59">
        <f>62.3+81.1</f>
        <v>143.39999999999998</v>
      </c>
      <c r="F39" s="59">
        <v>143</v>
      </c>
      <c r="G39" s="59">
        <f>64.2+79</f>
        <v>143.19999999999999</v>
      </c>
      <c r="H39" s="59">
        <f>64.2+78.1</f>
        <v>142.30000000000001</v>
      </c>
      <c r="I39" s="59">
        <f>64.4+79.2</f>
        <v>143.60000000000002</v>
      </c>
      <c r="J39" s="59">
        <f>64.1+79.6</f>
        <v>143.69999999999999</v>
      </c>
      <c r="K39" s="59">
        <f>62.5+79.9</f>
        <v>142.4</v>
      </c>
      <c r="L39" s="57">
        <f>62.4+80.4</f>
        <v>142.80000000000001</v>
      </c>
      <c r="M39" s="57">
        <f>79.5+65.5</f>
        <v>145</v>
      </c>
      <c r="N39" s="57">
        <f>79.9+62.7</f>
        <v>142.60000000000002</v>
      </c>
      <c r="O39" s="57">
        <f>80.5+63.1</f>
        <v>143.6</v>
      </c>
      <c r="P39" s="57">
        <f>81+63.7</f>
        <v>144.69999999999999</v>
      </c>
      <c r="Q39" s="57">
        <f>78.2+63.8</f>
        <v>142</v>
      </c>
      <c r="R39" s="57">
        <f>79.3+63.5</f>
        <v>142.80000000000001</v>
      </c>
      <c r="S39" s="59">
        <v>139</v>
      </c>
      <c r="T39" s="59">
        <f>61.2+80.4</f>
        <v>141.60000000000002</v>
      </c>
      <c r="U39" s="59">
        <v>139</v>
      </c>
      <c r="V39" s="59">
        <f>59.9+75.9</f>
        <v>135.80000000000001</v>
      </c>
      <c r="W39" s="59">
        <v>133</v>
      </c>
      <c r="X39" s="59">
        <f>58.6+73</f>
        <v>131.6</v>
      </c>
      <c r="Y39" s="59">
        <f>59.4+72.9</f>
        <v>132.30000000000001</v>
      </c>
      <c r="Z39" s="59">
        <f>59.9+76.9</f>
        <v>136.80000000000001</v>
      </c>
      <c r="AA39" s="59">
        <v>138</v>
      </c>
      <c r="AB39" s="59">
        <f>76.8+60.3</f>
        <v>137.1</v>
      </c>
      <c r="AC39" s="59">
        <f>76.8+60.3</f>
        <v>137.1</v>
      </c>
      <c r="AD39" s="59">
        <f>75.3+60.3</f>
        <v>135.6</v>
      </c>
      <c r="AE39" s="59">
        <f>76.5+61.3</f>
        <v>137.80000000000001</v>
      </c>
      <c r="AF39" s="59">
        <f>78.9+47.8</f>
        <v>126.7</v>
      </c>
      <c r="AG39" s="55">
        <v>240</v>
      </c>
      <c r="AH39" s="48">
        <f t="shared" si="2"/>
        <v>145</v>
      </c>
      <c r="AI39" s="49">
        <f t="shared" si="3"/>
        <v>126.7</v>
      </c>
      <c r="AK39" s="50"/>
    </row>
    <row r="40" spans="1:88" ht="15.75" thickBot="1" x14ac:dyDescent="0.3">
      <c r="A40" s="60" t="s">
        <v>48</v>
      </c>
      <c r="B40" s="61">
        <f t="shared" ref="B40" si="4">SUM(B11:B38)</f>
        <v>714.2</v>
      </c>
      <c r="C40" s="61">
        <f t="shared" ref="C40:AG40" si="5">SUM(C11:C38)</f>
        <v>714.2</v>
      </c>
      <c r="D40" s="61">
        <f t="shared" si="5"/>
        <v>714.1</v>
      </c>
      <c r="E40" s="61">
        <f t="shared" si="5"/>
        <v>714.1</v>
      </c>
      <c r="F40" s="61">
        <f t="shared" si="5"/>
        <v>714.1</v>
      </c>
      <c r="G40" s="61">
        <f t="shared" si="5"/>
        <v>705.40000000000009</v>
      </c>
      <c r="H40" s="61">
        <f t="shared" si="5"/>
        <v>718.40000000000009</v>
      </c>
      <c r="I40" s="61">
        <f t="shared" si="5"/>
        <v>724.40000000000009</v>
      </c>
      <c r="J40" s="61">
        <f t="shared" si="5"/>
        <v>752.90000000000009</v>
      </c>
      <c r="K40" s="61">
        <f t="shared" si="5"/>
        <v>773.90000000000009</v>
      </c>
      <c r="L40" s="61">
        <f t="shared" si="5"/>
        <v>738.2</v>
      </c>
      <c r="M40" s="61">
        <f t="shared" si="5"/>
        <v>749</v>
      </c>
      <c r="N40" s="61">
        <f t="shared" si="5"/>
        <v>734</v>
      </c>
      <c r="O40" s="61">
        <f t="shared" si="5"/>
        <v>734</v>
      </c>
      <c r="P40" s="61">
        <f t="shared" si="5"/>
        <v>725.8</v>
      </c>
      <c r="Q40" s="61">
        <f t="shared" si="5"/>
        <v>721</v>
      </c>
      <c r="R40" s="61">
        <f t="shared" si="5"/>
        <v>721.2</v>
      </c>
      <c r="S40" s="61">
        <f t="shared" si="5"/>
        <v>723.3</v>
      </c>
      <c r="T40" s="61">
        <f t="shared" si="5"/>
        <v>723.3</v>
      </c>
      <c r="U40" s="61">
        <f t="shared" si="5"/>
        <v>723.3</v>
      </c>
      <c r="V40" s="61">
        <f t="shared" si="5"/>
        <v>738.9</v>
      </c>
      <c r="W40" s="61">
        <f t="shared" si="5"/>
        <v>797.6</v>
      </c>
      <c r="X40" s="61">
        <f t="shared" si="5"/>
        <v>817.5</v>
      </c>
      <c r="Y40" s="61">
        <f t="shared" si="5"/>
        <v>817.5</v>
      </c>
      <c r="Z40" s="61">
        <f t="shared" si="5"/>
        <v>817.5</v>
      </c>
      <c r="AA40" s="61">
        <f t="shared" si="5"/>
        <v>767</v>
      </c>
      <c r="AB40" s="61">
        <f t="shared" si="5"/>
        <v>738</v>
      </c>
      <c r="AC40" s="61">
        <f t="shared" si="5"/>
        <v>736</v>
      </c>
      <c r="AD40" s="61">
        <f t="shared" si="5"/>
        <v>731</v>
      </c>
      <c r="AE40" s="61">
        <f t="shared" si="5"/>
        <v>682.7</v>
      </c>
      <c r="AF40" s="61">
        <f t="shared" si="5"/>
        <v>669.5</v>
      </c>
      <c r="AG40" s="62">
        <f t="shared" si="5"/>
        <v>707.78000000000009</v>
      </c>
      <c r="AH40" s="48">
        <f t="shared" si="2"/>
        <v>817.5</v>
      </c>
      <c r="AI40" s="49">
        <f t="shared" si="3"/>
        <v>669.5</v>
      </c>
      <c r="AK40" s="50"/>
    </row>
    <row r="41" spans="1:88" x14ac:dyDescent="0.25">
      <c r="A41" s="6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2">
        <v>456</v>
      </c>
      <c r="AH41" s="48">
        <f t="shared" si="2"/>
        <v>0</v>
      </c>
      <c r="AI41" s="49">
        <f t="shared" si="3"/>
        <v>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16.3</v>
      </c>
      <c r="C43" s="67">
        <v>13.4</v>
      </c>
      <c r="D43" s="67">
        <v>13.4</v>
      </c>
      <c r="E43" s="67">
        <v>13.4</v>
      </c>
      <c r="F43" s="67">
        <v>13.4</v>
      </c>
      <c r="G43" s="67">
        <v>13.4</v>
      </c>
      <c r="H43" s="67">
        <v>13.4</v>
      </c>
      <c r="I43" s="67">
        <v>13.4</v>
      </c>
      <c r="J43" s="67">
        <v>13.4</v>
      </c>
      <c r="K43" s="67">
        <v>13.4</v>
      </c>
      <c r="L43" s="67">
        <v>13.4</v>
      </c>
      <c r="M43" s="67">
        <v>22</v>
      </c>
      <c r="N43" s="67">
        <v>22</v>
      </c>
      <c r="O43" s="67">
        <v>22</v>
      </c>
      <c r="P43" s="67">
        <v>22.4</v>
      </c>
      <c r="Q43" s="67">
        <v>22.4</v>
      </c>
      <c r="R43" s="67">
        <v>18.5</v>
      </c>
      <c r="S43" s="67">
        <v>18.5</v>
      </c>
      <c r="T43" s="67">
        <v>18.5</v>
      </c>
      <c r="U43" s="67">
        <v>18.5</v>
      </c>
      <c r="V43" s="67">
        <v>18.5</v>
      </c>
      <c r="W43" s="67">
        <v>18.5</v>
      </c>
      <c r="X43" s="67">
        <v>18.5</v>
      </c>
      <c r="Y43" s="67">
        <v>18.5</v>
      </c>
      <c r="Z43" s="67">
        <v>22.4</v>
      </c>
      <c r="AA43" s="67">
        <v>22.5</v>
      </c>
      <c r="AB43" s="67">
        <v>22.5</v>
      </c>
      <c r="AC43" s="67">
        <v>22.5</v>
      </c>
      <c r="AD43" s="67">
        <v>22.5</v>
      </c>
      <c r="AE43" s="67">
        <v>22.5</v>
      </c>
      <c r="AF43" s="67">
        <v>22.5</v>
      </c>
      <c r="AG43" s="68">
        <v>22.1</v>
      </c>
      <c r="AH43" s="48">
        <f t="shared" si="2"/>
        <v>22.5</v>
      </c>
      <c r="AI43" s="49">
        <f t="shared" si="3"/>
        <v>13.4</v>
      </c>
      <c r="AK43" s="50"/>
    </row>
    <row r="44" spans="1:88" ht="15.75" thickBot="1" x14ac:dyDescent="0.3">
      <c r="A44" s="69" t="s">
        <v>52</v>
      </c>
      <c r="B44" s="61">
        <f t="shared" ref="B44" si="6">SUM(B41:B43)</f>
        <v>76.3</v>
      </c>
      <c r="C44" s="61">
        <f t="shared" ref="C44:AG44" si="7">SUM(C41:C43)</f>
        <v>73.400000000000006</v>
      </c>
      <c r="D44" s="61">
        <f t="shared" si="7"/>
        <v>73.400000000000006</v>
      </c>
      <c r="E44" s="61">
        <f t="shared" si="7"/>
        <v>73.400000000000006</v>
      </c>
      <c r="F44" s="61">
        <f t="shared" si="7"/>
        <v>73.400000000000006</v>
      </c>
      <c r="G44" s="61">
        <f t="shared" si="7"/>
        <v>73.400000000000006</v>
      </c>
      <c r="H44" s="61">
        <f t="shared" si="7"/>
        <v>73.400000000000006</v>
      </c>
      <c r="I44" s="61">
        <f t="shared" si="7"/>
        <v>73.400000000000006</v>
      </c>
      <c r="J44" s="61">
        <f t="shared" si="7"/>
        <v>73.400000000000006</v>
      </c>
      <c r="K44" s="61">
        <f t="shared" si="7"/>
        <v>73.400000000000006</v>
      </c>
      <c r="L44" s="61">
        <f t="shared" si="7"/>
        <v>73.400000000000006</v>
      </c>
      <c r="M44" s="61">
        <f t="shared" si="7"/>
        <v>82</v>
      </c>
      <c r="N44" s="61">
        <f t="shared" si="7"/>
        <v>82</v>
      </c>
      <c r="O44" s="61">
        <f t="shared" si="7"/>
        <v>82</v>
      </c>
      <c r="P44" s="61">
        <f t="shared" si="7"/>
        <v>82.4</v>
      </c>
      <c r="Q44" s="61">
        <f t="shared" si="7"/>
        <v>82.4</v>
      </c>
      <c r="R44" s="61">
        <f t="shared" si="7"/>
        <v>78.5</v>
      </c>
      <c r="S44" s="61">
        <f t="shared" si="7"/>
        <v>78.5</v>
      </c>
      <c r="T44" s="61">
        <f t="shared" si="7"/>
        <v>78.5</v>
      </c>
      <c r="U44" s="61">
        <f t="shared" si="7"/>
        <v>78.5</v>
      </c>
      <c r="V44" s="61">
        <f t="shared" si="7"/>
        <v>78.5</v>
      </c>
      <c r="W44" s="61">
        <f t="shared" si="7"/>
        <v>78.5</v>
      </c>
      <c r="X44" s="61">
        <f t="shared" si="7"/>
        <v>78.5</v>
      </c>
      <c r="Y44" s="61">
        <f t="shared" si="7"/>
        <v>78.5</v>
      </c>
      <c r="Z44" s="61">
        <f t="shared" si="7"/>
        <v>82.4</v>
      </c>
      <c r="AA44" s="61">
        <f t="shared" si="7"/>
        <v>82.5</v>
      </c>
      <c r="AB44" s="61">
        <f t="shared" si="7"/>
        <v>82.5</v>
      </c>
      <c r="AC44" s="61">
        <f t="shared" si="7"/>
        <v>82.5</v>
      </c>
      <c r="AD44" s="61">
        <f t="shared" si="7"/>
        <v>82.5</v>
      </c>
      <c r="AE44" s="61">
        <f t="shared" si="7"/>
        <v>82.5</v>
      </c>
      <c r="AF44" s="61">
        <f t="shared" si="7"/>
        <v>82.5</v>
      </c>
      <c r="AG44" s="62">
        <f t="shared" si="7"/>
        <v>538.1</v>
      </c>
      <c r="AH44" s="48">
        <f t="shared" si="2"/>
        <v>82.5</v>
      </c>
      <c r="AI44" s="49">
        <f t="shared" si="3"/>
        <v>73.400000000000006</v>
      </c>
      <c r="AK44" s="50"/>
    </row>
    <row r="45" spans="1:88" x14ac:dyDescent="0.25">
      <c r="A45" s="44" t="s">
        <v>53</v>
      </c>
      <c r="B45" s="45">
        <v>91.3</v>
      </c>
      <c r="C45" s="45">
        <v>91.2</v>
      </c>
      <c r="D45" s="45">
        <v>91.2</v>
      </c>
      <c r="E45" s="45">
        <v>91.2</v>
      </c>
      <c r="F45" s="45">
        <v>91.2</v>
      </c>
      <c r="G45" s="45">
        <v>130</v>
      </c>
      <c r="H45" s="45">
        <v>143.1</v>
      </c>
      <c r="I45" s="45">
        <v>143.1</v>
      </c>
      <c r="J45" s="45">
        <v>143.1</v>
      </c>
      <c r="K45" s="45">
        <v>143.1</v>
      </c>
      <c r="L45" s="45">
        <v>121.4</v>
      </c>
      <c r="M45" s="45">
        <v>144</v>
      </c>
      <c r="N45" s="45">
        <v>140.19999999999999</v>
      </c>
      <c r="O45" s="45">
        <v>131</v>
      </c>
      <c r="P45" s="45">
        <v>133.30000000000001</v>
      </c>
      <c r="Q45" s="45">
        <v>120</v>
      </c>
      <c r="R45" s="45">
        <v>120.3</v>
      </c>
      <c r="S45" s="45">
        <v>120</v>
      </c>
      <c r="T45" s="45">
        <v>140</v>
      </c>
      <c r="U45" s="45">
        <v>140</v>
      </c>
      <c r="V45" s="45">
        <v>143.5</v>
      </c>
      <c r="W45" s="45">
        <v>143.4</v>
      </c>
      <c r="X45" s="45">
        <v>143.4</v>
      </c>
      <c r="Y45" s="45">
        <v>143.4</v>
      </c>
      <c r="Z45" s="45">
        <v>143.4</v>
      </c>
      <c r="AA45" s="45">
        <v>143.4</v>
      </c>
      <c r="AB45" s="45">
        <v>143.4</v>
      </c>
      <c r="AC45" s="45">
        <v>143.4</v>
      </c>
      <c r="AD45" s="45">
        <v>143.4</v>
      </c>
      <c r="AE45" s="45">
        <v>121.2</v>
      </c>
      <c r="AF45" s="45">
        <v>92</v>
      </c>
      <c r="AG45" s="52">
        <v>144</v>
      </c>
      <c r="AH45" s="48">
        <f t="shared" si="2"/>
        <v>144</v>
      </c>
      <c r="AI45" s="49">
        <f t="shared" si="3"/>
        <v>91.2</v>
      </c>
      <c r="AK45" s="50"/>
    </row>
    <row r="46" spans="1:88" x14ac:dyDescent="0.25">
      <c r="A46" s="54" t="s">
        <v>54</v>
      </c>
      <c r="B46" s="65">
        <v>46.8</v>
      </c>
      <c r="C46" s="65">
        <v>46.2</v>
      </c>
      <c r="D46" s="65">
        <v>45.3</v>
      </c>
      <c r="E46" s="65">
        <v>45.3</v>
      </c>
      <c r="F46" s="65">
        <v>45.3</v>
      </c>
      <c r="G46" s="65">
        <v>61.2</v>
      </c>
      <c r="H46" s="65">
        <v>70</v>
      </c>
      <c r="I46" s="65">
        <v>72.599999999999994</v>
      </c>
      <c r="J46" s="65">
        <v>72.599999999999994</v>
      </c>
      <c r="K46" s="65">
        <v>72.599999999999994</v>
      </c>
      <c r="L46" s="65">
        <v>60.5</v>
      </c>
      <c r="M46" s="65">
        <v>72.599999999999994</v>
      </c>
      <c r="N46" s="65">
        <v>72.599999999999994</v>
      </c>
      <c r="O46" s="65">
        <v>55</v>
      </c>
      <c r="P46" s="45">
        <v>62.2</v>
      </c>
      <c r="Q46" s="45">
        <v>55</v>
      </c>
      <c r="R46" s="45">
        <v>56.4</v>
      </c>
      <c r="S46" s="65">
        <v>69.8</v>
      </c>
      <c r="T46" s="65">
        <v>70.599999999999994</v>
      </c>
      <c r="U46" s="65">
        <v>70.599999999999994</v>
      </c>
      <c r="V46" s="65">
        <v>71.599999999999994</v>
      </c>
      <c r="W46" s="65">
        <v>72</v>
      </c>
      <c r="X46" s="65">
        <v>72</v>
      </c>
      <c r="Y46" s="65">
        <v>72</v>
      </c>
      <c r="Z46" s="65">
        <v>72</v>
      </c>
      <c r="AA46" s="65">
        <v>72</v>
      </c>
      <c r="AB46" s="65">
        <v>72</v>
      </c>
      <c r="AC46" s="65">
        <v>72</v>
      </c>
      <c r="AD46" s="65">
        <v>72</v>
      </c>
      <c r="AE46" s="65">
        <v>60</v>
      </c>
      <c r="AF46" s="65">
        <v>45</v>
      </c>
      <c r="AG46" s="55">
        <v>70</v>
      </c>
      <c r="AH46" s="48">
        <f t="shared" si="2"/>
        <v>72.599999999999994</v>
      </c>
      <c r="AI46" s="49">
        <f t="shared" si="3"/>
        <v>45</v>
      </c>
      <c r="AK46" s="50"/>
    </row>
    <row r="47" spans="1:88" x14ac:dyDescent="0.25">
      <c r="A47" s="54" t="s">
        <v>55</v>
      </c>
      <c r="B47" s="65">
        <v>32.200000000000003</v>
      </c>
      <c r="C47" s="65">
        <v>39</v>
      </c>
      <c r="D47" s="65">
        <v>34.1</v>
      </c>
      <c r="E47" s="65">
        <v>34.1</v>
      </c>
      <c r="F47" s="65">
        <v>34.1</v>
      </c>
      <c r="G47" s="65">
        <v>36</v>
      </c>
      <c r="H47" s="65">
        <v>45.8</v>
      </c>
      <c r="I47" s="65">
        <v>46.4</v>
      </c>
      <c r="J47" s="65">
        <v>70.7</v>
      </c>
      <c r="K47" s="65">
        <v>70.7</v>
      </c>
      <c r="L47" s="65">
        <v>66.599999999999994</v>
      </c>
      <c r="M47" s="65">
        <v>66.599999999999994</v>
      </c>
      <c r="N47" s="65">
        <v>66.599999999999994</v>
      </c>
      <c r="O47" s="65">
        <v>55</v>
      </c>
      <c r="P47" s="45">
        <v>55.3</v>
      </c>
      <c r="Q47" s="45">
        <v>55</v>
      </c>
      <c r="R47" s="45">
        <v>56.7</v>
      </c>
      <c r="S47" s="65">
        <v>69.900000000000006</v>
      </c>
      <c r="T47" s="65">
        <v>71</v>
      </c>
      <c r="U47" s="65">
        <v>71</v>
      </c>
      <c r="V47" s="65">
        <v>71.7</v>
      </c>
      <c r="W47" s="65">
        <v>69.599999999999994</v>
      </c>
      <c r="X47" s="65">
        <v>69.599999999999994</v>
      </c>
      <c r="Y47" s="65">
        <v>69.599999999999994</v>
      </c>
      <c r="Z47" s="65">
        <v>69.599999999999994</v>
      </c>
      <c r="AA47" s="65">
        <v>69.599999999999994</v>
      </c>
      <c r="AB47" s="65">
        <v>69.599999999999994</v>
      </c>
      <c r="AC47" s="65">
        <v>69.599999999999994</v>
      </c>
      <c r="AD47" s="65">
        <v>58.8</v>
      </c>
      <c r="AE47" s="65">
        <v>52</v>
      </c>
      <c r="AF47" s="65">
        <v>61</v>
      </c>
      <c r="AG47" s="55">
        <v>69</v>
      </c>
      <c r="AH47" s="48">
        <f t="shared" si="2"/>
        <v>71.7</v>
      </c>
      <c r="AI47" s="49">
        <f t="shared" si="3"/>
        <v>32.200000000000003</v>
      </c>
      <c r="AK47" s="50"/>
    </row>
    <row r="48" spans="1:88" x14ac:dyDescent="0.25">
      <c r="A48" s="54" t="s">
        <v>56</v>
      </c>
      <c r="B48" s="57">
        <v>43.1</v>
      </c>
      <c r="C48" s="57">
        <v>30.2</v>
      </c>
      <c r="D48" s="57">
        <v>30.5</v>
      </c>
      <c r="E48" s="57">
        <v>21.7</v>
      </c>
      <c r="F48" s="57">
        <v>30.5</v>
      </c>
      <c r="G48" s="57">
        <v>30.5</v>
      </c>
      <c r="H48" s="57">
        <v>30.5</v>
      </c>
      <c r="I48" s="57">
        <v>51.9</v>
      </c>
      <c r="J48" s="57">
        <v>60</v>
      </c>
      <c r="K48" s="57">
        <v>60</v>
      </c>
      <c r="L48" s="57">
        <v>60</v>
      </c>
      <c r="M48" s="57">
        <v>61.2</v>
      </c>
      <c r="N48" s="57">
        <v>61.2</v>
      </c>
      <c r="O48" s="57">
        <v>61.2</v>
      </c>
      <c r="P48" s="45">
        <v>61</v>
      </c>
      <c r="Q48" s="45">
        <v>61</v>
      </c>
      <c r="R48" s="45">
        <v>61.2</v>
      </c>
      <c r="S48" s="45">
        <v>61.2</v>
      </c>
      <c r="T48" s="45">
        <v>61.2</v>
      </c>
      <c r="U48" s="45">
        <v>61.2</v>
      </c>
      <c r="V48" s="65">
        <v>60.2</v>
      </c>
      <c r="W48" s="65">
        <v>60</v>
      </c>
      <c r="X48" s="65">
        <v>60</v>
      </c>
      <c r="Y48" s="65">
        <v>60</v>
      </c>
      <c r="Z48" s="65">
        <v>60</v>
      </c>
      <c r="AA48" s="65">
        <v>60</v>
      </c>
      <c r="AB48" s="65">
        <v>60</v>
      </c>
      <c r="AC48" s="65">
        <v>60</v>
      </c>
      <c r="AD48" s="65">
        <v>60</v>
      </c>
      <c r="AE48" s="57">
        <v>52</v>
      </c>
      <c r="AF48" s="57">
        <v>30.2</v>
      </c>
      <c r="AG48" s="55">
        <v>60</v>
      </c>
      <c r="AH48" s="48">
        <f t="shared" si="2"/>
        <v>61.2</v>
      </c>
      <c r="AI48" s="49">
        <f t="shared" si="3"/>
        <v>21.7</v>
      </c>
      <c r="AK48" s="50"/>
    </row>
    <row r="49" spans="1:41" x14ac:dyDescent="0.25">
      <c r="A49" s="54" t="s">
        <v>57</v>
      </c>
      <c r="B49" s="57">
        <v>15</v>
      </c>
      <c r="C49" s="57">
        <v>15</v>
      </c>
      <c r="D49" s="57">
        <v>15</v>
      </c>
      <c r="E49" s="57">
        <v>15</v>
      </c>
      <c r="F49" s="57">
        <v>15</v>
      </c>
      <c r="G49" s="57">
        <v>15</v>
      </c>
      <c r="H49" s="57">
        <v>15</v>
      </c>
      <c r="I49" s="57">
        <v>15</v>
      </c>
      <c r="J49" s="57">
        <v>15</v>
      </c>
      <c r="K49" s="57">
        <v>15</v>
      </c>
      <c r="L49" s="57">
        <v>25</v>
      </c>
      <c r="M49" s="57">
        <v>25</v>
      </c>
      <c r="N49" s="57">
        <v>25</v>
      </c>
      <c r="O49" s="57">
        <v>25</v>
      </c>
      <c r="P49" s="45">
        <v>25</v>
      </c>
      <c r="Q49" s="45">
        <v>25</v>
      </c>
      <c r="R49" s="45">
        <v>25.9</v>
      </c>
      <c r="S49" s="45">
        <v>25.5</v>
      </c>
      <c r="T49" s="45">
        <v>13</v>
      </c>
      <c r="U49" s="45">
        <v>13</v>
      </c>
      <c r="V49" s="65">
        <v>13</v>
      </c>
      <c r="W49" s="65">
        <v>25</v>
      </c>
      <c r="X49" s="65">
        <v>30</v>
      </c>
      <c r="Y49" s="65">
        <v>30</v>
      </c>
      <c r="Z49" s="65">
        <v>30</v>
      </c>
      <c r="AA49" s="65">
        <v>30</v>
      </c>
      <c r="AB49" s="65">
        <v>30</v>
      </c>
      <c r="AC49" s="65">
        <v>30</v>
      </c>
      <c r="AD49" s="65">
        <v>30</v>
      </c>
      <c r="AE49" s="57">
        <v>13</v>
      </c>
      <c r="AF49" s="57">
        <v>13.3</v>
      </c>
      <c r="AG49" s="55">
        <v>30</v>
      </c>
      <c r="AH49" s="48">
        <f t="shared" si="2"/>
        <v>30</v>
      </c>
      <c r="AI49" s="49">
        <f t="shared" si="3"/>
        <v>13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10</v>
      </c>
      <c r="N50" s="65">
        <v>10</v>
      </c>
      <c r="O50" s="65">
        <v>10</v>
      </c>
      <c r="P50" s="65">
        <v>10</v>
      </c>
      <c r="Q50" s="65">
        <v>10</v>
      </c>
      <c r="R50" s="65">
        <v>10</v>
      </c>
      <c r="S50" s="65">
        <v>10</v>
      </c>
      <c r="T50" s="65">
        <v>10</v>
      </c>
      <c r="U50" s="65">
        <v>10</v>
      </c>
      <c r="V50" s="45">
        <v>10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45">
        <v>0</v>
      </c>
      <c r="AC50" s="45">
        <v>0</v>
      </c>
      <c r="AD50" s="45">
        <v>0</v>
      </c>
      <c r="AE50" s="65">
        <v>0</v>
      </c>
      <c r="AF50" s="65">
        <v>0</v>
      </c>
      <c r="AG50" s="55">
        <v>25</v>
      </c>
      <c r="AH50" s="48">
        <f t="shared" si="2"/>
        <v>10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14.7</v>
      </c>
      <c r="C51" s="65">
        <v>14.7</v>
      </c>
      <c r="D51" s="65">
        <v>14.7</v>
      </c>
      <c r="E51" s="65">
        <v>14.7</v>
      </c>
      <c r="F51" s="65">
        <v>14.7</v>
      </c>
      <c r="G51" s="65">
        <v>14.7</v>
      </c>
      <c r="H51" s="65">
        <v>14.7</v>
      </c>
      <c r="I51" s="65">
        <v>14.7</v>
      </c>
      <c r="J51" s="65">
        <v>14.7</v>
      </c>
      <c r="K51" s="65">
        <v>14.7</v>
      </c>
      <c r="L51" s="65">
        <v>14.7</v>
      </c>
      <c r="M51" s="65">
        <v>14.7</v>
      </c>
      <c r="N51" s="65">
        <v>14.7</v>
      </c>
      <c r="O51" s="65">
        <v>14.7</v>
      </c>
      <c r="P51" s="65">
        <v>14.7</v>
      </c>
      <c r="Q51" s="65">
        <v>14.7</v>
      </c>
      <c r="R51" s="65">
        <v>14.7</v>
      </c>
      <c r="S51" s="65">
        <v>14.7</v>
      </c>
      <c r="T51" s="65">
        <v>14.7</v>
      </c>
      <c r="U51" s="65">
        <v>14.7</v>
      </c>
      <c r="V51" s="65">
        <v>14.7</v>
      </c>
      <c r="W51" s="65">
        <v>14.7</v>
      </c>
      <c r="X51" s="65">
        <v>14.7</v>
      </c>
      <c r="Y51" s="65">
        <v>14.7</v>
      </c>
      <c r="Z51" s="65">
        <v>14.7</v>
      </c>
      <c r="AA51" s="65">
        <v>14.7</v>
      </c>
      <c r="AB51" s="65">
        <v>14.7</v>
      </c>
      <c r="AC51" s="65">
        <v>14.7</v>
      </c>
      <c r="AD51" s="65">
        <v>14.7</v>
      </c>
      <c r="AE51" s="65">
        <v>14.7</v>
      </c>
      <c r="AF51" s="65">
        <v>14.7</v>
      </c>
      <c r="AG51" s="55">
        <v>24</v>
      </c>
      <c r="AH51" s="48">
        <f t="shared" si="2"/>
        <v>14.7</v>
      </c>
      <c r="AI51" s="49">
        <f t="shared" si="3"/>
        <v>14.7</v>
      </c>
      <c r="AK51" s="50"/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11.7</v>
      </c>
      <c r="C53" s="65">
        <v>11.7</v>
      </c>
      <c r="D53" s="65">
        <v>11.7</v>
      </c>
      <c r="E53" s="65">
        <v>11.7</v>
      </c>
      <c r="F53" s="65">
        <v>11.7</v>
      </c>
      <c r="G53" s="65">
        <v>11.7</v>
      </c>
      <c r="H53" s="65">
        <v>11.7</v>
      </c>
      <c r="I53" s="65">
        <v>11.7</v>
      </c>
      <c r="J53" s="65">
        <v>11.7</v>
      </c>
      <c r="K53" s="65">
        <v>11.7</v>
      </c>
      <c r="L53" s="65">
        <v>11.7</v>
      </c>
      <c r="M53" s="65">
        <v>11.7</v>
      </c>
      <c r="N53" s="65">
        <v>11.7</v>
      </c>
      <c r="O53" s="65">
        <v>11.7</v>
      </c>
      <c r="P53" s="65">
        <v>11.7</v>
      </c>
      <c r="Q53" s="65">
        <v>11.7</v>
      </c>
      <c r="R53" s="65">
        <v>11.7</v>
      </c>
      <c r="S53" s="65">
        <v>11.6</v>
      </c>
      <c r="T53" s="65">
        <v>11.6</v>
      </c>
      <c r="U53" s="65">
        <v>11.6</v>
      </c>
      <c r="V53" s="65">
        <v>11.6</v>
      </c>
      <c r="W53" s="65">
        <v>11.6</v>
      </c>
      <c r="X53" s="65">
        <v>11.6</v>
      </c>
      <c r="Y53" s="65">
        <v>11.6</v>
      </c>
      <c r="Z53" s="65">
        <v>11.6</v>
      </c>
      <c r="AA53" s="65">
        <v>11.6</v>
      </c>
      <c r="AB53" s="65">
        <v>11.6</v>
      </c>
      <c r="AC53" s="65">
        <v>11.6</v>
      </c>
      <c r="AD53" s="65">
        <v>11.6</v>
      </c>
      <c r="AE53" s="65">
        <v>11.6</v>
      </c>
      <c r="AF53" s="65">
        <v>11.6</v>
      </c>
      <c r="AG53" s="55">
        <v>14.1</v>
      </c>
      <c r="AH53" s="48">
        <f t="shared" si="2"/>
        <v>11.7</v>
      </c>
      <c r="AI53" s="49">
        <f t="shared" si="3"/>
        <v>11.6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7.1</v>
      </c>
      <c r="C54" s="65">
        <v>7.1</v>
      </c>
      <c r="D54" s="65">
        <v>7.1</v>
      </c>
      <c r="E54" s="65">
        <v>7.1</v>
      </c>
      <c r="F54" s="65">
        <v>7.1</v>
      </c>
      <c r="G54" s="65">
        <v>7.1</v>
      </c>
      <c r="H54" s="65">
        <v>7.1</v>
      </c>
      <c r="I54" s="65">
        <v>7.1</v>
      </c>
      <c r="J54" s="65">
        <v>7.1</v>
      </c>
      <c r="K54" s="65">
        <v>7.1</v>
      </c>
      <c r="L54" s="65">
        <v>7.1</v>
      </c>
      <c r="M54" s="65">
        <v>7.1</v>
      </c>
      <c r="N54" s="65">
        <v>7.1</v>
      </c>
      <c r="O54" s="65">
        <v>7.1</v>
      </c>
      <c r="P54" s="65">
        <v>7.1</v>
      </c>
      <c r="Q54" s="65">
        <v>7.1</v>
      </c>
      <c r="R54" s="65">
        <v>7.1</v>
      </c>
      <c r="S54" s="65">
        <v>7.1</v>
      </c>
      <c r="T54" s="65">
        <v>7.1</v>
      </c>
      <c r="U54" s="65">
        <v>7.1</v>
      </c>
      <c r="V54" s="65">
        <v>7.1</v>
      </c>
      <c r="W54" s="65">
        <v>7.1</v>
      </c>
      <c r="X54" s="65">
        <v>7.1</v>
      </c>
      <c r="Y54" s="65">
        <v>7.1</v>
      </c>
      <c r="Z54" s="65">
        <v>7.1</v>
      </c>
      <c r="AA54" s="65">
        <v>7.1</v>
      </c>
      <c r="AB54" s="65">
        <v>13.7</v>
      </c>
      <c r="AC54" s="65">
        <v>13.7</v>
      </c>
      <c r="AD54" s="65">
        <v>13.7</v>
      </c>
      <c r="AE54" s="65">
        <v>13.7</v>
      </c>
      <c r="AF54" s="65">
        <v>13.7</v>
      </c>
      <c r="AG54" s="55">
        <v>14</v>
      </c>
      <c r="AH54" s="48">
        <f t="shared" si="2"/>
        <v>13.7</v>
      </c>
      <c r="AI54" s="49">
        <f t="shared" si="3"/>
        <v>7.1</v>
      </c>
      <c r="AK54" s="50"/>
    </row>
    <row r="55" spans="1:41" x14ac:dyDescent="0.25">
      <c r="A55" s="54" t="s">
        <v>63</v>
      </c>
      <c r="B55" s="65">
        <v>9</v>
      </c>
      <c r="C55" s="65">
        <v>9</v>
      </c>
      <c r="D55" s="65">
        <v>9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9</v>
      </c>
      <c r="S55" s="65">
        <v>9</v>
      </c>
      <c r="T55" s="65">
        <v>9</v>
      </c>
      <c r="U55" s="65">
        <v>9</v>
      </c>
      <c r="V55" s="65">
        <v>9</v>
      </c>
      <c r="W55" s="65">
        <v>9</v>
      </c>
      <c r="X55" s="65">
        <v>9</v>
      </c>
      <c r="Y55" s="65">
        <v>9</v>
      </c>
      <c r="Z55" s="65">
        <v>9</v>
      </c>
      <c r="AA55" s="65">
        <v>9</v>
      </c>
      <c r="AB55" s="65">
        <v>9</v>
      </c>
      <c r="AC55" s="65">
        <v>9</v>
      </c>
      <c r="AD55" s="65">
        <v>9</v>
      </c>
      <c r="AE55" s="65">
        <v>9</v>
      </c>
      <c r="AF55" s="65">
        <v>9</v>
      </c>
      <c r="AG55" s="55">
        <v>10.050000000000001</v>
      </c>
      <c r="AH55" s="48">
        <f t="shared" si="2"/>
        <v>9</v>
      </c>
      <c r="AI55" s="49">
        <f t="shared" si="3"/>
        <v>9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" si="8">SUM(B45:B57)</f>
        <v>280.64</v>
      </c>
      <c r="C58" s="61">
        <f t="shared" ref="C58:AG58" si="9">SUM(C45:C57)</f>
        <v>273.83999999999997</v>
      </c>
      <c r="D58" s="61">
        <f t="shared" si="9"/>
        <v>268.33999999999997</v>
      </c>
      <c r="E58" s="61">
        <f t="shared" si="9"/>
        <v>259.53999999999996</v>
      </c>
      <c r="F58" s="61">
        <f t="shared" si="9"/>
        <v>268.33999999999997</v>
      </c>
      <c r="G58" s="61">
        <f t="shared" si="9"/>
        <v>324.94</v>
      </c>
      <c r="H58" s="61">
        <f t="shared" si="9"/>
        <v>356.64</v>
      </c>
      <c r="I58" s="61">
        <f t="shared" si="9"/>
        <v>381.23999999999995</v>
      </c>
      <c r="J58" s="61">
        <f t="shared" si="9"/>
        <v>413.64</v>
      </c>
      <c r="K58" s="61">
        <f t="shared" si="9"/>
        <v>413.64</v>
      </c>
      <c r="L58" s="61">
        <f t="shared" si="9"/>
        <v>385.74</v>
      </c>
      <c r="M58" s="61">
        <f t="shared" si="9"/>
        <v>431.64</v>
      </c>
      <c r="N58" s="61">
        <f t="shared" si="9"/>
        <v>427.84</v>
      </c>
      <c r="O58" s="61">
        <f t="shared" si="9"/>
        <v>389.44</v>
      </c>
      <c r="P58" s="61">
        <f t="shared" si="9"/>
        <v>399.04</v>
      </c>
      <c r="Q58" s="61">
        <f t="shared" si="9"/>
        <v>378.24</v>
      </c>
      <c r="R58" s="61">
        <f t="shared" si="9"/>
        <v>382.73999999999995</v>
      </c>
      <c r="S58" s="61">
        <f t="shared" si="9"/>
        <v>408.54000000000008</v>
      </c>
      <c r="T58" s="61">
        <f t="shared" si="9"/>
        <v>417.94000000000005</v>
      </c>
      <c r="U58" s="61">
        <f t="shared" si="9"/>
        <v>417.94000000000005</v>
      </c>
      <c r="V58" s="61">
        <f t="shared" si="9"/>
        <v>422.14000000000004</v>
      </c>
      <c r="W58" s="61">
        <f t="shared" si="9"/>
        <v>422.14000000000004</v>
      </c>
      <c r="X58" s="61">
        <f t="shared" si="9"/>
        <v>427.14000000000004</v>
      </c>
      <c r="Y58" s="61">
        <f t="shared" si="9"/>
        <v>427.14000000000004</v>
      </c>
      <c r="Z58" s="61">
        <f t="shared" si="9"/>
        <v>427.14000000000004</v>
      </c>
      <c r="AA58" s="61">
        <f t="shared" si="9"/>
        <v>427.14000000000004</v>
      </c>
      <c r="AB58" s="61">
        <f t="shared" si="9"/>
        <v>433.74</v>
      </c>
      <c r="AC58" s="61">
        <f t="shared" si="9"/>
        <v>433.74</v>
      </c>
      <c r="AD58" s="61">
        <f t="shared" si="9"/>
        <v>422.94</v>
      </c>
      <c r="AE58" s="61">
        <f t="shared" si="9"/>
        <v>356.94</v>
      </c>
      <c r="AF58" s="61">
        <f t="shared" si="9"/>
        <v>300.24</v>
      </c>
      <c r="AG58" s="62">
        <f t="shared" si="9"/>
        <v>489.91</v>
      </c>
      <c r="AH58" s="48">
        <f t="shared" si="2"/>
        <v>433.74</v>
      </c>
      <c r="AI58" s="49">
        <f t="shared" si="3"/>
        <v>259.53999999999996</v>
      </c>
      <c r="AK58" s="50"/>
    </row>
    <row r="59" spans="1:41" x14ac:dyDescent="0.25">
      <c r="A59" s="44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/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/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67">
        <v>0</v>
      </c>
      <c r="AB61" s="67">
        <v>0</v>
      </c>
      <c r="AC61" s="67">
        <v>0</v>
      </c>
      <c r="AD61" s="67">
        <v>0</v>
      </c>
      <c r="AE61" s="67">
        <v>0</v>
      </c>
      <c r="AF61" s="67"/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C62" si="10">SUM(B59:B61)</f>
        <v>0</v>
      </c>
      <c r="C62" s="61">
        <f t="shared" si="10"/>
        <v>0</v>
      </c>
      <c r="D62" s="61">
        <f t="shared" ref="D62:AG62" si="11">SUM(D59:D61)</f>
        <v>0</v>
      </c>
      <c r="E62" s="61">
        <f t="shared" si="11"/>
        <v>0</v>
      </c>
      <c r="F62" s="61">
        <f t="shared" si="11"/>
        <v>0</v>
      </c>
      <c r="G62" s="61">
        <f t="shared" si="11"/>
        <v>0</v>
      </c>
      <c r="H62" s="61">
        <f t="shared" si="11"/>
        <v>0</v>
      </c>
      <c r="I62" s="61">
        <f t="shared" si="11"/>
        <v>0</v>
      </c>
      <c r="J62" s="61">
        <f t="shared" si="11"/>
        <v>0</v>
      </c>
      <c r="K62" s="61">
        <f t="shared" si="11"/>
        <v>0</v>
      </c>
      <c r="L62" s="61">
        <f t="shared" si="11"/>
        <v>0</v>
      </c>
      <c r="M62" s="61">
        <f t="shared" si="11"/>
        <v>0</v>
      </c>
      <c r="N62" s="61">
        <f t="shared" si="11"/>
        <v>0</v>
      </c>
      <c r="O62" s="61">
        <f t="shared" si="11"/>
        <v>0</v>
      </c>
      <c r="P62" s="61">
        <f t="shared" si="11"/>
        <v>0</v>
      </c>
      <c r="Q62" s="61">
        <f t="shared" si="11"/>
        <v>0</v>
      </c>
      <c r="R62" s="61">
        <f t="shared" si="11"/>
        <v>0</v>
      </c>
      <c r="S62" s="61">
        <f t="shared" si="11"/>
        <v>0</v>
      </c>
      <c r="T62" s="61">
        <f t="shared" si="11"/>
        <v>0</v>
      </c>
      <c r="U62" s="61">
        <f t="shared" si="11"/>
        <v>0</v>
      </c>
      <c r="V62" s="61">
        <f t="shared" si="11"/>
        <v>0</v>
      </c>
      <c r="W62" s="61">
        <f t="shared" si="11"/>
        <v>0</v>
      </c>
      <c r="X62" s="61">
        <f t="shared" si="11"/>
        <v>0</v>
      </c>
      <c r="Y62" s="61">
        <f t="shared" si="11"/>
        <v>0</v>
      </c>
      <c r="Z62" s="61">
        <f t="shared" si="11"/>
        <v>0</v>
      </c>
      <c r="AA62" s="61">
        <f t="shared" si="11"/>
        <v>0</v>
      </c>
      <c r="AB62" s="61">
        <f t="shared" si="11"/>
        <v>0</v>
      </c>
      <c r="AC62" s="61">
        <f t="shared" si="11"/>
        <v>0</v>
      </c>
      <c r="AD62" s="61">
        <f t="shared" si="11"/>
        <v>0</v>
      </c>
      <c r="AE62" s="61">
        <f t="shared" si="11"/>
        <v>0</v>
      </c>
      <c r="AF62" s="61">
        <f t="shared" si="11"/>
        <v>0</v>
      </c>
      <c r="AG62" s="62">
        <f t="shared" si="11"/>
        <v>106</v>
      </c>
      <c r="AH62" s="48">
        <f t="shared" si="2"/>
        <v>0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-175.6</v>
      </c>
      <c r="C65" s="65">
        <v>-178.5</v>
      </c>
      <c r="D65" s="65">
        <v>181.8</v>
      </c>
      <c r="E65" s="65">
        <v>-190.5</v>
      </c>
      <c r="F65" s="65">
        <v>-186</v>
      </c>
      <c r="G65" s="65">
        <v>-158</v>
      </c>
      <c r="H65" s="65">
        <v>-171.9</v>
      </c>
      <c r="I65" s="65">
        <v>-173</v>
      </c>
      <c r="J65" s="65">
        <v>-155</v>
      </c>
      <c r="K65" s="65">
        <v>-120.6</v>
      </c>
      <c r="L65" s="65">
        <v>-31.6</v>
      </c>
      <c r="M65" s="65">
        <v>-75.599999999999994</v>
      </c>
      <c r="N65" s="65">
        <v>-106.6</v>
      </c>
      <c r="O65" s="65">
        <v>-120</v>
      </c>
      <c r="P65" s="65">
        <v>-148.19999999999999</v>
      </c>
      <c r="Q65" s="65">
        <v>-134</v>
      </c>
      <c r="R65" s="65">
        <v>-145</v>
      </c>
      <c r="S65" s="65">
        <v>-132.69999999999999</v>
      </c>
      <c r="T65" s="65">
        <v>-113</v>
      </c>
      <c r="U65" s="65">
        <v>-119</v>
      </c>
      <c r="V65" s="65">
        <v>-118</v>
      </c>
      <c r="W65" s="65">
        <v>-49.3</v>
      </c>
      <c r="X65" s="65">
        <v>2.7</v>
      </c>
      <c r="Y65" s="65">
        <v>-36.700000000000003</v>
      </c>
      <c r="Z65" s="65">
        <v>-81</v>
      </c>
      <c r="AA65" s="65">
        <v>-91</v>
      </c>
      <c r="AB65" s="65">
        <v>-117</v>
      </c>
      <c r="AC65" s="65">
        <v>-146</v>
      </c>
      <c r="AD65" s="65">
        <v>-157</v>
      </c>
      <c r="AE65" s="65">
        <v>-165</v>
      </c>
      <c r="AF65" s="65">
        <v>-122</v>
      </c>
      <c r="AG65" s="75"/>
      <c r="AH65" s="48">
        <f t="shared" si="2"/>
        <v>181.8</v>
      </c>
      <c r="AI65" s="49">
        <f t="shared" si="3"/>
        <v>-190.5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45">
        <v>0</v>
      </c>
      <c r="C68" s="45">
        <v>0</v>
      </c>
      <c r="D68" s="45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45">
        <v>0</v>
      </c>
      <c r="C69" s="45">
        <v>0</v>
      </c>
      <c r="D69" s="45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45">
        <v>0</v>
      </c>
      <c r="C70" s="45">
        <v>0</v>
      </c>
      <c r="D70" s="45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45">
        <v>0</v>
      </c>
      <c r="C71" s="45">
        <v>0</v>
      </c>
      <c r="D71" s="45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45">
        <v>0</v>
      </c>
      <c r="C72" s="45">
        <v>0</v>
      </c>
      <c r="D72" s="45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45">
        <v>0</v>
      </c>
      <c r="C73" s="45">
        <v>0</v>
      </c>
      <c r="D73" s="45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" si="12">SUMIF(B63:B73,"&gt;0")</f>
        <v>0</v>
      </c>
      <c r="C74" s="61">
        <f t="shared" ref="C74:AF74" si="13">SUMIF(C63:C73,"&gt;0")</f>
        <v>0</v>
      </c>
      <c r="D74" s="61">
        <f t="shared" si="13"/>
        <v>181.8</v>
      </c>
      <c r="E74" s="61">
        <f t="shared" si="13"/>
        <v>0</v>
      </c>
      <c r="F74" s="61">
        <f t="shared" si="13"/>
        <v>0</v>
      </c>
      <c r="G74" s="61">
        <f t="shared" si="13"/>
        <v>0</v>
      </c>
      <c r="H74" s="61">
        <f t="shared" si="13"/>
        <v>0</v>
      </c>
      <c r="I74" s="61">
        <f t="shared" si="13"/>
        <v>0</v>
      </c>
      <c r="J74" s="61">
        <f t="shared" si="13"/>
        <v>0</v>
      </c>
      <c r="K74" s="61">
        <f t="shared" si="13"/>
        <v>0</v>
      </c>
      <c r="L74" s="61">
        <f t="shared" si="13"/>
        <v>0</v>
      </c>
      <c r="M74" s="61">
        <f t="shared" si="13"/>
        <v>0</v>
      </c>
      <c r="N74" s="61">
        <f t="shared" si="13"/>
        <v>0</v>
      </c>
      <c r="O74" s="61">
        <f t="shared" si="13"/>
        <v>0</v>
      </c>
      <c r="P74" s="61">
        <f t="shared" si="13"/>
        <v>0</v>
      </c>
      <c r="Q74" s="61">
        <f t="shared" si="13"/>
        <v>0</v>
      </c>
      <c r="R74" s="61">
        <f t="shared" si="13"/>
        <v>0</v>
      </c>
      <c r="S74" s="61">
        <f t="shared" si="13"/>
        <v>0</v>
      </c>
      <c r="T74" s="61">
        <f t="shared" si="13"/>
        <v>0</v>
      </c>
      <c r="U74" s="61">
        <f t="shared" si="13"/>
        <v>0</v>
      </c>
      <c r="V74" s="61">
        <f t="shared" si="13"/>
        <v>0</v>
      </c>
      <c r="W74" s="61">
        <f t="shared" si="13"/>
        <v>0</v>
      </c>
      <c r="X74" s="61">
        <f t="shared" si="13"/>
        <v>2.7</v>
      </c>
      <c r="Y74" s="61">
        <f t="shared" si="13"/>
        <v>0</v>
      </c>
      <c r="Z74" s="61">
        <f t="shared" si="13"/>
        <v>0</v>
      </c>
      <c r="AA74" s="61">
        <f t="shared" si="13"/>
        <v>0</v>
      </c>
      <c r="AB74" s="61">
        <f t="shared" si="13"/>
        <v>0</v>
      </c>
      <c r="AC74" s="61">
        <f t="shared" si="13"/>
        <v>0</v>
      </c>
      <c r="AD74" s="61">
        <f t="shared" si="13"/>
        <v>0</v>
      </c>
      <c r="AE74" s="61">
        <f t="shared" si="13"/>
        <v>0</v>
      </c>
      <c r="AF74" s="61">
        <f t="shared" si="13"/>
        <v>0</v>
      </c>
      <c r="AG74" s="81">
        <f>SUM(AG63:AG73)</f>
        <v>0</v>
      </c>
      <c r="AH74" s="48">
        <f t="shared" si="2"/>
        <v>181.8</v>
      </c>
      <c r="AI74" s="49">
        <f t="shared" si="3"/>
        <v>0</v>
      </c>
      <c r="AK74" s="50"/>
    </row>
    <row r="75" spans="1:37" x14ac:dyDescent="0.25">
      <c r="A75" s="44" t="s">
        <v>83</v>
      </c>
      <c r="B75" s="76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/>
      <c r="AC75" s="76"/>
      <c r="AD75" s="76"/>
      <c r="AE75" s="76"/>
      <c r="AF75" s="76"/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/>
      <c r="AC76" s="77"/>
      <c r="AD76" s="77"/>
      <c r="AE76" s="77"/>
      <c r="AF76" s="77"/>
      <c r="AG76" s="75">
        <v>14.4</v>
      </c>
      <c r="AH76" s="48">
        <f t="shared" ref="AH76:AH109" si="14">MAX(B76:AF76)</f>
        <v>0</v>
      </c>
      <c r="AI76" s="49">
        <f t="shared" ref="AI76:AI109" si="15">MIN(B76:AF76)</f>
        <v>0</v>
      </c>
      <c r="AK76" s="50"/>
    </row>
    <row r="77" spans="1:37" ht="15.75" thickBot="1" x14ac:dyDescent="0.3">
      <c r="A77" s="78" t="s">
        <v>85</v>
      </c>
      <c r="B77" s="79">
        <v>0</v>
      </c>
      <c r="C77" s="79">
        <v>0</v>
      </c>
      <c r="D77" s="79">
        <v>0</v>
      </c>
      <c r="E77" s="79">
        <v>0</v>
      </c>
      <c r="F77" s="79">
        <v>0</v>
      </c>
      <c r="G77" s="79">
        <v>0</v>
      </c>
      <c r="H77" s="79">
        <v>0</v>
      </c>
      <c r="I77" s="79">
        <v>0</v>
      </c>
      <c r="J77" s="79">
        <v>0</v>
      </c>
      <c r="K77" s="79">
        <v>0</v>
      </c>
      <c r="L77" s="79">
        <v>0</v>
      </c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>
        <v>0</v>
      </c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79"/>
      <c r="AC77" s="79"/>
      <c r="AD77" s="79"/>
      <c r="AE77" s="79"/>
      <c r="AF77" s="79"/>
      <c r="AG77" s="80">
        <v>2</v>
      </c>
      <c r="AH77" s="48">
        <f t="shared" si="14"/>
        <v>0</v>
      </c>
      <c r="AI77" s="49">
        <f t="shared" si="15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14"/>
        <v>0</v>
      </c>
      <c r="AI78" s="49">
        <f t="shared" si="15"/>
        <v>0</v>
      </c>
    </row>
    <row r="79" spans="1:37" ht="15.75" thickBot="1" x14ac:dyDescent="0.3">
      <c r="A79" s="74" t="s">
        <v>87</v>
      </c>
      <c r="B79" s="83">
        <f t="shared" ref="B79" si="16">B40+B44+B62+B58+B74+B78</f>
        <v>1071.1399999999999</v>
      </c>
      <c r="C79" s="83">
        <f t="shared" ref="C79:AG79" si="17">C40+C44+C62+C58+C74+C78</f>
        <v>1061.44</v>
      </c>
      <c r="D79" s="83">
        <f t="shared" si="17"/>
        <v>1237.6399999999999</v>
      </c>
      <c r="E79" s="83">
        <f t="shared" si="17"/>
        <v>1047.04</v>
      </c>
      <c r="F79" s="83">
        <f t="shared" si="17"/>
        <v>1055.8399999999999</v>
      </c>
      <c r="G79" s="83">
        <f t="shared" si="17"/>
        <v>1103.74</v>
      </c>
      <c r="H79" s="83">
        <f t="shared" si="17"/>
        <v>1148.44</v>
      </c>
      <c r="I79" s="83">
        <f t="shared" si="17"/>
        <v>1179.04</v>
      </c>
      <c r="J79" s="83">
        <f t="shared" si="17"/>
        <v>1239.94</v>
      </c>
      <c r="K79" s="83">
        <f t="shared" si="17"/>
        <v>1260.94</v>
      </c>
      <c r="L79" s="83">
        <f t="shared" si="17"/>
        <v>1197.3400000000001</v>
      </c>
      <c r="M79" s="83">
        <f t="shared" si="17"/>
        <v>1262.6399999999999</v>
      </c>
      <c r="N79" s="83">
        <f t="shared" si="17"/>
        <v>1243.8399999999999</v>
      </c>
      <c r="O79" s="83">
        <f t="shared" si="17"/>
        <v>1205.44</v>
      </c>
      <c r="P79" s="83">
        <f t="shared" si="17"/>
        <v>1207.24</v>
      </c>
      <c r="Q79" s="83">
        <f t="shared" si="17"/>
        <v>1181.6399999999999</v>
      </c>
      <c r="R79" s="83">
        <f t="shared" si="17"/>
        <v>1182.44</v>
      </c>
      <c r="S79" s="83">
        <f t="shared" si="17"/>
        <v>1210.3400000000001</v>
      </c>
      <c r="T79" s="83">
        <f t="shared" si="17"/>
        <v>1219.74</v>
      </c>
      <c r="U79" s="83">
        <f t="shared" si="17"/>
        <v>1219.74</v>
      </c>
      <c r="V79" s="83">
        <f t="shared" si="17"/>
        <v>1239.54</v>
      </c>
      <c r="W79" s="83">
        <f t="shared" si="17"/>
        <v>1298.24</v>
      </c>
      <c r="X79" s="83">
        <f t="shared" si="17"/>
        <v>1325.8400000000001</v>
      </c>
      <c r="Y79" s="83">
        <f t="shared" si="17"/>
        <v>1323.14</v>
      </c>
      <c r="Z79" s="83">
        <f t="shared" si="17"/>
        <v>1327.04</v>
      </c>
      <c r="AA79" s="83">
        <f t="shared" si="17"/>
        <v>1276.6400000000001</v>
      </c>
      <c r="AB79" s="83">
        <f t="shared" si="17"/>
        <v>1254.24</v>
      </c>
      <c r="AC79" s="83">
        <f t="shared" si="17"/>
        <v>1252.24</v>
      </c>
      <c r="AD79" s="83">
        <f t="shared" si="17"/>
        <v>1236.44</v>
      </c>
      <c r="AE79" s="83">
        <f t="shared" si="17"/>
        <v>1122.1400000000001</v>
      </c>
      <c r="AF79" s="83">
        <f t="shared" si="17"/>
        <v>1052.24</v>
      </c>
      <c r="AG79" s="62">
        <f t="shared" si="17"/>
        <v>1897.1900000000003</v>
      </c>
      <c r="AH79" s="48">
        <f t="shared" si="14"/>
        <v>1327.04</v>
      </c>
      <c r="AI79" s="49">
        <f t="shared" si="15"/>
        <v>1047.04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>
        <v>40</v>
      </c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14"/>
        <v>40</v>
      </c>
      <c r="AI80" s="49">
        <f t="shared" si="15"/>
        <v>40</v>
      </c>
    </row>
    <row r="81" spans="1:37" ht="15.75" thickBot="1" x14ac:dyDescent="0.3">
      <c r="A81" s="74" t="s">
        <v>89</v>
      </c>
      <c r="B81" s="83">
        <f t="shared" ref="B81" si="18">B79+B80</f>
        <v>1071.1399999999999</v>
      </c>
      <c r="C81" s="83">
        <f t="shared" ref="C81:AF81" si="19">C79+C80</f>
        <v>1061.44</v>
      </c>
      <c r="D81" s="83">
        <f t="shared" si="19"/>
        <v>1237.6399999999999</v>
      </c>
      <c r="E81" s="83">
        <f t="shared" si="19"/>
        <v>1047.04</v>
      </c>
      <c r="F81" s="83">
        <f t="shared" si="19"/>
        <v>1055.8399999999999</v>
      </c>
      <c r="G81" s="83">
        <f t="shared" si="19"/>
        <v>1103.74</v>
      </c>
      <c r="H81" s="83">
        <f t="shared" si="19"/>
        <v>1148.44</v>
      </c>
      <c r="I81" s="83">
        <f t="shared" si="19"/>
        <v>1179.04</v>
      </c>
      <c r="J81" s="83">
        <f t="shared" si="19"/>
        <v>1239.94</v>
      </c>
      <c r="K81" s="83">
        <f t="shared" si="19"/>
        <v>1260.94</v>
      </c>
      <c r="L81" s="83">
        <f t="shared" si="19"/>
        <v>1197.3400000000001</v>
      </c>
      <c r="M81" s="83">
        <f t="shared" si="19"/>
        <v>1262.6399999999999</v>
      </c>
      <c r="N81" s="83">
        <f t="shared" si="19"/>
        <v>1243.8399999999999</v>
      </c>
      <c r="O81" s="83">
        <f t="shared" si="19"/>
        <v>1205.44</v>
      </c>
      <c r="P81" s="83">
        <f t="shared" si="19"/>
        <v>1207.24</v>
      </c>
      <c r="Q81" s="83">
        <f t="shared" si="19"/>
        <v>1181.6399999999999</v>
      </c>
      <c r="R81" s="83">
        <f t="shared" si="19"/>
        <v>1182.44</v>
      </c>
      <c r="S81" s="83">
        <f t="shared" si="19"/>
        <v>1210.3400000000001</v>
      </c>
      <c r="T81" s="83">
        <f t="shared" si="19"/>
        <v>1219.74</v>
      </c>
      <c r="U81" s="83">
        <f t="shared" si="19"/>
        <v>1219.74</v>
      </c>
      <c r="V81" s="83">
        <f t="shared" si="19"/>
        <v>1239.54</v>
      </c>
      <c r="W81" s="83">
        <f t="shared" si="19"/>
        <v>1298.24</v>
      </c>
      <c r="X81" s="83">
        <f t="shared" si="19"/>
        <v>1365.8400000000001</v>
      </c>
      <c r="Y81" s="83">
        <f t="shared" si="19"/>
        <v>1323.14</v>
      </c>
      <c r="Z81" s="83">
        <f t="shared" si="19"/>
        <v>1327.04</v>
      </c>
      <c r="AA81" s="83">
        <f t="shared" si="19"/>
        <v>1276.6400000000001</v>
      </c>
      <c r="AB81" s="83">
        <f t="shared" si="19"/>
        <v>1254.24</v>
      </c>
      <c r="AC81" s="83">
        <f t="shared" si="19"/>
        <v>1252.24</v>
      </c>
      <c r="AD81" s="83">
        <f t="shared" si="19"/>
        <v>1236.44</v>
      </c>
      <c r="AE81" s="83">
        <f t="shared" si="19"/>
        <v>1122.1400000000001</v>
      </c>
      <c r="AF81" s="83">
        <f t="shared" si="19"/>
        <v>1052.24</v>
      </c>
      <c r="AG81" s="81">
        <f>AG78+AG74+AG62+AG58+AG40+AG80</f>
        <v>1359.0900000000001</v>
      </c>
      <c r="AH81" s="48">
        <f t="shared" si="14"/>
        <v>1365.8400000000001</v>
      </c>
      <c r="AI81" s="49">
        <f t="shared" si="15"/>
        <v>1047.04</v>
      </c>
    </row>
    <row r="82" spans="1:37" ht="15.75" thickBot="1" x14ac:dyDescent="0.3">
      <c r="A82" s="74" t="s">
        <v>90</v>
      </c>
      <c r="B82" s="83">
        <f t="shared" ref="B82" si="20">B81-B89</f>
        <v>895.53999999999985</v>
      </c>
      <c r="C82" s="83">
        <f t="shared" ref="C82:AF82" si="21">C81-C89</f>
        <v>882.94</v>
      </c>
      <c r="D82" s="83">
        <f t="shared" si="21"/>
        <v>1237.6399999999999</v>
      </c>
      <c r="E82" s="83">
        <f t="shared" si="21"/>
        <v>856.54</v>
      </c>
      <c r="F82" s="83">
        <f t="shared" si="21"/>
        <v>869.83999999999992</v>
      </c>
      <c r="G82" s="83">
        <f t="shared" si="21"/>
        <v>945.74</v>
      </c>
      <c r="H82" s="83">
        <f t="shared" si="21"/>
        <v>976.54000000000008</v>
      </c>
      <c r="I82" s="83">
        <f t="shared" si="21"/>
        <v>1006.04</v>
      </c>
      <c r="J82" s="83">
        <f t="shared" si="21"/>
        <v>1084.94</v>
      </c>
      <c r="K82" s="83">
        <f t="shared" si="21"/>
        <v>1140.3400000000001</v>
      </c>
      <c r="L82" s="83">
        <f t="shared" si="21"/>
        <v>1165.7400000000002</v>
      </c>
      <c r="M82" s="83">
        <f t="shared" si="21"/>
        <v>1187.04</v>
      </c>
      <c r="N82" s="83">
        <f t="shared" si="21"/>
        <v>1137.24</v>
      </c>
      <c r="O82" s="83">
        <f t="shared" si="21"/>
        <v>1085.44</v>
      </c>
      <c r="P82" s="83">
        <f t="shared" si="21"/>
        <v>1059.04</v>
      </c>
      <c r="Q82" s="83">
        <f t="shared" si="21"/>
        <v>1047.6399999999999</v>
      </c>
      <c r="R82" s="83">
        <f t="shared" si="21"/>
        <v>1037.44</v>
      </c>
      <c r="S82" s="83">
        <f t="shared" si="21"/>
        <v>1077.6400000000001</v>
      </c>
      <c r="T82" s="83">
        <f t="shared" si="21"/>
        <v>1106.74</v>
      </c>
      <c r="U82" s="83">
        <f t="shared" si="21"/>
        <v>1100.74</v>
      </c>
      <c r="V82" s="83">
        <f t="shared" si="21"/>
        <v>1121.54</v>
      </c>
      <c r="W82" s="83">
        <f t="shared" si="21"/>
        <v>1248.94</v>
      </c>
      <c r="X82" s="83">
        <f t="shared" si="21"/>
        <v>1365.8400000000001</v>
      </c>
      <c r="Y82" s="83">
        <f t="shared" si="21"/>
        <v>1286.44</v>
      </c>
      <c r="Z82" s="83">
        <f t="shared" si="21"/>
        <v>1246.04</v>
      </c>
      <c r="AA82" s="83">
        <f t="shared" si="21"/>
        <v>1185.6400000000001</v>
      </c>
      <c r="AB82" s="83">
        <f t="shared" si="21"/>
        <v>1137.24</v>
      </c>
      <c r="AC82" s="83">
        <f t="shared" si="21"/>
        <v>1106.24</v>
      </c>
      <c r="AD82" s="83">
        <f t="shared" si="21"/>
        <v>1079.44</v>
      </c>
      <c r="AE82" s="83">
        <f t="shared" si="21"/>
        <v>957.1400000000001</v>
      </c>
      <c r="AF82" s="83">
        <f t="shared" si="21"/>
        <v>930.24</v>
      </c>
      <c r="AG82" s="81"/>
      <c r="AH82" s="48">
        <f t="shared" si="14"/>
        <v>1365.8400000000001</v>
      </c>
      <c r="AI82" s="49">
        <f t="shared" si="15"/>
        <v>856.54</v>
      </c>
    </row>
    <row r="83" spans="1:37" x14ac:dyDescent="0.25">
      <c r="A83" s="44" t="s">
        <v>74</v>
      </c>
      <c r="B83" s="76">
        <f t="shared" ref="B83" si="22">IF(B66&lt;0,B66*-1,0)</f>
        <v>0</v>
      </c>
      <c r="C83" s="76">
        <f t="shared" ref="C83:AF83" si="23">IF(C66&lt;0,C66*-1,0)</f>
        <v>0</v>
      </c>
      <c r="D83" s="76">
        <f t="shared" si="23"/>
        <v>0</v>
      </c>
      <c r="E83" s="76">
        <f t="shared" si="23"/>
        <v>0</v>
      </c>
      <c r="F83" s="76">
        <f t="shared" si="23"/>
        <v>0</v>
      </c>
      <c r="G83" s="76">
        <f t="shared" si="23"/>
        <v>0</v>
      </c>
      <c r="H83" s="76">
        <f t="shared" si="23"/>
        <v>0</v>
      </c>
      <c r="I83" s="76">
        <f t="shared" si="23"/>
        <v>0</v>
      </c>
      <c r="J83" s="76">
        <f t="shared" si="23"/>
        <v>0</v>
      </c>
      <c r="K83" s="76">
        <f t="shared" si="23"/>
        <v>0</v>
      </c>
      <c r="L83" s="76">
        <f t="shared" si="23"/>
        <v>0</v>
      </c>
      <c r="M83" s="76">
        <f t="shared" si="23"/>
        <v>0</v>
      </c>
      <c r="N83" s="76">
        <f t="shared" si="23"/>
        <v>0</v>
      </c>
      <c r="O83" s="76">
        <f t="shared" si="23"/>
        <v>0</v>
      </c>
      <c r="P83" s="76">
        <f t="shared" si="23"/>
        <v>0</v>
      </c>
      <c r="Q83" s="76">
        <f t="shared" si="23"/>
        <v>0</v>
      </c>
      <c r="R83" s="76">
        <f t="shared" si="23"/>
        <v>0</v>
      </c>
      <c r="S83" s="76">
        <f t="shared" si="23"/>
        <v>0</v>
      </c>
      <c r="T83" s="76">
        <f t="shared" si="23"/>
        <v>0</v>
      </c>
      <c r="U83" s="76">
        <f t="shared" si="23"/>
        <v>0</v>
      </c>
      <c r="V83" s="76">
        <f t="shared" si="23"/>
        <v>0</v>
      </c>
      <c r="W83" s="76">
        <f t="shared" si="23"/>
        <v>0</v>
      </c>
      <c r="X83" s="76">
        <f t="shared" si="23"/>
        <v>0</v>
      </c>
      <c r="Y83" s="76">
        <f t="shared" si="23"/>
        <v>0</v>
      </c>
      <c r="Z83" s="76">
        <f t="shared" si="23"/>
        <v>0</v>
      </c>
      <c r="AA83" s="76">
        <f t="shared" si="23"/>
        <v>0</v>
      </c>
      <c r="AB83" s="76">
        <f t="shared" si="23"/>
        <v>0</v>
      </c>
      <c r="AC83" s="76">
        <f t="shared" si="23"/>
        <v>0</v>
      </c>
      <c r="AD83" s="76">
        <f t="shared" si="23"/>
        <v>0</v>
      </c>
      <c r="AE83" s="76">
        <f t="shared" si="23"/>
        <v>0</v>
      </c>
      <c r="AF83" s="76">
        <f t="shared" si="23"/>
        <v>0</v>
      </c>
      <c r="AG83" s="52"/>
      <c r="AH83" s="48">
        <f t="shared" si="14"/>
        <v>0</v>
      </c>
      <c r="AI83" s="49">
        <f t="shared" si="15"/>
        <v>0</v>
      </c>
    </row>
    <row r="84" spans="1:37" x14ac:dyDescent="0.25">
      <c r="A84" s="54" t="s">
        <v>72</v>
      </c>
      <c r="B84" s="76">
        <f t="shared" ref="B84" si="24">IF(B64&lt;0,B64*-1,0)</f>
        <v>0</v>
      </c>
      <c r="C84" s="76">
        <f t="shared" ref="C84:AF84" si="25">IF(C64&lt;0,C64*-1,0)</f>
        <v>0</v>
      </c>
      <c r="D84" s="76">
        <f t="shared" si="25"/>
        <v>0</v>
      </c>
      <c r="E84" s="76">
        <f t="shared" si="25"/>
        <v>0</v>
      </c>
      <c r="F84" s="76">
        <f t="shared" si="25"/>
        <v>0</v>
      </c>
      <c r="G84" s="76">
        <f t="shared" si="25"/>
        <v>0</v>
      </c>
      <c r="H84" s="76">
        <f t="shared" si="25"/>
        <v>0</v>
      </c>
      <c r="I84" s="76">
        <f t="shared" si="25"/>
        <v>0</v>
      </c>
      <c r="J84" s="76">
        <f t="shared" si="25"/>
        <v>0</v>
      </c>
      <c r="K84" s="76">
        <f t="shared" si="25"/>
        <v>0</v>
      </c>
      <c r="L84" s="76">
        <f t="shared" si="25"/>
        <v>0</v>
      </c>
      <c r="M84" s="76">
        <f t="shared" si="25"/>
        <v>0</v>
      </c>
      <c r="N84" s="76">
        <f t="shared" si="25"/>
        <v>0</v>
      </c>
      <c r="O84" s="76">
        <f t="shared" si="25"/>
        <v>0</v>
      </c>
      <c r="P84" s="76">
        <f t="shared" si="25"/>
        <v>0</v>
      </c>
      <c r="Q84" s="76">
        <f t="shared" si="25"/>
        <v>0</v>
      </c>
      <c r="R84" s="76">
        <f t="shared" si="25"/>
        <v>0</v>
      </c>
      <c r="S84" s="76">
        <f t="shared" si="25"/>
        <v>0</v>
      </c>
      <c r="T84" s="76">
        <f t="shared" si="25"/>
        <v>0</v>
      </c>
      <c r="U84" s="76">
        <f t="shared" si="25"/>
        <v>0</v>
      </c>
      <c r="V84" s="76">
        <f t="shared" si="25"/>
        <v>0</v>
      </c>
      <c r="W84" s="76">
        <f t="shared" si="25"/>
        <v>0</v>
      </c>
      <c r="X84" s="76">
        <f t="shared" si="25"/>
        <v>0</v>
      </c>
      <c r="Y84" s="76">
        <f t="shared" si="25"/>
        <v>0</v>
      </c>
      <c r="Z84" s="76">
        <f t="shared" si="25"/>
        <v>0</v>
      </c>
      <c r="AA84" s="76">
        <f t="shared" si="25"/>
        <v>0</v>
      </c>
      <c r="AB84" s="76">
        <f t="shared" si="25"/>
        <v>0</v>
      </c>
      <c r="AC84" s="76">
        <f t="shared" si="25"/>
        <v>0</v>
      </c>
      <c r="AD84" s="76">
        <f t="shared" si="25"/>
        <v>0</v>
      </c>
      <c r="AE84" s="76">
        <f t="shared" si="25"/>
        <v>0</v>
      </c>
      <c r="AF84" s="76">
        <f t="shared" si="25"/>
        <v>0</v>
      </c>
      <c r="AG84" s="55"/>
      <c r="AH84" s="48">
        <f t="shared" si="14"/>
        <v>0</v>
      </c>
      <c r="AI84" s="49">
        <f t="shared" si="15"/>
        <v>0</v>
      </c>
      <c r="AK84" s="172" t="e">
        <f>6:21-2:59</f>
        <v>#VALUE!</v>
      </c>
    </row>
    <row r="85" spans="1:37" x14ac:dyDescent="0.25">
      <c r="A85" s="78" t="s">
        <v>91</v>
      </c>
      <c r="B85" s="76">
        <f t="shared" ref="B85" si="26">IF(B67&lt;0,B67*-1,0)</f>
        <v>0</v>
      </c>
      <c r="C85" s="76">
        <f t="shared" ref="C85:AF85" si="27">IF(C67&lt;0,C67*-1,0)</f>
        <v>0</v>
      </c>
      <c r="D85" s="76">
        <f t="shared" si="27"/>
        <v>0</v>
      </c>
      <c r="E85" s="76">
        <f t="shared" si="27"/>
        <v>0</v>
      </c>
      <c r="F85" s="76">
        <f t="shared" si="27"/>
        <v>0</v>
      </c>
      <c r="G85" s="76">
        <f t="shared" si="27"/>
        <v>0</v>
      </c>
      <c r="H85" s="76">
        <f t="shared" si="27"/>
        <v>0</v>
      </c>
      <c r="I85" s="76">
        <f t="shared" si="27"/>
        <v>0</v>
      </c>
      <c r="J85" s="76">
        <f t="shared" si="27"/>
        <v>0</v>
      </c>
      <c r="K85" s="76">
        <f t="shared" si="27"/>
        <v>0</v>
      </c>
      <c r="L85" s="76">
        <f t="shared" si="27"/>
        <v>0</v>
      </c>
      <c r="M85" s="76">
        <f t="shared" si="27"/>
        <v>0</v>
      </c>
      <c r="N85" s="76">
        <f t="shared" si="27"/>
        <v>0</v>
      </c>
      <c r="O85" s="76">
        <f t="shared" si="27"/>
        <v>0</v>
      </c>
      <c r="P85" s="76">
        <f t="shared" si="27"/>
        <v>0</v>
      </c>
      <c r="Q85" s="76">
        <f t="shared" si="27"/>
        <v>0</v>
      </c>
      <c r="R85" s="76">
        <f t="shared" si="27"/>
        <v>0</v>
      </c>
      <c r="S85" s="76">
        <f t="shared" si="27"/>
        <v>0</v>
      </c>
      <c r="T85" s="76">
        <f t="shared" si="27"/>
        <v>0</v>
      </c>
      <c r="U85" s="76">
        <f t="shared" si="27"/>
        <v>0</v>
      </c>
      <c r="V85" s="76">
        <f t="shared" si="27"/>
        <v>0</v>
      </c>
      <c r="W85" s="76">
        <f t="shared" si="27"/>
        <v>0</v>
      </c>
      <c r="X85" s="76">
        <f t="shared" si="27"/>
        <v>0</v>
      </c>
      <c r="Y85" s="76">
        <f t="shared" si="27"/>
        <v>0</v>
      </c>
      <c r="Z85" s="76">
        <f t="shared" si="27"/>
        <v>0</v>
      </c>
      <c r="AA85" s="76">
        <f t="shared" si="27"/>
        <v>0</v>
      </c>
      <c r="AB85" s="76">
        <f t="shared" si="27"/>
        <v>0</v>
      </c>
      <c r="AC85" s="76">
        <f t="shared" si="27"/>
        <v>0</v>
      </c>
      <c r="AD85" s="76">
        <f t="shared" si="27"/>
        <v>0</v>
      </c>
      <c r="AE85" s="76">
        <f t="shared" si="27"/>
        <v>0</v>
      </c>
      <c r="AF85" s="76">
        <f t="shared" si="27"/>
        <v>0</v>
      </c>
      <c r="AG85" s="86"/>
      <c r="AH85" s="48">
        <f t="shared" si="14"/>
        <v>0</v>
      </c>
      <c r="AI85" s="49">
        <f t="shared" si="15"/>
        <v>0</v>
      </c>
    </row>
    <row r="86" spans="1:37" x14ac:dyDescent="0.25">
      <c r="A86" s="78" t="s">
        <v>92</v>
      </c>
      <c r="B86" s="76">
        <f t="shared" ref="B86" si="28">IF(B65&lt;0,B65*-1,0)</f>
        <v>175.6</v>
      </c>
      <c r="C86" s="76">
        <f t="shared" ref="C86:AF86" si="29">IF(C65&lt;0,C65*-1,0)</f>
        <v>178.5</v>
      </c>
      <c r="D86" s="76">
        <f t="shared" si="29"/>
        <v>0</v>
      </c>
      <c r="E86" s="76">
        <f t="shared" si="29"/>
        <v>190.5</v>
      </c>
      <c r="F86" s="76">
        <f t="shared" si="29"/>
        <v>186</v>
      </c>
      <c r="G86" s="76">
        <f t="shared" si="29"/>
        <v>158</v>
      </c>
      <c r="H86" s="76">
        <f t="shared" si="29"/>
        <v>171.9</v>
      </c>
      <c r="I86" s="76">
        <f t="shared" si="29"/>
        <v>173</v>
      </c>
      <c r="J86" s="76">
        <f t="shared" si="29"/>
        <v>155</v>
      </c>
      <c r="K86" s="76">
        <f t="shared" si="29"/>
        <v>120.6</v>
      </c>
      <c r="L86" s="76">
        <f t="shared" si="29"/>
        <v>31.6</v>
      </c>
      <c r="M86" s="76">
        <f t="shared" si="29"/>
        <v>75.599999999999994</v>
      </c>
      <c r="N86" s="76">
        <f t="shared" si="29"/>
        <v>106.6</v>
      </c>
      <c r="O86" s="76">
        <f t="shared" si="29"/>
        <v>120</v>
      </c>
      <c r="P86" s="76">
        <f t="shared" si="29"/>
        <v>148.19999999999999</v>
      </c>
      <c r="Q86" s="76">
        <f t="shared" si="29"/>
        <v>134</v>
      </c>
      <c r="R86" s="76">
        <f t="shared" si="29"/>
        <v>145</v>
      </c>
      <c r="S86" s="76">
        <f t="shared" si="29"/>
        <v>132.69999999999999</v>
      </c>
      <c r="T86" s="76">
        <f t="shared" si="29"/>
        <v>113</v>
      </c>
      <c r="U86" s="76">
        <f t="shared" si="29"/>
        <v>119</v>
      </c>
      <c r="V86" s="76">
        <f t="shared" si="29"/>
        <v>118</v>
      </c>
      <c r="W86" s="76">
        <f t="shared" si="29"/>
        <v>49.3</v>
      </c>
      <c r="X86" s="76">
        <f t="shared" si="29"/>
        <v>0</v>
      </c>
      <c r="Y86" s="76">
        <f t="shared" si="29"/>
        <v>36.700000000000003</v>
      </c>
      <c r="Z86" s="76">
        <f t="shared" si="29"/>
        <v>81</v>
      </c>
      <c r="AA86" s="76">
        <f t="shared" si="29"/>
        <v>91</v>
      </c>
      <c r="AB86" s="76">
        <f t="shared" si="29"/>
        <v>117</v>
      </c>
      <c r="AC86" s="76">
        <f t="shared" si="29"/>
        <v>146</v>
      </c>
      <c r="AD86" s="76">
        <f t="shared" si="29"/>
        <v>157</v>
      </c>
      <c r="AE86" s="76">
        <f t="shared" si="29"/>
        <v>165</v>
      </c>
      <c r="AF86" s="76">
        <f t="shared" si="29"/>
        <v>122</v>
      </c>
      <c r="AG86" s="86"/>
      <c r="AH86" s="48">
        <f t="shared" si="14"/>
        <v>190.5</v>
      </c>
      <c r="AI86" s="49">
        <f t="shared" si="15"/>
        <v>0</v>
      </c>
    </row>
    <row r="87" spans="1:37" x14ac:dyDescent="0.25">
      <c r="A87" s="78" t="s">
        <v>71</v>
      </c>
      <c r="B87" s="76">
        <f t="shared" ref="B87" si="30">IF(B63&lt;0,B63*-1,0)</f>
        <v>0</v>
      </c>
      <c r="C87" s="76">
        <f t="shared" ref="C87:AF87" si="31">IF(C63&lt;0,C63*-1,0)</f>
        <v>0</v>
      </c>
      <c r="D87" s="76">
        <f t="shared" si="31"/>
        <v>0</v>
      </c>
      <c r="E87" s="76">
        <f t="shared" si="31"/>
        <v>0</v>
      </c>
      <c r="F87" s="76">
        <f t="shared" si="31"/>
        <v>0</v>
      </c>
      <c r="G87" s="76">
        <f t="shared" si="31"/>
        <v>0</v>
      </c>
      <c r="H87" s="76">
        <f t="shared" si="31"/>
        <v>0</v>
      </c>
      <c r="I87" s="76">
        <f t="shared" si="31"/>
        <v>0</v>
      </c>
      <c r="J87" s="76">
        <f t="shared" si="31"/>
        <v>0</v>
      </c>
      <c r="K87" s="76">
        <f t="shared" si="31"/>
        <v>0</v>
      </c>
      <c r="L87" s="76">
        <f t="shared" si="31"/>
        <v>0</v>
      </c>
      <c r="M87" s="76">
        <f t="shared" si="31"/>
        <v>0</v>
      </c>
      <c r="N87" s="76">
        <f t="shared" si="31"/>
        <v>0</v>
      </c>
      <c r="O87" s="76">
        <f t="shared" si="31"/>
        <v>0</v>
      </c>
      <c r="P87" s="76">
        <f t="shared" si="31"/>
        <v>0</v>
      </c>
      <c r="Q87" s="76">
        <f t="shared" si="31"/>
        <v>0</v>
      </c>
      <c r="R87" s="76">
        <f t="shared" si="31"/>
        <v>0</v>
      </c>
      <c r="S87" s="76">
        <f t="shared" si="31"/>
        <v>0</v>
      </c>
      <c r="T87" s="76">
        <f t="shared" si="31"/>
        <v>0</v>
      </c>
      <c r="U87" s="76">
        <f t="shared" si="31"/>
        <v>0</v>
      </c>
      <c r="V87" s="76">
        <f t="shared" si="31"/>
        <v>0</v>
      </c>
      <c r="W87" s="76">
        <f t="shared" si="31"/>
        <v>0</v>
      </c>
      <c r="X87" s="76">
        <f t="shared" si="31"/>
        <v>0</v>
      </c>
      <c r="Y87" s="76">
        <f t="shared" si="31"/>
        <v>0</v>
      </c>
      <c r="Z87" s="76">
        <f t="shared" si="31"/>
        <v>0</v>
      </c>
      <c r="AA87" s="76">
        <f t="shared" si="31"/>
        <v>0</v>
      </c>
      <c r="AB87" s="76">
        <f t="shared" si="31"/>
        <v>0</v>
      </c>
      <c r="AC87" s="76">
        <f t="shared" si="31"/>
        <v>0</v>
      </c>
      <c r="AD87" s="76">
        <f t="shared" si="31"/>
        <v>0</v>
      </c>
      <c r="AE87" s="76">
        <f t="shared" si="31"/>
        <v>0</v>
      </c>
      <c r="AF87" s="76">
        <f t="shared" si="31"/>
        <v>0</v>
      </c>
      <c r="AG87" s="86"/>
      <c r="AH87" s="48">
        <f t="shared" si="14"/>
        <v>0</v>
      </c>
      <c r="AI87" s="49">
        <f t="shared" si="15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14"/>
        <v>0</v>
      </c>
      <c r="AI88" s="49">
        <f t="shared" si="15"/>
        <v>0</v>
      </c>
    </row>
    <row r="89" spans="1:37" ht="15.75" thickBot="1" x14ac:dyDescent="0.3">
      <c r="A89" s="87" t="s">
        <v>94</v>
      </c>
      <c r="B89" s="61">
        <f t="shared" ref="B89" si="32">SUM(B83:B88)</f>
        <v>175.6</v>
      </c>
      <c r="C89" s="61">
        <f t="shared" ref="C89:AF89" si="33">SUM(C83:C88)</f>
        <v>178.5</v>
      </c>
      <c r="D89" s="61">
        <f t="shared" si="33"/>
        <v>0</v>
      </c>
      <c r="E89" s="61">
        <f t="shared" si="33"/>
        <v>190.5</v>
      </c>
      <c r="F89" s="61">
        <f t="shared" si="33"/>
        <v>186</v>
      </c>
      <c r="G89" s="61">
        <f t="shared" si="33"/>
        <v>158</v>
      </c>
      <c r="H89" s="61">
        <f t="shared" si="33"/>
        <v>171.9</v>
      </c>
      <c r="I89" s="61">
        <f t="shared" si="33"/>
        <v>173</v>
      </c>
      <c r="J89" s="61">
        <f t="shared" si="33"/>
        <v>155</v>
      </c>
      <c r="K89" s="61">
        <f t="shared" si="33"/>
        <v>120.6</v>
      </c>
      <c r="L89" s="61">
        <f t="shared" si="33"/>
        <v>31.6</v>
      </c>
      <c r="M89" s="61">
        <f t="shared" si="33"/>
        <v>75.599999999999994</v>
      </c>
      <c r="N89" s="61">
        <f t="shared" si="33"/>
        <v>106.6</v>
      </c>
      <c r="O89" s="61">
        <f t="shared" si="33"/>
        <v>120</v>
      </c>
      <c r="P89" s="61">
        <f t="shared" si="33"/>
        <v>148.19999999999999</v>
      </c>
      <c r="Q89" s="61">
        <f t="shared" si="33"/>
        <v>134</v>
      </c>
      <c r="R89" s="61">
        <f t="shared" si="33"/>
        <v>145</v>
      </c>
      <c r="S89" s="61">
        <f t="shared" si="33"/>
        <v>132.69999999999999</v>
      </c>
      <c r="T89" s="61">
        <f t="shared" si="33"/>
        <v>113</v>
      </c>
      <c r="U89" s="61">
        <f t="shared" si="33"/>
        <v>119</v>
      </c>
      <c r="V89" s="61">
        <f t="shared" si="33"/>
        <v>118</v>
      </c>
      <c r="W89" s="61">
        <f t="shared" si="33"/>
        <v>49.3</v>
      </c>
      <c r="X89" s="61">
        <f t="shared" si="33"/>
        <v>0</v>
      </c>
      <c r="Y89" s="61">
        <f t="shared" si="33"/>
        <v>36.700000000000003</v>
      </c>
      <c r="Z89" s="61">
        <f t="shared" si="33"/>
        <v>81</v>
      </c>
      <c r="AA89" s="61">
        <f t="shared" si="33"/>
        <v>91</v>
      </c>
      <c r="AB89" s="61">
        <f t="shared" si="33"/>
        <v>117</v>
      </c>
      <c r="AC89" s="61">
        <f t="shared" si="33"/>
        <v>146</v>
      </c>
      <c r="AD89" s="61">
        <f t="shared" si="33"/>
        <v>157</v>
      </c>
      <c r="AE89" s="61">
        <f t="shared" si="33"/>
        <v>165</v>
      </c>
      <c r="AF89" s="61">
        <f t="shared" si="33"/>
        <v>122</v>
      </c>
      <c r="AG89" s="81"/>
      <c r="AH89" s="48">
        <f t="shared" si="14"/>
        <v>190.5</v>
      </c>
      <c r="AI89" s="49">
        <f t="shared" si="15"/>
        <v>0</v>
      </c>
      <c r="AK89" s="50"/>
    </row>
    <row r="90" spans="1:37" ht="15.75" thickBot="1" x14ac:dyDescent="0.3">
      <c r="A90" s="74" t="s">
        <v>95</v>
      </c>
      <c r="B90" s="61">
        <f t="shared" ref="B90" si="34">B74-B89</f>
        <v>-175.6</v>
      </c>
      <c r="C90" s="61">
        <f t="shared" ref="C90:AF90" si="35">C74-C89</f>
        <v>-178.5</v>
      </c>
      <c r="D90" s="61">
        <f t="shared" si="35"/>
        <v>181.8</v>
      </c>
      <c r="E90" s="61">
        <f t="shared" si="35"/>
        <v>-190.5</v>
      </c>
      <c r="F90" s="61">
        <f t="shared" si="35"/>
        <v>-186</v>
      </c>
      <c r="G90" s="61">
        <f t="shared" si="35"/>
        <v>-158</v>
      </c>
      <c r="H90" s="61">
        <f t="shared" si="35"/>
        <v>-171.9</v>
      </c>
      <c r="I90" s="61">
        <f t="shared" si="35"/>
        <v>-173</v>
      </c>
      <c r="J90" s="61">
        <f t="shared" si="35"/>
        <v>-155</v>
      </c>
      <c r="K90" s="61">
        <f t="shared" si="35"/>
        <v>-120.6</v>
      </c>
      <c r="L90" s="61">
        <f t="shared" si="35"/>
        <v>-31.6</v>
      </c>
      <c r="M90" s="61">
        <f t="shared" si="35"/>
        <v>-75.599999999999994</v>
      </c>
      <c r="N90" s="61">
        <f t="shared" si="35"/>
        <v>-106.6</v>
      </c>
      <c r="O90" s="61">
        <f t="shared" si="35"/>
        <v>-120</v>
      </c>
      <c r="P90" s="61">
        <f t="shared" si="35"/>
        <v>-148.19999999999999</v>
      </c>
      <c r="Q90" s="61">
        <f t="shared" si="35"/>
        <v>-134</v>
      </c>
      <c r="R90" s="61">
        <f t="shared" si="35"/>
        <v>-145</v>
      </c>
      <c r="S90" s="61">
        <f t="shared" si="35"/>
        <v>-132.69999999999999</v>
      </c>
      <c r="T90" s="61">
        <f t="shared" si="35"/>
        <v>-113</v>
      </c>
      <c r="U90" s="61">
        <f t="shared" si="35"/>
        <v>-119</v>
      </c>
      <c r="V90" s="61">
        <f t="shared" si="35"/>
        <v>-118</v>
      </c>
      <c r="W90" s="61">
        <f t="shared" si="35"/>
        <v>-49.3</v>
      </c>
      <c r="X90" s="61">
        <f t="shared" si="35"/>
        <v>2.7</v>
      </c>
      <c r="Y90" s="61">
        <f t="shared" si="35"/>
        <v>-36.700000000000003</v>
      </c>
      <c r="Z90" s="61">
        <f t="shared" si="35"/>
        <v>-81</v>
      </c>
      <c r="AA90" s="61">
        <f t="shared" si="35"/>
        <v>-91</v>
      </c>
      <c r="AB90" s="61">
        <f t="shared" si="35"/>
        <v>-117</v>
      </c>
      <c r="AC90" s="61">
        <f t="shared" si="35"/>
        <v>-146</v>
      </c>
      <c r="AD90" s="61">
        <f t="shared" si="35"/>
        <v>-157</v>
      </c>
      <c r="AE90" s="61">
        <f t="shared" si="35"/>
        <v>-165</v>
      </c>
      <c r="AF90" s="61">
        <f t="shared" si="35"/>
        <v>-122</v>
      </c>
      <c r="AG90" s="81"/>
      <c r="AH90" s="48">
        <f t="shared" si="14"/>
        <v>181.8</v>
      </c>
      <c r="AI90" s="49">
        <f t="shared" si="15"/>
        <v>-190.5</v>
      </c>
    </row>
    <row r="91" spans="1:37" x14ac:dyDescent="0.25">
      <c r="A91" s="88" t="s">
        <v>96</v>
      </c>
      <c r="B91" s="89">
        <v>49.93</v>
      </c>
      <c r="C91" s="89">
        <v>50.02</v>
      </c>
      <c r="D91" s="89">
        <v>50.04</v>
      </c>
      <c r="E91" s="89">
        <v>50.021000000000001</v>
      </c>
      <c r="F91" s="89">
        <v>49.948</v>
      </c>
      <c r="G91" s="89">
        <v>49.945999999999998</v>
      </c>
      <c r="H91" s="89">
        <v>50.01</v>
      </c>
      <c r="I91" s="89">
        <v>49.988999999999997</v>
      </c>
      <c r="J91" s="89">
        <v>49.865000000000002</v>
      </c>
      <c r="K91" s="89">
        <v>49.732999999999997</v>
      </c>
      <c r="L91" s="89">
        <v>49.720999999999997</v>
      </c>
      <c r="M91" s="89">
        <v>50.015999999999998</v>
      </c>
      <c r="N91" s="89">
        <v>50</v>
      </c>
      <c r="O91" s="89">
        <v>50.042000000000002</v>
      </c>
      <c r="P91" s="89">
        <v>49.933999999999997</v>
      </c>
      <c r="Q91" s="89">
        <v>50.030999999999999</v>
      </c>
      <c r="R91" s="89">
        <v>49.98</v>
      </c>
      <c r="S91" s="89">
        <v>49.954000000000001</v>
      </c>
      <c r="T91" s="89">
        <v>50.04</v>
      </c>
      <c r="U91" s="89">
        <v>49.915999999999997</v>
      </c>
      <c r="V91" s="89">
        <v>49.99</v>
      </c>
      <c r="W91" s="89">
        <v>49.936999999999998</v>
      </c>
      <c r="X91" s="89">
        <v>49.89</v>
      </c>
      <c r="Y91" s="89">
        <v>50.01</v>
      </c>
      <c r="Z91" s="89">
        <v>50.05</v>
      </c>
      <c r="AA91" s="89">
        <v>50</v>
      </c>
      <c r="AB91" s="89">
        <v>50.030999999999999</v>
      </c>
      <c r="AC91" s="89">
        <v>50.048000000000002</v>
      </c>
      <c r="AD91" s="89">
        <v>50.021999999999998</v>
      </c>
      <c r="AE91" s="89">
        <v>50.03</v>
      </c>
      <c r="AF91" s="89">
        <v>50.034999999999997</v>
      </c>
      <c r="AG91" s="90"/>
      <c r="AH91" s="48">
        <f t="shared" si="14"/>
        <v>50.05</v>
      </c>
      <c r="AI91" s="49">
        <f t="shared" si="15"/>
        <v>49.720999999999997</v>
      </c>
    </row>
    <row r="92" spans="1:37" x14ac:dyDescent="0.25">
      <c r="A92" s="91" t="s">
        <v>97</v>
      </c>
      <c r="B92" s="65">
        <v>129</v>
      </c>
      <c r="C92" s="65">
        <v>129</v>
      </c>
      <c r="D92" s="65">
        <v>128.80000000000001</v>
      </c>
      <c r="E92" s="65">
        <v>128.5</v>
      </c>
      <c r="F92" s="65">
        <v>128.5</v>
      </c>
      <c r="G92" s="65">
        <v>128.5</v>
      </c>
      <c r="H92" s="65">
        <v>127.1</v>
      </c>
      <c r="I92" s="65">
        <v>125.9</v>
      </c>
      <c r="J92" s="65">
        <v>126.1</v>
      </c>
      <c r="K92" s="65">
        <v>124.7</v>
      </c>
      <c r="L92" s="65">
        <v>124.2</v>
      </c>
      <c r="M92" s="65">
        <v>125</v>
      </c>
      <c r="N92" s="65">
        <v>122.2</v>
      </c>
      <c r="O92" s="65">
        <v>123.2</v>
      </c>
      <c r="P92" s="65">
        <v>124.4</v>
      </c>
      <c r="Q92" s="65">
        <v>124.6</v>
      </c>
      <c r="R92" s="65">
        <v>124.5</v>
      </c>
      <c r="S92" s="65">
        <v>124.5</v>
      </c>
      <c r="T92" s="65">
        <v>125.5</v>
      </c>
      <c r="U92" s="65">
        <v>125.4</v>
      </c>
      <c r="V92" s="65">
        <v>124.8</v>
      </c>
      <c r="W92" s="65">
        <v>123.8</v>
      </c>
      <c r="X92" s="65">
        <v>125.7</v>
      </c>
      <c r="Y92" s="65">
        <v>125.8</v>
      </c>
      <c r="Z92" s="65">
        <v>126</v>
      </c>
      <c r="AA92" s="65">
        <v>126</v>
      </c>
      <c r="AB92" s="65">
        <v>127.3</v>
      </c>
      <c r="AC92" s="65">
        <v>126.6</v>
      </c>
      <c r="AD92" s="65">
        <v>126.9</v>
      </c>
      <c r="AE92" s="65">
        <v>127.6</v>
      </c>
      <c r="AF92" s="65">
        <v>127.2</v>
      </c>
      <c r="AG92" s="92"/>
      <c r="AH92" s="48">
        <f t="shared" si="14"/>
        <v>129</v>
      </c>
      <c r="AI92" s="49">
        <f t="shared" si="15"/>
        <v>122.2</v>
      </c>
    </row>
    <row r="93" spans="1:37" x14ac:dyDescent="0.25">
      <c r="A93" s="91" t="s">
        <v>98</v>
      </c>
      <c r="B93" s="65">
        <v>132.5</v>
      </c>
      <c r="C93" s="65">
        <v>132.4</v>
      </c>
      <c r="D93" s="65">
        <v>132.30000000000001</v>
      </c>
      <c r="E93" s="65">
        <v>132.30000000000001</v>
      </c>
      <c r="F93" s="65">
        <v>132.30000000000001</v>
      </c>
      <c r="G93" s="65">
        <v>131.6</v>
      </c>
      <c r="H93" s="65">
        <v>130.4</v>
      </c>
      <c r="I93" s="65">
        <v>129.5</v>
      </c>
      <c r="J93" s="65">
        <v>129.19999999999999</v>
      </c>
      <c r="K93" s="65">
        <v>127.8</v>
      </c>
      <c r="L93" s="65">
        <v>127.2</v>
      </c>
      <c r="M93" s="65">
        <v>127.8</v>
      </c>
      <c r="N93" s="65">
        <v>126.3</v>
      </c>
      <c r="O93" s="65">
        <v>127.1</v>
      </c>
      <c r="P93" s="65">
        <v>128</v>
      </c>
      <c r="Q93" s="65">
        <v>128.4</v>
      </c>
      <c r="R93" s="65">
        <v>128.30000000000001</v>
      </c>
      <c r="S93" s="65">
        <v>128.4</v>
      </c>
      <c r="T93" s="65">
        <v>128.9</v>
      </c>
      <c r="U93" s="65">
        <v>126.2</v>
      </c>
      <c r="V93" s="65">
        <v>128.4</v>
      </c>
      <c r="W93" s="65">
        <v>127</v>
      </c>
      <c r="X93" s="65">
        <v>128.4</v>
      </c>
      <c r="Y93" s="65">
        <v>128.6</v>
      </c>
      <c r="Z93" s="65">
        <v>129.30000000000001</v>
      </c>
      <c r="AA93" s="65">
        <v>129.30000000000001</v>
      </c>
      <c r="AB93" s="65">
        <v>130.69999999999999</v>
      </c>
      <c r="AC93" s="65">
        <v>130.1</v>
      </c>
      <c r="AD93" s="65">
        <v>130.6</v>
      </c>
      <c r="AE93" s="65">
        <v>131.4</v>
      </c>
      <c r="AF93" s="65">
        <v>131.1</v>
      </c>
      <c r="AG93" s="92"/>
      <c r="AH93" s="48">
        <f t="shared" si="14"/>
        <v>132.5</v>
      </c>
      <c r="AI93" s="49">
        <f t="shared" si="15"/>
        <v>126.2</v>
      </c>
    </row>
    <row r="94" spans="1:37" x14ac:dyDescent="0.25">
      <c r="A94" s="91" t="s">
        <v>99</v>
      </c>
      <c r="B94" s="65">
        <v>132.19999999999999</v>
      </c>
      <c r="C94" s="65">
        <v>132.19999999999999</v>
      </c>
      <c r="D94" s="65">
        <v>132.9</v>
      </c>
      <c r="E94" s="65">
        <v>131.80000000000001</v>
      </c>
      <c r="F94" s="65">
        <v>131.80000000000001</v>
      </c>
      <c r="G94" s="65">
        <v>131.6</v>
      </c>
      <c r="H94" s="65">
        <v>130.69999999999999</v>
      </c>
      <c r="I94" s="65">
        <v>130</v>
      </c>
      <c r="J94" s="65">
        <v>128.5</v>
      </c>
      <c r="K94" s="65">
        <v>128.6</v>
      </c>
      <c r="L94" s="65">
        <v>126.6</v>
      </c>
      <c r="M94" s="65">
        <v>128.19999999999999</v>
      </c>
      <c r="N94" s="65">
        <v>128.69999999999999</v>
      </c>
      <c r="O94" s="65">
        <v>129.19999999999999</v>
      </c>
      <c r="P94" s="65">
        <v>128.5</v>
      </c>
      <c r="Q94" s="65">
        <v>131</v>
      </c>
      <c r="R94" s="65">
        <v>130.4</v>
      </c>
      <c r="S94" s="65">
        <v>128.9</v>
      </c>
      <c r="T94" s="65">
        <v>129.19999999999999</v>
      </c>
      <c r="U94" s="65">
        <v>128.5</v>
      </c>
      <c r="V94" s="65">
        <v>128.19999999999999</v>
      </c>
      <c r="W94" s="65">
        <v>127.9</v>
      </c>
      <c r="X94" s="65">
        <v>129.6</v>
      </c>
      <c r="Y94" s="65">
        <v>130.5</v>
      </c>
      <c r="Z94" s="65">
        <v>130.69999999999999</v>
      </c>
      <c r="AA94" s="65">
        <v>130.69999999999999</v>
      </c>
      <c r="AB94" s="65">
        <v>131</v>
      </c>
      <c r="AC94" s="65">
        <v>130.6</v>
      </c>
      <c r="AD94" s="65">
        <v>130.6</v>
      </c>
      <c r="AE94" s="65">
        <v>131.80000000000001</v>
      </c>
      <c r="AF94" s="65">
        <v>132.9</v>
      </c>
      <c r="AG94" s="92"/>
      <c r="AH94" s="48">
        <f t="shared" si="14"/>
        <v>132.9</v>
      </c>
      <c r="AI94" s="49">
        <f t="shared" si="15"/>
        <v>126.6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14"/>
        <v>0</v>
      </c>
      <c r="AI95" s="49">
        <f t="shared" si="15"/>
        <v>0</v>
      </c>
    </row>
    <row r="96" spans="1:37" x14ac:dyDescent="0.25">
      <c r="A96" s="93" t="s">
        <v>101</v>
      </c>
      <c r="B96" s="94">
        <v>134.5</v>
      </c>
      <c r="C96" s="94">
        <v>134</v>
      </c>
      <c r="D96" s="94">
        <v>134.1</v>
      </c>
      <c r="E96" s="94">
        <v>134.80000000000001</v>
      </c>
      <c r="F96" s="94">
        <v>134.80000000000001</v>
      </c>
      <c r="G96" s="94">
        <v>134.6</v>
      </c>
      <c r="H96" s="94">
        <v>133.80000000000001</v>
      </c>
      <c r="I96" s="94">
        <v>132.1</v>
      </c>
      <c r="J96" s="94">
        <v>132</v>
      </c>
      <c r="K96" s="94">
        <v>131.5</v>
      </c>
      <c r="L96" s="94">
        <v>132</v>
      </c>
      <c r="M96" s="94">
        <v>132</v>
      </c>
      <c r="N96" s="94">
        <v>133.4</v>
      </c>
      <c r="O96" s="94">
        <v>134</v>
      </c>
      <c r="P96" s="94">
        <v>134.1</v>
      </c>
      <c r="Q96" s="94">
        <v>120.3</v>
      </c>
      <c r="R96" s="94">
        <v>133</v>
      </c>
      <c r="S96" s="94">
        <v>130.80000000000001</v>
      </c>
      <c r="T96" s="94">
        <v>132.80000000000001</v>
      </c>
      <c r="U96" s="94">
        <v>130.69999999999999</v>
      </c>
      <c r="V96" s="94">
        <v>131.19999999999999</v>
      </c>
      <c r="W96" s="94">
        <v>130.6</v>
      </c>
      <c r="X96" s="94">
        <v>133</v>
      </c>
      <c r="Y96" s="94">
        <v>133.9</v>
      </c>
      <c r="Z96" s="94">
        <v>133.6</v>
      </c>
      <c r="AA96" s="94">
        <v>133.6</v>
      </c>
      <c r="AB96" s="94">
        <v>136.6</v>
      </c>
      <c r="AC96" s="94">
        <v>135.6</v>
      </c>
      <c r="AD96" s="94">
        <v>135.19999999999999</v>
      </c>
      <c r="AE96" s="94">
        <v>132.9</v>
      </c>
      <c r="AF96" s="94">
        <v>134</v>
      </c>
      <c r="AG96" s="95"/>
      <c r="AH96" s="48">
        <f t="shared" si="14"/>
        <v>136.6</v>
      </c>
      <c r="AI96" s="49">
        <f t="shared" si="15"/>
        <v>120.3</v>
      </c>
    </row>
    <row r="97" spans="1:37" x14ac:dyDescent="0.25">
      <c r="A97" s="91" t="s">
        <v>102</v>
      </c>
      <c r="B97" s="65">
        <v>135.69999999999999</v>
      </c>
      <c r="C97" s="65">
        <v>132.9</v>
      </c>
      <c r="D97" s="65">
        <v>132.1</v>
      </c>
      <c r="E97" s="65">
        <v>133.69999999999999</v>
      </c>
      <c r="F97" s="65">
        <v>133.69999999999999</v>
      </c>
      <c r="G97" s="65">
        <v>129.9</v>
      </c>
      <c r="H97" s="65">
        <v>127.4</v>
      </c>
      <c r="I97" s="65">
        <v>127.3</v>
      </c>
      <c r="J97" s="65">
        <v>128.19999999999999</v>
      </c>
      <c r="K97" s="65">
        <v>125.6</v>
      </c>
      <c r="L97" s="65">
        <v>131.69999999999999</v>
      </c>
      <c r="M97" s="65">
        <v>131.19999999999999</v>
      </c>
      <c r="N97" s="65">
        <v>132.19999999999999</v>
      </c>
      <c r="O97" s="65">
        <v>132.30000000000001</v>
      </c>
      <c r="P97" s="65">
        <v>132.9</v>
      </c>
      <c r="Q97" s="65">
        <v>134.1</v>
      </c>
      <c r="R97" s="65">
        <v>130.30000000000001</v>
      </c>
      <c r="S97" s="65">
        <v>127.5</v>
      </c>
      <c r="T97" s="65">
        <v>131.1</v>
      </c>
      <c r="U97" s="65">
        <v>127</v>
      </c>
      <c r="V97" s="65">
        <v>128.5</v>
      </c>
      <c r="W97" s="65">
        <v>127.4</v>
      </c>
      <c r="X97" s="65">
        <v>130.4</v>
      </c>
      <c r="Y97" s="65">
        <v>128.80000000000001</v>
      </c>
      <c r="Z97" s="65">
        <v>131.4</v>
      </c>
      <c r="AA97" s="65">
        <v>131.4</v>
      </c>
      <c r="AB97" s="65">
        <v>136.19999999999999</v>
      </c>
      <c r="AC97" s="65">
        <v>134.80000000000001</v>
      </c>
      <c r="AD97" s="65">
        <v>131.69999999999999</v>
      </c>
      <c r="AE97" s="65">
        <v>126.8</v>
      </c>
      <c r="AF97" s="65">
        <v>130.19999999999999</v>
      </c>
      <c r="AG97" s="92"/>
      <c r="AH97" s="48">
        <f t="shared" si="14"/>
        <v>136.19999999999999</v>
      </c>
      <c r="AI97" s="49">
        <f t="shared" si="15"/>
        <v>125.6</v>
      </c>
    </row>
    <row r="98" spans="1:37" ht="15.75" thickBot="1" x14ac:dyDescent="0.3">
      <c r="A98" s="91" t="s">
        <v>103</v>
      </c>
      <c r="B98" s="96">
        <v>66.7</v>
      </c>
      <c r="C98" s="96">
        <v>66.8</v>
      </c>
      <c r="D98" s="96">
        <v>66.8</v>
      </c>
      <c r="E98" s="96">
        <v>66.8</v>
      </c>
      <c r="F98" s="96">
        <v>66.8</v>
      </c>
      <c r="G98" s="96">
        <v>66.3</v>
      </c>
      <c r="H98" s="96">
        <v>65.7</v>
      </c>
      <c r="I98" s="96">
        <v>65.2</v>
      </c>
      <c r="J98" s="96">
        <v>65.2</v>
      </c>
      <c r="K98" s="96">
        <v>64.2</v>
      </c>
      <c r="L98" s="96">
        <v>63.8</v>
      </c>
      <c r="M98" s="96">
        <v>64.2</v>
      </c>
      <c r="N98" s="96">
        <v>63.5</v>
      </c>
      <c r="O98" s="96">
        <v>63.8</v>
      </c>
      <c r="P98" s="96">
        <v>64.3</v>
      </c>
      <c r="Q98" s="96">
        <v>64.5</v>
      </c>
      <c r="R98" s="96">
        <v>64.5</v>
      </c>
      <c r="S98" s="96">
        <v>64.5</v>
      </c>
      <c r="T98" s="96">
        <v>64.8</v>
      </c>
      <c r="U98" s="96">
        <v>65.099999999999994</v>
      </c>
      <c r="V98" s="96">
        <v>64.599999999999994</v>
      </c>
      <c r="W98" s="96">
        <v>64</v>
      </c>
      <c r="X98" s="96">
        <v>64.7</v>
      </c>
      <c r="Y98" s="96">
        <v>64.5</v>
      </c>
      <c r="Z98" s="96">
        <v>64.3</v>
      </c>
      <c r="AA98" s="96">
        <v>64.3</v>
      </c>
      <c r="AB98" s="96">
        <v>65.8</v>
      </c>
      <c r="AC98" s="96">
        <v>65.599999999999994</v>
      </c>
      <c r="AD98" s="96">
        <v>65.7</v>
      </c>
      <c r="AE98" s="96">
        <v>66.2</v>
      </c>
      <c r="AF98" s="96">
        <v>65.900000000000006</v>
      </c>
      <c r="AG98" s="97"/>
      <c r="AH98" s="48">
        <f t="shared" si="14"/>
        <v>66.8</v>
      </c>
      <c r="AI98" s="49">
        <f t="shared" si="15"/>
        <v>63.5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14"/>
        <v>0</v>
      </c>
      <c r="AI99" s="49">
        <f t="shared" si="15"/>
        <v>0</v>
      </c>
    </row>
    <row r="100" spans="1:37" ht="15.75" thickBot="1" x14ac:dyDescent="0.3">
      <c r="A100" s="99" t="s">
        <v>104</v>
      </c>
      <c r="B100" s="100">
        <f t="shared" ref="B100" si="36">SUM(B15,B20,B22:B23,B48,B50:B51,B53,B55,B101:B105,B127,B133,B139,B148,B150,B162,B169,B172:B173,B180,B182,B184,B188:B190,B192:B194,B199,B205:B206,B208:B210,B218,B223)</f>
        <v>47.9</v>
      </c>
      <c r="C100" s="100">
        <f t="shared" ref="C100:AF100" si="37">SUM(C15,C20,C22:C23,C48,C50:C51,C53,C55,C101:C105,C127,C133,C139,C148,C150,C162,C169,C172:C173,C180,C182,C184,C188:C190,C192:C194,C199,C205:C206,C208:C210,C218,C223)</f>
        <v>41.639999999999986</v>
      </c>
      <c r="D100" s="100">
        <f t="shared" si="37"/>
        <v>40.440000000000012</v>
      </c>
      <c r="E100" s="100">
        <f t="shared" si="37"/>
        <v>40.24000000000003</v>
      </c>
      <c r="F100" s="100">
        <f t="shared" si="37"/>
        <v>49.039999999999985</v>
      </c>
      <c r="G100" s="100">
        <f t="shared" si="37"/>
        <v>75.34</v>
      </c>
      <c r="H100" s="100">
        <f t="shared" si="37"/>
        <v>87.139999999999986</v>
      </c>
      <c r="I100" s="100">
        <f t="shared" si="37"/>
        <v>117.44000000000001</v>
      </c>
      <c r="J100" s="100">
        <f t="shared" si="37"/>
        <v>157.34</v>
      </c>
      <c r="K100" s="100">
        <f t="shared" si="37"/>
        <v>189.14</v>
      </c>
      <c r="L100" s="100">
        <f t="shared" si="37"/>
        <v>195.94</v>
      </c>
      <c r="M100" s="100">
        <f t="shared" si="37"/>
        <v>205.84</v>
      </c>
      <c r="N100" s="100">
        <f t="shared" si="37"/>
        <v>188.73999999999998</v>
      </c>
      <c r="O100" s="100">
        <f t="shared" si="37"/>
        <v>190.44</v>
      </c>
      <c r="P100" s="100">
        <f t="shared" si="37"/>
        <v>172.93999999999997</v>
      </c>
      <c r="Q100" s="100">
        <f t="shared" si="37"/>
        <v>163.29999999999995</v>
      </c>
      <c r="R100" s="100">
        <f t="shared" si="37"/>
        <v>170.8</v>
      </c>
      <c r="S100" s="100">
        <f t="shared" si="37"/>
        <v>166.9</v>
      </c>
      <c r="T100" s="100">
        <f t="shared" si="37"/>
        <v>174.50000000000003</v>
      </c>
      <c r="U100" s="100">
        <f t="shared" si="37"/>
        <v>204.89999999999998</v>
      </c>
      <c r="V100" s="100">
        <f t="shared" si="37"/>
        <v>202.99999999999997</v>
      </c>
      <c r="W100" s="100">
        <f t="shared" si="37"/>
        <v>249.99999999999997</v>
      </c>
      <c r="X100" s="100">
        <f t="shared" si="37"/>
        <v>298.3</v>
      </c>
      <c r="Y100" s="100">
        <f t="shared" si="37"/>
        <v>277.10000000000002</v>
      </c>
      <c r="Z100" s="100">
        <f t="shared" si="37"/>
        <v>251.2</v>
      </c>
      <c r="AA100" s="100">
        <f t="shared" si="37"/>
        <v>220.29999999999995</v>
      </c>
      <c r="AB100" s="100">
        <f t="shared" si="37"/>
        <v>174.31999999999996</v>
      </c>
      <c r="AC100" s="100">
        <f t="shared" si="37"/>
        <v>156.20000000000002</v>
      </c>
      <c r="AD100" s="100">
        <f t="shared" si="37"/>
        <v>135.70000000000005</v>
      </c>
      <c r="AE100" s="100">
        <f t="shared" si="37"/>
        <v>93.4</v>
      </c>
      <c r="AF100" s="100">
        <f t="shared" si="37"/>
        <v>60.199999999999996</v>
      </c>
      <c r="AG100" s="101"/>
      <c r="AH100" s="48">
        <f t="shared" si="14"/>
        <v>298.3</v>
      </c>
      <c r="AI100" s="49">
        <f t="shared" si="15"/>
        <v>40.24000000000003</v>
      </c>
    </row>
    <row r="101" spans="1:37" x14ac:dyDescent="0.25">
      <c r="A101" s="88" t="s">
        <v>105</v>
      </c>
      <c r="B101" s="102">
        <v>25.3</v>
      </c>
      <c r="C101" s="102">
        <v>25.9</v>
      </c>
      <c r="D101" s="102">
        <v>25.4</v>
      </c>
      <c r="E101" s="102">
        <v>28.6</v>
      </c>
      <c r="F101" s="102">
        <v>28.6</v>
      </c>
      <c r="G101" s="102">
        <v>32.700000000000003</v>
      </c>
      <c r="H101" s="102">
        <v>40.1</v>
      </c>
      <c r="I101" s="102">
        <v>41.5</v>
      </c>
      <c r="J101" s="102">
        <v>46.2</v>
      </c>
      <c r="K101" s="102">
        <v>48.8</v>
      </c>
      <c r="L101" s="102">
        <v>0</v>
      </c>
      <c r="M101" s="102">
        <v>0</v>
      </c>
      <c r="N101" s="102">
        <v>0</v>
      </c>
      <c r="O101" s="102">
        <v>0</v>
      </c>
      <c r="P101" s="102">
        <v>43.4</v>
      </c>
      <c r="Q101" s="102">
        <v>38.700000000000003</v>
      </c>
      <c r="R101" s="102">
        <v>39.4</v>
      </c>
      <c r="S101" s="102">
        <v>46.8</v>
      </c>
      <c r="T101" s="102">
        <v>46.3</v>
      </c>
      <c r="U101" s="102">
        <v>48.4</v>
      </c>
      <c r="V101" s="102">
        <v>51.3</v>
      </c>
      <c r="W101" s="102">
        <v>60.3</v>
      </c>
      <c r="X101" s="102">
        <v>56.4</v>
      </c>
      <c r="Y101" s="102">
        <v>58.4</v>
      </c>
      <c r="Z101" s="102">
        <v>54.4</v>
      </c>
      <c r="AA101" s="102">
        <v>53.6</v>
      </c>
      <c r="AB101" s="102">
        <v>46</v>
      </c>
      <c r="AC101" s="102">
        <v>50.9</v>
      </c>
      <c r="AD101" s="102">
        <v>46.3</v>
      </c>
      <c r="AE101" s="102">
        <v>38.200000000000003</v>
      </c>
      <c r="AF101" s="102">
        <v>33</v>
      </c>
      <c r="AG101" s="103">
        <v>75</v>
      </c>
      <c r="AH101" s="48">
        <f t="shared" si="14"/>
        <v>60.3</v>
      </c>
      <c r="AI101" s="49">
        <f t="shared" si="15"/>
        <v>0</v>
      </c>
    </row>
    <row r="102" spans="1:37" x14ac:dyDescent="0.25">
      <c r="A102" s="91" t="s">
        <v>106</v>
      </c>
      <c r="B102" s="104">
        <v>44.2</v>
      </c>
      <c r="C102" s="104">
        <v>44.7</v>
      </c>
      <c r="D102" s="104">
        <v>44.3</v>
      </c>
      <c r="E102" s="104">
        <v>48.2</v>
      </c>
      <c r="F102" s="104">
        <v>48.2</v>
      </c>
      <c r="G102" s="104">
        <v>53.7</v>
      </c>
      <c r="H102" s="104">
        <v>64.099999999999994</v>
      </c>
      <c r="I102" s="104">
        <v>64.5</v>
      </c>
      <c r="J102" s="104">
        <v>70.900000000000006</v>
      </c>
      <c r="K102" s="104">
        <v>74.5</v>
      </c>
      <c r="L102" s="104">
        <v>74.5</v>
      </c>
      <c r="M102" s="104">
        <v>74.400000000000006</v>
      </c>
      <c r="N102" s="104">
        <v>80.8</v>
      </c>
      <c r="O102" s="104">
        <v>76.900000000000006</v>
      </c>
      <c r="P102" s="104">
        <v>63.3</v>
      </c>
      <c r="Q102" s="104">
        <v>56</v>
      </c>
      <c r="R102" s="104">
        <v>57.5</v>
      </c>
      <c r="S102" s="104">
        <v>67.8</v>
      </c>
      <c r="T102" s="104">
        <v>66.3</v>
      </c>
      <c r="U102" s="104">
        <v>70.400000000000006</v>
      </c>
      <c r="V102" s="104">
        <v>74.099999999999994</v>
      </c>
      <c r="W102" s="104">
        <v>88</v>
      </c>
      <c r="X102" s="104">
        <v>82.8</v>
      </c>
      <c r="Y102" s="104">
        <v>85.9</v>
      </c>
      <c r="Z102" s="104">
        <v>79.8</v>
      </c>
      <c r="AA102" s="104">
        <v>77.400000000000006</v>
      </c>
      <c r="AB102" s="104">
        <v>66.099999999999994</v>
      </c>
      <c r="AC102" s="104">
        <v>72.400000000000006</v>
      </c>
      <c r="AD102" s="104">
        <v>67.099999999999994</v>
      </c>
      <c r="AE102" s="104">
        <v>57</v>
      </c>
      <c r="AF102" s="104">
        <v>51.9</v>
      </c>
      <c r="AG102" s="103">
        <v>240</v>
      </c>
      <c r="AH102" s="48">
        <f t="shared" si="14"/>
        <v>88</v>
      </c>
      <c r="AI102" s="49">
        <f t="shared" si="15"/>
        <v>44.2</v>
      </c>
    </row>
    <row r="103" spans="1:37" x14ac:dyDescent="0.25">
      <c r="A103" s="91" t="s">
        <v>107</v>
      </c>
      <c r="B103" s="104">
        <f>-72.4-76.6</f>
        <v>-149</v>
      </c>
      <c r="C103" s="104">
        <f>-68.8-73.2</f>
        <v>-142</v>
      </c>
      <c r="D103" s="104">
        <f>-69.5-73.8</f>
        <v>-143.30000000000001</v>
      </c>
      <c r="E103" s="104">
        <v>-141</v>
      </c>
      <c r="F103" s="104">
        <v>-141</v>
      </c>
      <c r="G103" s="104">
        <v>-128</v>
      </c>
      <c r="H103" s="104">
        <v>-132</v>
      </c>
      <c r="I103" s="104">
        <v>-129</v>
      </c>
      <c r="J103" s="104">
        <v>-122.7</v>
      </c>
      <c r="K103" s="104">
        <v>-102</v>
      </c>
      <c r="L103" s="104">
        <v>-102</v>
      </c>
      <c r="M103" s="104">
        <f>-53-56</f>
        <v>-109</v>
      </c>
      <c r="N103" s="104">
        <v>-131</v>
      </c>
      <c r="O103" s="104">
        <f>-60-64</f>
        <v>-124</v>
      </c>
      <c r="P103" s="104">
        <v>-148</v>
      </c>
      <c r="Q103" s="104">
        <v>-145</v>
      </c>
      <c r="R103" s="104">
        <v>-142</v>
      </c>
      <c r="S103" s="104">
        <v>-136</v>
      </c>
      <c r="T103" s="104">
        <f>-64.3-65.9</f>
        <v>-130.19999999999999</v>
      </c>
      <c r="U103" s="104">
        <f>-52.6-56.7</f>
        <v>-109.30000000000001</v>
      </c>
      <c r="V103" s="104">
        <f>-56.2-60.1</f>
        <v>-116.30000000000001</v>
      </c>
      <c r="W103" s="104">
        <v>-104.7</v>
      </c>
      <c r="X103" s="104">
        <f>-31.5-33.8</f>
        <v>-65.3</v>
      </c>
      <c r="Y103" s="104">
        <f>-51-51.1</f>
        <v>-102.1</v>
      </c>
      <c r="Z103" s="104">
        <f>-57.9-57</f>
        <v>-114.9</v>
      </c>
      <c r="AA103" s="104">
        <v>-120</v>
      </c>
      <c r="AB103" s="104">
        <f>-56.98-61.3</f>
        <v>-118.28</v>
      </c>
      <c r="AC103" s="104">
        <f>-60-64</f>
        <v>-124</v>
      </c>
      <c r="AD103" s="104">
        <f>-64.3-67.9</f>
        <v>-132.19999999999999</v>
      </c>
      <c r="AE103" s="104">
        <f>-66-70</f>
        <v>-136</v>
      </c>
      <c r="AF103" s="104">
        <f>-64-68.3</f>
        <v>-132.30000000000001</v>
      </c>
      <c r="AG103" s="103">
        <v>240</v>
      </c>
      <c r="AH103" s="48">
        <f t="shared" si="14"/>
        <v>-65.3</v>
      </c>
      <c r="AI103" s="49">
        <f t="shared" si="15"/>
        <v>-149</v>
      </c>
    </row>
    <row r="104" spans="1:37" x14ac:dyDescent="0.25">
      <c r="A104" s="91" t="s">
        <v>108</v>
      </c>
      <c r="B104" s="104">
        <v>-4.0999999999999996</v>
      </c>
      <c r="C104" s="104">
        <v>-6.5</v>
      </c>
      <c r="D104" s="104">
        <v>-5.8</v>
      </c>
      <c r="E104" s="104">
        <v>-6.6</v>
      </c>
      <c r="F104" s="104">
        <v>-6.6</v>
      </c>
      <c r="G104" s="104">
        <v>-2.9</v>
      </c>
      <c r="H104" s="104">
        <v>-4.9000000000000004</v>
      </c>
      <c r="I104" s="104">
        <v>-0.8</v>
      </c>
      <c r="J104" s="104">
        <v>3.6</v>
      </c>
      <c r="K104" s="104">
        <v>3.5</v>
      </c>
      <c r="L104" s="104">
        <v>4.4000000000000004</v>
      </c>
      <c r="M104" s="104">
        <v>3.4</v>
      </c>
      <c r="N104" s="104">
        <v>1</v>
      </c>
      <c r="O104" s="104">
        <v>0.6</v>
      </c>
      <c r="P104" s="104">
        <v>0</v>
      </c>
      <c r="Q104" s="104">
        <v>1.7</v>
      </c>
      <c r="R104" s="104">
        <v>3.8</v>
      </c>
      <c r="S104" s="104">
        <v>5.0999999999999996</v>
      </c>
      <c r="T104" s="104">
        <v>8.6999999999999993</v>
      </c>
      <c r="U104" s="104">
        <v>11.7</v>
      </c>
      <c r="V104" s="104">
        <v>11.3</v>
      </c>
      <c r="W104" s="104">
        <v>13.5</v>
      </c>
      <c r="X104" s="104">
        <v>20.5</v>
      </c>
      <c r="Y104" s="104">
        <v>16.7</v>
      </c>
      <c r="Z104" s="104">
        <v>13.5</v>
      </c>
      <c r="AA104" s="104">
        <v>11</v>
      </c>
      <c r="AB104" s="104">
        <v>10.199999999999999</v>
      </c>
      <c r="AC104" s="104">
        <v>8.6</v>
      </c>
      <c r="AD104" s="104">
        <v>6.2</v>
      </c>
      <c r="AE104" s="104">
        <v>-1.1000000000000001</v>
      </c>
      <c r="AF104" s="104">
        <v>-5.9</v>
      </c>
      <c r="AG104" s="103">
        <v>60</v>
      </c>
      <c r="AH104" s="48">
        <f t="shared" si="14"/>
        <v>20.5</v>
      </c>
      <c r="AI104" s="49">
        <f t="shared" si="15"/>
        <v>-6.6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69.7</v>
      </c>
      <c r="M105" s="106">
        <v>76.5</v>
      </c>
      <c r="N105" s="106">
        <v>77.400000000000006</v>
      </c>
      <c r="O105" s="106">
        <v>76.400000000000006</v>
      </c>
      <c r="P105" s="106">
        <v>53.9</v>
      </c>
      <c r="Q105" s="106">
        <v>52.5</v>
      </c>
      <c r="R105" s="106">
        <v>52.5</v>
      </c>
      <c r="S105" s="106">
        <v>23.7</v>
      </c>
      <c r="T105" s="106">
        <v>23.9</v>
      </c>
      <c r="U105" s="106">
        <v>24.2</v>
      </c>
      <c r="V105" s="106">
        <v>24.1</v>
      </c>
      <c r="W105" s="106">
        <v>24.6</v>
      </c>
      <c r="X105" s="106">
        <v>25.6</v>
      </c>
      <c r="Y105" s="106">
        <v>39.9</v>
      </c>
      <c r="Z105" s="106">
        <v>40.1</v>
      </c>
      <c r="AA105" s="106">
        <v>40</v>
      </c>
      <c r="AB105" s="106">
        <v>22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14"/>
        <v>77.400000000000006</v>
      </c>
      <c r="AI105" s="49">
        <f t="shared" si="15"/>
        <v>0</v>
      </c>
    </row>
    <row r="106" spans="1:37" x14ac:dyDescent="0.25">
      <c r="A106" s="105" t="s">
        <v>110</v>
      </c>
      <c r="B106" s="106">
        <v>-35.200000000000003</v>
      </c>
      <c r="C106" s="106">
        <v>-32.4</v>
      </c>
      <c r="D106" s="106">
        <v>-24.8</v>
      </c>
      <c r="E106" s="106">
        <v>-33.6</v>
      </c>
      <c r="F106" s="106">
        <v>-33.6</v>
      </c>
      <c r="G106" s="106">
        <v>-23.8</v>
      </c>
      <c r="H106" s="106">
        <v>-26.3</v>
      </c>
      <c r="I106" s="106">
        <v>-27.5</v>
      </c>
      <c r="J106" s="106">
        <v>-19</v>
      </c>
      <c r="K106" s="106">
        <v>-3.7</v>
      </c>
      <c r="L106" s="106">
        <v>-1.4</v>
      </c>
      <c r="M106" s="106">
        <v>-4.2</v>
      </c>
      <c r="N106" s="106">
        <v>-25.5</v>
      </c>
      <c r="O106" s="106">
        <v>-19.600000000000001</v>
      </c>
      <c r="P106" s="106">
        <v>-31.8</v>
      </c>
      <c r="Q106" s="106">
        <v>-19</v>
      </c>
      <c r="R106" s="106">
        <v>-24.5</v>
      </c>
      <c r="S106" s="106">
        <f>-21.6</f>
        <v>-21.6</v>
      </c>
      <c r="T106" s="106">
        <v>-20</v>
      </c>
      <c r="U106" s="106">
        <v>-24.2</v>
      </c>
      <c r="V106" s="106">
        <v>-28.2</v>
      </c>
      <c r="W106" s="106">
        <v>-19.100000000000001</v>
      </c>
      <c r="X106" s="106">
        <v>7.1</v>
      </c>
      <c r="Y106" s="106">
        <v>14.5</v>
      </c>
      <c r="Z106" s="106">
        <v>-25.1</v>
      </c>
      <c r="AA106" s="106">
        <v>-29.8</v>
      </c>
      <c r="AB106" s="106">
        <v>-28</v>
      </c>
      <c r="AC106" s="106">
        <v>-36.4</v>
      </c>
      <c r="AD106" s="106">
        <v>-39.6</v>
      </c>
      <c r="AE106" s="106">
        <v>-41</v>
      </c>
      <c r="AF106" s="106">
        <v>-18</v>
      </c>
      <c r="AG106" s="107"/>
      <c r="AH106" s="48">
        <f t="shared" si="14"/>
        <v>14.5</v>
      </c>
      <c r="AI106" s="49">
        <f t="shared" si="15"/>
        <v>-41</v>
      </c>
    </row>
    <row r="107" spans="1:37" x14ac:dyDescent="0.25">
      <c r="A107" s="105" t="s">
        <v>111</v>
      </c>
      <c r="B107" s="106">
        <v>-50.4</v>
      </c>
      <c r="C107" s="106">
        <v>-51.5</v>
      </c>
      <c r="D107" s="106">
        <v>-52.9</v>
      </c>
      <c r="E107" s="106">
        <v>-47.5</v>
      </c>
      <c r="F107" s="106">
        <v>-47.5</v>
      </c>
      <c r="G107" s="106">
        <v>-45.1</v>
      </c>
      <c r="H107" s="106">
        <v>-41.4</v>
      </c>
      <c r="I107" s="106">
        <v>-40.200000000000003</v>
      </c>
      <c r="J107" s="106">
        <v>-49.8</v>
      </c>
      <c r="K107" s="106">
        <v>-51.3</v>
      </c>
      <c r="L107" s="106">
        <v>-53.1</v>
      </c>
      <c r="M107" s="106">
        <v>-51.3</v>
      </c>
      <c r="N107" s="106">
        <v>-46.2</v>
      </c>
      <c r="O107" s="106">
        <v>-41.6</v>
      </c>
      <c r="P107" s="106">
        <v>-37.5</v>
      </c>
      <c r="Q107" s="106">
        <v>-42.5</v>
      </c>
      <c r="R107" s="106">
        <v>-40.299999999999997</v>
      </c>
      <c r="S107" s="106">
        <v>-42.6</v>
      </c>
      <c r="T107" s="106">
        <v>-87.7</v>
      </c>
      <c r="U107" s="106">
        <v>-69.2</v>
      </c>
      <c r="V107" s="106">
        <v>-42.6</v>
      </c>
      <c r="W107" s="106">
        <v>-43.3</v>
      </c>
      <c r="X107" s="106">
        <v>-49.6</v>
      </c>
      <c r="Y107" s="106">
        <v>-68.7</v>
      </c>
      <c r="Z107" s="106">
        <v>-77</v>
      </c>
      <c r="AA107" s="106">
        <v>-42.6</v>
      </c>
      <c r="AB107" s="106">
        <v>-41.3</v>
      </c>
      <c r="AC107" s="106">
        <v>-41</v>
      </c>
      <c r="AD107" s="106">
        <v>-41.1</v>
      </c>
      <c r="AE107" s="106">
        <v>-49.3</v>
      </c>
      <c r="AF107" s="106">
        <v>-54</v>
      </c>
      <c r="AG107" s="108"/>
      <c r="AH107" s="48">
        <f t="shared" si="14"/>
        <v>-37.5</v>
      </c>
      <c r="AI107" s="49">
        <f t="shared" si="15"/>
        <v>-87.7</v>
      </c>
    </row>
    <row r="108" spans="1:37" x14ac:dyDescent="0.25">
      <c r="A108" s="109" t="s">
        <v>112</v>
      </c>
      <c r="B108" s="94">
        <v>104.2</v>
      </c>
      <c r="C108" s="94">
        <v>106.9</v>
      </c>
      <c r="D108" s="94">
        <v>105.1</v>
      </c>
      <c r="E108" s="94">
        <v>106.7</v>
      </c>
      <c r="F108" s="94">
        <v>106.7</v>
      </c>
      <c r="G108" s="94">
        <v>102.6</v>
      </c>
      <c r="H108" s="94">
        <v>99.9</v>
      </c>
      <c r="I108" s="94">
        <v>96.1</v>
      </c>
      <c r="J108" s="94">
        <v>95</v>
      </c>
      <c r="K108" s="94">
        <v>92</v>
      </c>
      <c r="L108" s="94">
        <v>87.9</v>
      </c>
      <c r="M108" s="94">
        <v>86.1</v>
      </c>
      <c r="N108" s="94">
        <v>90</v>
      </c>
      <c r="O108" s="94">
        <v>90.7</v>
      </c>
      <c r="P108" s="94">
        <v>90.7</v>
      </c>
      <c r="Q108" s="94">
        <v>89.6</v>
      </c>
      <c r="R108" s="94">
        <v>92.3</v>
      </c>
      <c r="S108" s="94">
        <v>87.5</v>
      </c>
      <c r="T108" s="94">
        <v>87.7</v>
      </c>
      <c r="U108" s="94">
        <v>76.400000000000006</v>
      </c>
      <c r="V108" s="94">
        <v>74.8</v>
      </c>
      <c r="W108" s="94">
        <v>58.3</v>
      </c>
      <c r="X108" s="94">
        <v>64.400000000000006</v>
      </c>
      <c r="Y108" s="94">
        <v>70.5</v>
      </c>
      <c r="Z108" s="94">
        <v>78.7</v>
      </c>
      <c r="AA108" s="94">
        <v>80.8</v>
      </c>
      <c r="AB108" s="94">
        <v>86.5</v>
      </c>
      <c r="AC108" s="94">
        <v>87.6</v>
      </c>
      <c r="AD108" s="94">
        <v>89.6</v>
      </c>
      <c r="AE108" s="94">
        <v>96.8</v>
      </c>
      <c r="AF108" s="94">
        <v>99</v>
      </c>
      <c r="AG108" s="108"/>
      <c r="AH108" s="48">
        <f t="shared" si="14"/>
        <v>106.9</v>
      </c>
      <c r="AI108" s="49">
        <f t="shared" si="15"/>
        <v>58.3</v>
      </c>
    </row>
    <row r="109" spans="1:37" ht="15.75" thickBot="1" x14ac:dyDescent="0.3">
      <c r="A109" s="109" t="s">
        <v>113</v>
      </c>
      <c r="B109" s="94">
        <v>101.8</v>
      </c>
      <c r="C109" s="94">
        <v>99.1</v>
      </c>
      <c r="D109" s="94">
        <v>98</v>
      </c>
      <c r="E109" s="94">
        <v>102</v>
      </c>
      <c r="F109" s="94">
        <v>102</v>
      </c>
      <c r="G109" s="94">
        <v>97</v>
      </c>
      <c r="H109" s="94">
        <v>99.6</v>
      </c>
      <c r="I109" s="94">
        <v>95</v>
      </c>
      <c r="J109" s="94">
        <v>94</v>
      </c>
      <c r="K109" s="94">
        <v>84</v>
      </c>
      <c r="L109" s="94">
        <v>84.1</v>
      </c>
      <c r="M109" s="94">
        <v>87</v>
      </c>
      <c r="N109" s="94">
        <v>102</v>
      </c>
      <c r="O109" s="94">
        <v>93.6</v>
      </c>
      <c r="P109" s="94">
        <v>107.8</v>
      </c>
      <c r="Q109" s="94">
        <v>103</v>
      </c>
      <c r="R109" s="94">
        <v>102.4</v>
      </c>
      <c r="S109" s="94">
        <v>102.5</v>
      </c>
      <c r="T109" s="94">
        <v>98.7</v>
      </c>
      <c r="U109" s="94">
        <v>84.8</v>
      </c>
      <c r="V109" s="94">
        <v>85.5</v>
      </c>
      <c r="W109" s="94">
        <v>80.900000000000006</v>
      </c>
      <c r="X109" s="94">
        <v>51.8</v>
      </c>
      <c r="Y109" s="94">
        <v>78.3</v>
      </c>
      <c r="Z109" s="94">
        <v>87.2</v>
      </c>
      <c r="AA109" s="94">
        <v>93</v>
      </c>
      <c r="AB109" s="94">
        <v>86.3</v>
      </c>
      <c r="AC109" s="94">
        <v>90.9</v>
      </c>
      <c r="AD109" s="94">
        <v>98.5</v>
      </c>
      <c r="AE109" s="94">
        <v>97</v>
      </c>
      <c r="AF109" s="94">
        <v>96</v>
      </c>
      <c r="AG109" s="108"/>
      <c r="AH109" s="48">
        <f t="shared" si="14"/>
        <v>107.8</v>
      </c>
      <c r="AI109" s="49">
        <f t="shared" si="15"/>
        <v>51.8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38">SUM(B111:B215)</f>
        <v>0</v>
      </c>
      <c r="C216" s="125">
        <f t="shared" si="38"/>
        <v>0</v>
      </c>
      <c r="D216" s="125">
        <f t="shared" si="38"/>
        <v>0</v>
      </c>
      <c r="E216" s="125">
        <f t="shared" si="38"/>
        <v>0</v>
      </c>
      <c r="F216" s="125">
        <f t="shared" si="38"/>
        <v>0</v>
      </c>
      <c r="G216" s="125">
        <f t="shared" si="38"/>
        <v>0</v>
      </c>
      <c r="H216" s="125">
        <f t="shared" si="38"/>
        <v>0</v>
      </c>
      <c r="I216" s="125">
        <f t="shared" si="38"/>
        <v>0</v>
      </c>
      <c r="J216" s="125">
        <f t="shared" si="38"/>
        <v>0</v>
      </c>
      <c r="K216" s="125">
        <f t="shared" si="38"/>
        <v>0</v>
      </c>
      <c r="L216" s="125">
        <f t="shared" si="38"/>
        <v>0</v>
      </c>
      <c r="M216" s="125">
        <f t="shared" si="38"/>
        <v>0</v>
      </c>
      <c r="N216" s="125">
        <f t="shared" si="38"/>
        <v>0</v>
      </c>
      <c r="O216" s="125">
        <f t="shared" si="38"/>
        <v>0</v>
      </c>
      <c r="P216" s="125">
        <f t="shared" si="38"/>
        <v>0</v>
      </c>
      <c r="Q216" s="125">
        <f t="shared" si="38"/>
        <v>0</v>
      </c>
      <c r="R216" s="125">
        <f t="shared" si="38"/>
        <v>0</v>
      </c>
      <c r="S216" s="125">
        <f t="shared" si="38"/>
        <v>0</v>
      </c>
      <c r="T216" s="125">
        <f t="shared" si="38"/>
        <v>0</v>
      </c>
      <c r="U216" s="125">
        <f t="shared" si="38"/>
        <v>0</v>
      </c>
      <c r="V216" s="125">
        <f t="shared" si="38"/>
        <v>0</v>
      </c>
      <c r="W216" s="125">
        <f t="shared" si="38"/>
        <v>0</v>
      </c>
      <c r="X216" s="125">
        <f t="shared" si="38"/>
        <v>0</v>
      </c>
      <c r="Y216" s="125">
        <f t="shared" si="38"/>
        <v>0</v>
      </c>
      <c r="Z216" s="125">
        <f t="shared" si="38"/>
        <v>0</v>
      </c>
      <c r="AA216" s="125">
        <f t="shared" si="38"/>
        <v>0</v>
      </c>
      <c r="AB216" s="125">
        <f t="shared" si="38"/>
        <v>0</v>
      </c>
      <c r="AC216" s="125">
        <f t="shared" si="38"/>
        <v>0</v>
      </c>
      <c r="AD216" s="125">
        <f t="shared" si="38"/>
        <v>0</v>
      </c>
      <c r="AE216" s="125">
        <f t="shared" si="38"/>
        <v>0</v>
      </c>
      <c r="AF216" s="126">
        <f t="shared" si="38"/>
        <v>0</v>
      </c>
      <c r="AG216" s="127">
        <f t="shared" si="38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39">AF218</f>
        <v>0</v>
      </c>
      <c r="C218" s="129">
        <v>0.3</v>
      </c>
      <c r="D218" s="129">
        <f t="shared" ref="D218:P223" si="40">C218</f>
        <v>0.3</v>
      </c>
      <c r="E218" s="129">
        <f t="shared" si="40"/>
        <v>0.3</v>
      </c>
      <c r="F218" s="129">
        <f t="shared" si="40"/>
        <v>0.3</v>
      </c>
      <c r="G218" s="129">
        <f t="shared" si="40"/>
        <v>0.3</v>
      </c>
      <c r="H218" s="129">
        <f t="shared" si="40"/>
        <v>0.3</v>
      </c>
      <c r="I218" s="129">
        <f t="shared" si="40"/>
        <v>0.3</v>
      </c>
      <c r="J218" s="129">
        <f t="shared" si="40"/>
        <v>0.3</v>
      </c>
      <c r="K218" s="129">
        <f t="shared" si="40"/>
        <v>0.3</v>
      </c>
      <c r="L218" s="129">
        <f t="shared" si="40"/>
        <v>0.3</v>
      </c>
      <c r="M218" s="129">
        <f t="shared" si="40"/>
        <v>0.3</v>
      </c>
      <c r="N218" s="129">
        <f t="shared" si="40"/>
        <v>0.3</v>
      </c>
      <c r="O218" s="129">
        <f t="shared" si="40"/>
        <v>0.3</v>
      </c>
      <c r="P218" s="129">
        <f t="shared" si="40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39"/>
        <v>0</v>
      </c>
      <c r="C219" s="117">
        <v>0.4</v>
      </c>
      <c r="D219" s="117">
        <f t="shared" si="40"/>
        <v>0.4</v>
      </c>
      <c r="E219" s="117">
        <f t="shared" si="40"/>
        <v>0.4</v>
      </c>
      <c r="F219" s="117">
        <f t="shared" si="40"/>
        <v>0.4</v>
      </c>
      <c r="G219" s="117">
        <f t="shared" si="40"/>
        <v>0.4</v>
      </c>
      <c r="H219" s="117">
        <f t="shared" si="40"/>
        <v>0.4</v>
      </c>
      <c r="I219" s="117">
        <f t="shared" si="40"/>
        <v>0.4</v>
      </c>
      <c r="J219" s="117">
        <f t="shared" si="40"/>
        <v>0.4</v>
      </c>
      <c r="K219" s="117">
        <f t="shared" si="40"/>
        <v>0.4</v>
      </c>
      <c r="L219" s="117">
        <f t="shared" si="40"/>
        <v>0.4</v>
      </c>
      <c r="M219" s="117">
        <f t="shared" si="40"/>
        <v>0.4</v>
      </c>
      <c r="N219" s="117">
        <f t="shared" si="40"/>
        <v>0.4</v>
      </c>
      <c r="O219" s="117">
        <f t="shared" si="40"/>
        <v>0.4</v>
      </c>
      <c r="P219" s="117">
        <f t="shared" si="40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39"/>
        <v>0</v>
      </c>
      <c r="C220" s="117">
        <v>1.5</v>
      </c>
      <c r="D220" s="117">
        <f t="shared" si="40"/>
        <v>1.5</v>
      </c>
      <c r="E220" s="117">
        <f t="shared" si="40"/>
        <v>1.5</v>
      </c>
      <c r="F220" s="117">
        <f t="shared" si="40"/>
        <v>1.5</v>
      </c>
      <c r="G220" s="117">
        <f t="shared" si="40"/>
        <v>1.5</v>
      </c>
      <c r="H220" s="117">
        <f t="shared" si="40"/>
        <v>1.5</v>
      </c>
      <c r="I220" s="117">
        <f t="shared" si="40"/>
        <v>1.5</v>
      </c>
      <c r="J220" s="117">
        <f t="shared" si="40"/>
        <v>1.5</v>
      </c>
      <c r="K220" s="117">
        <f t="shared" si="40"/>
        <v>1.5</v>
      </c>
      <c r="L220" s="117">
        <f t="shared" si="40"/>
        <v>1.5</v>
      </c>
      <c r="M220" s="117">
        <f t="shared" si="40"/>
        <v>1.5</v>
      </c>
      <c r="N220" s="117">
        <f t="shared" si="40"/>
        <v>1.5</v>
      </c>
      <c r="O220" s="117">
        <f t="shared" si="40"/>
        <v>1.5</v>
      </c>
      <c r="P220" s="117">
        <f t="shared" si="40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39"/>
        <v>0</v>
      </c>
      <c r="C221" s="117">
        <v>0.3</v>
      </c>
      <c r="D221" s="117">
        <f t="shared" si="40"/>
        <v>0.3</v>
      </c>
      <c r="E221" s="117">
        <f t="shared" si="40"/>
        <v>0.3</v>
      </c>
      <c r="F221" s="117">
        <f t="shared" si="40"/>
        <v>0.3</v>
      </c>
      <c r="G221" s="117">
        <f t="shared" si="40"/>
        <v>0.3</v>
      </c>
      <c r="H221" s="117">
        <f t="shared" si="40"/>
        <v>0.3</v>
      </c>
      <c r="I221" s="117">
        <f t="shared" si="40"/>
        <v>0.3</v>
      </c>
      <c r="J221" s="117">
        <f t="shared" si="40"/>
        <v>0.3</v>
      </c>
      <c r="K221" s="117">
        <f t="shared" si="40"/>
        <v>0.3</v>
      </c>
      <c r="L221" s="117">
        <f t="shared" si="40"/>
        <v>0.3</v>
      </c>
      <c r="M221" s="117">
        <f t="shared" si="40"/>
        <v>0.3</v>
      </c>
      <c r="N221" s="117">
        <f t="shared" si="40"/>
        <v>0.3</v>
      </c>
      <c r="O221" s="117">
        <f t="shared" si="40"/>
        <v>0.3</v>
      </c>
      <c r="P221" s="117">
        <f t="shared" si="40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39"/>
        <v>0</v>
      </c>
      <c r="C222" s="117">
        <v>0.4</v>
      </c>
      <c r="D222" s="117">
        <f t="shared" si="40"/>
        <v>0.4</v>
      </c>
      <c r="E222" s="117">
        <f t="shared" si="40"/>
        <v>0.4</v>
      </c>
      <c r="F222" s="117">
        <f t="shared" si="40"/>
        <v>0.4</v>
      </c>
      <c r="G222" s="117">
        <f t="shared" si="40"/>
        <v>0.4</v>
      </c>
      <c r="H222" s="117">
        <f t="shared" si="40"/>
        <v>0.4</v>
      </c>
      <c r="I222" s="117">
        <f t="shared" si="40"/>
        <v>0.4</v>
      </c>
      <c r="J222" s="117">
        <f t="shared" si="40"/>
        <v>0.4</v>
      </c>
      <c r="K222" s="117">
        <f t="shared" si="40"/>
        <v>0.4</v>
      </c>
      <c r="L222" s="117">
        <f t="shared" si="40"/>
        <v>0.4</v>
      </c>
      <c r="M222" s="117">
        <f t="shared" si="40"/>
        <v>0.4</v>
      </c>
      <c r="N222" s="117">
        <f t="shared" si="40"/>
        <v>0.4</v>
      </c>
      <c r="O222" s="117">
        <f t="shared" si="40"/>
        <v>0.4</v>
      </c>
      <c r="P222" s="117">
        <f t="shared" si="40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39"/>
        <v>0</v>
      </c>
      <c r="C223" s="121">
        <v>0.64</v>
      </c>
      <c r="D223" s="121">
        <f t="shared" si="40"/>
        <v>0.64</v>
      </c>
      <c r="E223" s="121">
        <f t="shared" si="40"/>
        <v>0.64</v>
      </c>
      <c r="F223" s="121">
        <f t="shared" si="40"/>
        <v>0.64</v>
      </c>
      <c r="G223" s="121">
        <f t="shared" si="40"/>
        <v>0.64</v>
      </c>
      <c r="H223" s="121">
        <f t="shared" si="40"/>
        <v>0.64</v>
      </c>
      <c r="I223" s="121">
        <f t="shared" si="40"/>
        <v>0.64</v>
      </c>
      <c r="J223" s="121">
        <f t="shared" si="40"/>
        <v>0.64</v>
      </c>
      <c r="K223" s="121">
        <f t="shared" si="40"/>
        <v>0.64</v>
      </c>
      <c r="L223" s="121">
        <f t="shared" si="40"/>
        <v>0.64</v>
      </c>
      <c r="M223" s="121">
        <f t="shared" si="40"/>
        <v>0.64</v>
      </c>
      <c r="N223" s="121">
        <f t="shared" si="40"/>
        <v>0.64</v>
      </c>
      <c r="O223" s="121">
        <f t="shared" si="40"/>
        <v>0.64</v>
      </c>
      <c r="P223" s="121">
        <f t="shared" si="40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41">SUM(B218:B223)</f>
        <v>0</v>
      </c>
      <c r="C224" s="125">
        <f t="shared" si="41"/>
        <v>3.54</v>
      </c>
      <c r="D224" s="125">
        <f t="shared" si="41"/>
        <v>3.54</v>
      </c>
      <c r="E224" s="125">
        <f t="shared" si="41"/>
        <v>3.54</v>
      </c>
      <c r="F224" s="125">
        <f t="shared" si="41"/>
        <v>3.54</v>
      </c>
      <c r="G224" s="125">
        <f t="shared" si="41"/>
        <v>3.54</v>
      </c>
      <c r="H224" s="125">
        <f t="shared" si="41"/>
        <v>3.54</v>
      </c>
      <c r="I224" s="125">
        <f t="shared" si="41"/>
        <v>3.54</v>
      </c>
      <c r="J224" s="125">
        <f t="shared" si="41"/>
        <v>3.54</v>
      </c>
      <c r="K224" s="125">
        <f t="shared" si="41"/>
        <v>3.54</v>
      </c>
      <c r="L224" s="125">
        <f t="shared" si="41"/>
        <v>3.54</v>
      </c>
      <c r="M224" s="125">
        <f t="shared" si="41"/>
        <v>3.54</v>
      </c>
      <c r="N224" s="125">
        <f t="shared" si="41"/>
        <v>3.54</v>
      </c>
      <c r="O224" s="125">
        <f t="shared" si="41"/>
        <v>3.54</v>
      </c>
      <c r="P224" s="125">
        <f t="shared" si="41"/>
        <v>3.54</v>
      </c>
      <c r="Q224" s="125">
        <f t="shared" si="41"/>
        <v>0</v>
      </c>
      <c r="R224" s="125">
        <f t="shared" si="41"/>
        <v>0</v>
      </c>
      <c r="S224" s="125">
        <f t="shared" si="41"/>
        <v>0</v>
      </c>
      <c r="T224" s="125">
        <f t="shared" si="41"/>
        <v>0</v>
      </c>
      <c r="U224" s="125">
        <f t="shared" si="41"/>
        <v>0</v>
      </c>
      <c r="V224" s="125">
        <f t="shared" si="41"/>
        <v>0</v>
      </c>
      <c r="W224" s="125">
        <f t="shared" si="41"/>
        <v>0</v>
      </c>
      <c r="X224" s="125">
        <f t="shared" si="41"/>
        <v>0</v>
      </c>
      <c r="Y224" s="125">
        <f t="shared" si="41"/>
        <v>0</v>
      </c>
      <c r="Z224" s="125">
        <f t="shared" si="41"/>
        <v>0</v>
      </c>
      <c r="AA224" s="125">
        <f t="shared" si="41"/>
        <v>0</v>
      </c>
      <c r="AB224" s="125">
        <f t="shared" si="41"/>
        <v>0</v>
      </c>
      <c r="AC224" s="125">
        <f t="shared" si="41"/>
        <v>0</v>
      </c>
      <c r="AD224" s="125">
        <f t="shared" si="41"/>
        <v>0</v>
      </c>
      <c r="AE224" s="125">
        <f t="shared" si="41"/>
        <v>0</v>
      </c>
      <c r="AF224" s="125">
        <f t="shared" si="41"/>
        <v>0</v>
      </c>
      <c r="AG224" s="134">
        <f t="shared" si="41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1262.6399999999999</v>
      </c>
      <c r="C233" s="150">
        <f>INDEX(G9:N9,1,MATCH(MAX(G81:N81),G81:N81,0))</f>
        <v>0.33333333333333331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16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2079/06/16)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2079/06/16)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42">B81</f>
        <v>1071.1399999999999</v>
      </c>
      <c r="U238" s="159">
        <f t="shared" si="42"/>
        <v>1061.44</v>
      </c>
      <c r="V238" s="159">
        <f t="shared" si="42"/>
        <v>1237.6399999999999</v>
      </c>
      <c r="W238" s="159">
        <f t="shared" si="42"/>
        <v>1047.04</v>
      </c>
      <c r="X238" s="159">
        <f t="shared" si="42"/>
        <v>1055.8399999999999</v>
      </c>
      <c r="Y238" s="159">
        <f t="shared" si="42"/>
        <v>1103.74</v>
      </c>
      <c r="Z238" s="159">
        <f t="shared" si="42"/>
        <v>1148.44</v>
      </c>
      <c r="AA238" s="159">
        <f t="shared" si="42"/>
        <v>1179.04</v>
      </c>
      <c r="AB238" s="159">
        <f t="shared" si="42"/>
        <v>1239.94</v>
      </c>
      <c r="AC238" s="159">
        <f t="shared" si="42"/>
        <v>1260.94</v>
      </c>
      <c r="AD238" s="159">
        <f t="shared" si="42"/>
        <v>1197.3400000000001</v>
      </c>
      <c r="AE238" s="159">
        <f t="shared" si="42"/>
        <v>1262.6399999999999</v>
      </c>
      <c r="AF238" s="159">
        <f t="shared" si="42"/>
        <v>1243.8399999999999</v>
      </c>
      <c r="AG238" s="159">
        <f t="shared" si="42"/>
        <v>1205.44</v>
      </c>
      <c r="AH238" s="159">
        <f t="shared" si="42"/>
        <v>1207.24</v>
      </c>
      <c r="AI238" s="159">
        <f t="shared" si="42"/>
        <v>1181.6399999999999</v>
      </c>
      <c r="AJ238" s="159">
        <f t="shared" si="42"/>
        <v>1182.44</v>
      </c>
      <c r="AK238" s="159">
        <f t="shared" si="42"/>
        <v>1210.3400000000001</v>
      </c>
      <c r="AL238" s="159">
        <f t="shared" si="42"/>
        <v>1219.74</v>
      </c>
      <c r="AM238" s="159">
        <f t="shared" si="42"/>
        <v>1219.74</v>
      </c>
      <c r="AN238" s="159">
        <f t="shared" si="42"/>
        <v>1239.54</v>
      </c>
      <c r="AO238" s="159">
        <f t="shared" si="42"/>
        <v>1298.24</v>
      </c>
      <c r="AP238" s="159">
        <f t="shared" si="42"/>
        <v>1365.8400000000001</v>
      </c>
      <c r="AQ238" s="159">
        <f t="shared" si="42"/>
        <v>1323.14</v>
      </c>
      <c r="AR238" s="159">
        <f t="shared" si="42"/>
        <v>1327.04</v>
      </c>
      <c r="AS238" s="159">
        <f t="shared" si="42"/>
        <v>1276.6400000000001</v>
      </c>
      <c r="AT238" s="159">
        <f t="shared" si="42"/>
        <v>1254.24</v>
      </c>
      <c r="AU238" s="159">
        <f t="shared" si="42"/>
        <v>1252.24</v>
      </c>
      <c r="AV238" s="159">
        <f t="shared" si="42"/>
        <v>1236.44</v>
      </c>
      <c r="AW238" s="159">
        <f t="shared" si="42"/>
        <v>1122.1400000000001</v>
      </c>
      <c r="AX238" s="159">
        <f t="shared" si="42"/>
        <v>1052.24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43">C223</f>
        <v>0.64</v>
      </c>
      <c r="C259" s="162">
        <f t="shared" si="43"/>
        <v>0.64</v>
      </c>
      <c r="D259" s="162">
        <f t="shared" si="43"/>
        <v>0.64</v>
      </c>
      <c r="E259" s="162">
        <f t="shared" si="43"/>
        <v>0.64</v>
      </c>
      <c r="F259" s="162">
        <f t="shared" si="43"/>
        <v>0.64</v>
      </c>
      <c r="G259" s="162">
        <f t="shared" si="43"/>
        <v>0.64</v>
      </c>
      <c r="H259" s="162">
        <f t="shared" si="43"/>
        <v>0.64</v>
      </c>
      <c r="I259" s="162">
        <f t="shared" si="43"/>
        <v>0.64</v>
      </c>
      <c r="J259" s="162">
        <f t="shared" si="43"/>
        <v>0.64</v>
      </c>
      <c r="K259" s="162">
        <f t="shared" si="43"/>
        <v>0.64</v>
      </c>
      <c r="L259" s="162">
        <f t="shared" si="43"/>
        <v>0.64</v>
      </c>
      <c r="M259" s="162">
        <f t="shared" si="43"/>
        <v>0.64</v>
      </c>
      <c r="N259" s="162">
        <f t="shared" si="43"/>
        <v>0.64</v>
      </c>
      <c r="O259" s="162">
        <f t="shared" si="43"/>
        <v>0.64</v>
      </c>
      <c r="P259" s="162">
        <f t="shared" si="43"/>
        <v>0</v>
      </c>
      <c r="Q259" s="162">
        <f t="shared" si="43"/>
        <v>0</v>
      </c>
      <c r="R259" s="162">
        <f t="shared" si="43"/>
        <v>0</v>
      </c>
      <c r="S259" s="162">
        <f t="shared" si="43"/>
        <v>0</v>
      </c>
      <c r="T259" s="162">
        <f t="shared" si="43"/>
        <v>0</v>
      </c>
      <c r="U259" s="162">
        <f t="shared" si="43"/>
        <v>0</v>
      </c>
      <c r="V259" s="162">
        <f t="shared" si="43"/>
        <v>0</v>
      </c>
      <c r="W259" s="162">
        <f t="shared" si="43"/>
        <v>0</v>
      </c>
      <c r="X259" s="162">
        <f t="shared" si="43"/>
        <v>0</v>
      </c>
      <c r="Y259" s="162">
        <f t="shared" si="43"/>
        <v>0</v>
      </c>
      <c r="Z259" s="162">
        <f t="shared" si="43"/>
        <v>0</v>
      </c>
      <c r="AA259" s="162">
        <f t="shared" si="43"/>
        <v>0</v>
      </c>
      <c r="AB259" s="162">
        <f t="shared" si="43"/>
        <v>0</v>
      </c>
      <c r="AC259" s="162">
        <f t="shared" si="43"/>
        <v>0</v>
      </c>
      <c r="AD259" s="162">
        <f t="shared" si="43"/>
        <v>0</v>
      </c>
      <c r="AE259" s="162">
        <f t="shared" si="43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44">IF(B227&lt;100,"",B227-520)</f>
        <v/>
      </c>
      <c r="C260" s="163" t="str">
        <f t="shared" si="44"/>
        <v/>
      </c>
      <c r="D260" s="163" t="str">
        <f t="shared" si="44"/>
        <v/>
      </c>
      <c r="E260" s="163" t="str">
        <f t="shared" si="44"/>
        <v/>
      </c>
      <c r="F260" s="163" t="str">
        <f t="shared" si="44"/>
        <v/>
      </c>
      <c r="G260" s="163" t="str">
        <f t="shared" si="44"/>
        <v/>
      </c>
      <c r="H260" s="163" t="str">
        <f t="shared" si="44"/>
        <v/>
      </c>
      <c r="I260" s="163" t="str">
        <f t="shared" si="44"/>
        <v/>
      </c>
      <c r="J260" s="163" t="str">
        <f t="shared" si="44"/>
        <v/>
      </c>
      <c r="K260" s="163" t="str">
        <f t="shared" si="44"/>
        <v/>
      </c>
      <c r="L260" s="163" t="str">
        <f t="shared" si="44"/>
        <v/>
      </c>
      <c r="M260" s="163" t="str">
        <f t="shared" si="44"/>
        <v/>
      </c>
      <c r="N260" s="163" t="str">
        <f t="shared" si="44"/>
        <v/>
      </c>
      <c r="O260" s="163" t="str">
        <f t="shared" si="44"/>
        <v/>
      </c>
      <c r="P260" s="163" t="str">
        <f t="shared" si="44"/>
        <v/>
      </c>
      <c r="Q260" s="163" t="str">
        <f t="shared" si="44"/>
        <v/>
      </c>
      <c r="R260" s="163" t="str">
        <f t="shared" si="44"/>
        <v/>
      </c>
      <c r="S260" s="163" t="str">
        <f t="shared" si="44"/>
        <v/>
      </c>
      <c r="T260" s="163" t="str">
        <f t="shared" si="44"/>
        <v/>
      </c>
      <c r="U260" s="163" t="str">
        <f t="shared" si="44"/>
        <v/>
      </c>
      <c r="V260" s="163" t="str">
        <f t="shared" si="44"/>
        <v/>
      </c>
      <c r="W260" s="163" t="str">
        <f t="shared" si="44"/>
        <v/>
      </c>
      <c r="X260" s="163" t="str">
        <f t="shared" si="44"/>
        <v/>
      </c>
      <c r="Y260" s="163" t="str">
        <f t="shared" si="44"/>
        <v/>
      </c>
      <c r="Z260" s="163" t="str">
        <f t="shared" si="44"/>
        <v/>
      </c>
      <c r="AA260" s="163" t="str">
        <f t="shared" si="44"/>
        <v/>
      </c>
      <c r="AB260" s="163" t="str">
        <f t="shared" si="44"/>
        <v/>
      </c>
      <c r="AC260" s="163" t="str">
        <f t="shared" si="44"/>
        <v/>
      </c>
      <c r="AD260" s="163" t="str">
        <f t="shared" si="44"/>
        <v/>
      </c>
      <c r="AE260" s="163" t="str">
        <f t="shared" si="44"/>
        <v/>
      </c>
      <c r="AF260" s="163" t="str">
        <f t="shared" si="44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45">IF(B228&lt;100,"",B228-620)</f>
        <v/>
      </c>
      <c r="C261" s="163" t="str">
        <f t="shared" si="45"/>
        <v/>
      </c>
      <c r="D261" s="163" t="str">
        <f t="shared" si="45"/>
        <v/>
      </c>
      <c r="E261" s="163" t="str">
        <f t="shared" si="45"/>
        <v/>
      </c>
      <c r="F261" s="163" t="str">
        <f t="shared" si="45"/>
        <v/>
      </c>
      <c r="G261" s="163" t="str">
        <f t="shared" si="45"/>
        <v/>
      </c>
      <c r="H261" s="163" t="str">
        <f t="shared" si="45"/>
        <v/>
      </c>
      <c r="I261" s="163" t="str">
        <f t="shared" si="45"/>
        <v/>
      </c>
      <c r="J261" s="163" t="str">
        <f t="shared" si="45"/>
        <v/>
      </c>
      <c r="K261" s="163" t="str">
        <f t="shared" si="45"/>
        <v/>
      </c>
      <c r="L261" s="163" t="str">
        <f t="shared" si="45"/>
        <v/>
      </c>
      <c r="M261" s="163" t="str">
        <f t="shared" si="45"/>
        <v/>
      </c>
      <c r="N261" s="163" t="str">
        <f t="shared" si="45"/>
        <v/>
      </c>
      <c r="O261" s="163" t="str">
        <f t="shared" si="45"/>
        <v/>
      </c>
      <c r="P261" s="163" t="str">
        <f t="shared" si="45"/>
        <v/>
      </c>
      <c r="Q261" s="163" t="str">
        <f t="shared" si="45"/>
        <v/>
      </c>
      <c r="R261" s="163" t="str">
        <f t="shared" si="45"/>
        <v/>
      </c>
      <c r="S261" s="163" t="str">
        <f t="shared" si="45"/>
        <v/>
      </c>
      <c r="T261" s="163" t="str">
        <f t="shared" si="45"/>
        <v/>
      </c>
      <c r="U261" s="163" t="str">
        <f t="shared" si="45"/>
        <v/>
      </c>
      <c r="V261" s="163" t="str">
        <f t="shared" si="45"/>
        <v/>
      </c>
      <c r="W261" s="163" t="str">
        <f t="shared" si="45"/>
        <v/>
      </c>
      <c r="X261" s="163" t="str">
        <f t="shared" si="45"/>
        <v/>
      </c>
      <c r="Y261" s="163" t="str">
        <f t="shared" si="45"/>
        <v/>
      </c>
      <c r="Z261" s="163" t="str">
        <f t="shared" si="45"/>
        <v/>
      </c>
      <c r="AA261" s="163" t="str">
        <f t="shared" si="45"/>
        <v/>
      </c>
      <c r="AB261" s="163" t="str">
        <f t="shared" si="45"/>
        <v/>
      </c>
      <c r="AC261" s="163" t="str">
        <f t="shared" si="45"/>
        <v/>
      </c>
      <c r="AD261" s="163" t="str">
        <f t="shared" si="45"/>
        <v/>
      </c>
      <c r="AE261" s="163" t="str">
        <f t="shared" si="45"/>
        <v/>
      </c>
      <c r="AF261" s="163" t="str">
        <f t="shared" si="45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46">IF(B229&lt;100,"",B229-330)</f>
        <v/>
      </c>
      <c r="C262" s="163" t="str">
        <f t="shared" si="46"/>
        <v/>
      </c>
      <c r="D262" s="163" t="str">
        <f t="shared" si="46"/>
        <v/>
      </c>
      <c r="E262" s="163" t="str">
        <f t="shared" si="46"/>
        <v/>
      </c>
      <c r="F262" s="163" t="str">
        <f t="shared" si="46"/>
        <v/>
      </c>
      <c r="G262" s="163" t="str">
        <f t="shared" si="46"/>
        <v/>
      </c>
      <c r="H262" s="163" t="str">
        <f t="shared" si="46"/>
        <v/>
      </c>
      <c r="I262" s="163" t="str">
        <f t="shared" si="46"/>
        <v/>
      </c>
      <c r="J262" s="163" t="str">
        <f t="shared" si="46"/>
        <v/>
      </c>
      <c r="K262" s="163" t="str">
        <f t="shared" si="46"/>
        <v/>
      </c>
      <c r="L262" s="163" t="str">
        <f t="shared" si="46"/>
        <v/>
      </c>
      <c r="M262" s="163" t="str">
        <f t="shared" si="46"/>
        <v/>
      </c>
      <c r="N262" s="163" t="str">
        <f t="shared" si="46"/>
        <v/>
      </c>
      <c r="O262" s="163" t="str">
        <f t="shared" si="46"/>
        <v/>
      </c>
      <c r="P262" s="163" t="str">
        <f t="shared" si="46"/>
        <v/>
      </c>
      <c r="Q262" s="163" t="str">
        <f t="shared" si="46"/>
        <v/>
      </c>
      <c r="R262" s="163" t="str">
        <f t="shared" si="46"/>
        <v/>
      </c>
      <c r="S262" s="163" t="str">
        <f t="shared" si="46"/>
        <v/>
      </c>
      <c r="T262" s="163" t="str">
        <f t="shared" si="46"/>
        <v/>
      </c>
      <c r="U262" s="163" t="str">
        <f t="shared" si="46"/>
        <v/>
      </c>
      <c r="V262" s="163" t="str">
        <f t="shared" si="46"/>
        <v/>
      </c>
      <c r="W262" s="163" t="str">
        <f t="shared" si="46"/>
        <v/>
      </c>
      <c r="X262" s="163" t="str">
        <f t="shared" si="46"/>
        <v/>
      </c>
      <c r="Y262" s="163" t="str">
        <f t="shared" si="46"/>
        <v/>
      </c>
      <c r="Z262" s="163" t="str">
        <f t="shared" si="46"/>
        <v/>
      </c>
      <c r="AA262" s="163" t="str">
        <f t="shared" si="46"/>
        <v/>
      </c>
      <c r="AB262" s="163" t="str">
        <f t="shared" si="46"/>
        <v/>
      </c>
      <c r="AC262" s="163" t="str">
        <f t="shared" si="46"/>
        <v/>
      </c>
      <c r="AD262" s="163" t="str">
        <f t="shared" si="46"/>
        <v/>
      </c>
      <c r="AE262" s="163" t="str">
        <f t="shared" si="46"/>
        <v/>
      </c>
      <c r="AF262" s="163" t="str">
        <f t="shared" si="46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47">IF(B230&lt;100,"",B230-1500)</f>
        <v/>
      </c>
      <c r="C263" s="163" t="str">
        <f t="shared" si="47"/>
        <v/>
      </c>
      <c r="D263" s="163" t="str">
        <f t="shared" si="47"/>
        <v/>
      </c>
      <c r="E263" s="163" t="str">
        <f t="shared" si="47"/>
        <v/>
      </c>
      <c r="F263" s="163" t="str">
        <f t="shared" si="47"/>
        <v/>
      </c>
      <c r="G263" s="163" t="str">
        <f t="shared" si="47"/>
        <v/>
      </c>
      <c r="H263" s="163" t="str">
        <f t="shared" si="47"/>
        <v/>
      </c>
      <c r="I263" s="163" t="str">
        <f t="shared" si="47"/>
        <v/>
      </c>
      <c r="J263" s="163" t="str">
        <f t="shared" si="47"/>
        <v/>
      </c>
      <c r="K263" s="163" t="str">
        <f t="shared" si="47"/>
        <v/>
      </c>
      <c r="L263" s="163" t="str">
        <f t="shared" si="47"/>
        <v/>
      </c>
      <c r="M263" s="163" t="str">
        <f t="shared" si="47"/>
        <v/>
      </c>
      <c r="N263" s="163" t="str">
        <f t="shared" si="47"/>
        <v/>
      </c>
      <c r="O263" s="163" t="str">
        <f t="shared" si="47"/>
        <v/>
      </c>
      <c r="P263" s="163" t="str">
        <f t="shared" si="47"/>
        <v/>
      </c>
      <c r="Q263" s="163" t="str">
        <f t="shared" si="47"/>
        <v/>
      </c>
      <c r="R263" s="163" t="str">
        <f t="shared" si="47"/>
        <v/>
      </c>
      <c r="S263" s="163" t="str">
        <f t="shared" si="47"/>
        <v/>
      </c>
      <c r="T263" s="163" t="str">
        <f t="shared" si="47"/>
        <v/>
      </c>
      <c r="U263" s="163" t="str">
        <f t="shared" si="47"/>
        <v/>
      </c>
      <c r="V263" s="163" t="str">
        <f t="shared" si="47"/>
        <v/>
      </c>
      <c r="W263" s="163" t="str">
        <f t="shared" si="47"/>
        <v/>
      </c>
      <c r="X263" s="163" t="str">
        <f t="shared" si="47"/>
        <v/>
      </c>
      <c r="Y263" s="163" t="str">
        <f t="shared" si="47"/>
        <v/>
      </c>
      <c r="Z263" s="163" t="str">
        <f t="shared" si="47"/>
        <v/>
      </c>
      <c r="AA263" s="163" t="str">
        <f t="shared" si="47"/>
        <v/>
      </c>
      <c r="AB263" s="163" t="str">
        <f t="shared" si="47"/>
        <v/>
      </c>
      <c r="AC263" s="163" t="str">
        <f t="shared" si="47"/>
        <v/>
      </c>
      <c r="AD263" s="163" t="str">
        <f t="shared" si="47"/>
        <v/>
      </c>
      <c r="AE263" s="163" t="str">
        <f t="shared" si="47"/>
        <v/>
      </c>
      <c r="AF263" s="163" t="str">
        <f t="shared" si="47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5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54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V11:AF11 M16:AF16 S20:AF23">
    <cfRule type="expression" dxfId="6345" priority="350">
      <formula>B$9&gt;=20/24</formula>
    </cfRule>
    <cfRule type="expression" dxfId="6344" priority="351">
      <formula>AND(B$9&gt;=14/24,B$9&lt;20/24)</formula>
    </cfRule>
    <cfRule type="expression" dxfId="6343" priority="352">
      <formula>AND(B$9&gt;=8/24,B$9&lt;14/24)</formula>
    </cfRule>
    <cfRule type="expression" dxfId="6342" priority="353">
      <formula>B$9&lt;8/24</formula>
    </cfRule>
  </conditionalFormatting>
  <conditionalFormatting sqref="AL4:AL6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6341" priority="345">
      <formula>S$9&gt;=20/24</formula>
    </cfRule>
    <cfRule type="expression" dxfId="6340" priority="346">
      <formula>AND(S$9&gt;=14/24,S$9&lt;20/24)</formula>
    </cfRule>
    <cfRule type="expression" dxfId="6339" priority="347">
      <formula>AND(S$9&gt;=8/24,S$9&lt;14/24)</formula>
    </cfRule>
    <cfRule type="expression" dxfId="6338" priority="348">
      <formula>S$9&lt;8/24</formula>
    </cfRule>
  </conditionalFormatting>
  <conditionalFormatting sqref="AG57 R11:W11 M12:W16 S39:AF39 S18:AF18 S20:AF23 S37:AF37 X11:AF16">
    <cfRule type="expression" dxfId="6337" priority="344">
      <formula>M11&gt;$AG11</formula>
    </cfRule>
  </conditionalFormatting>
  <conditionalFormatting sqref="A91:A101 A11:A14 A51:A78 A87:A89 A194:A224 A38:A49 A110:A181 A34:A35 A83:A85 A80:A81 A103:A105 A31:A32 A18:A29 A16">
    <cfRule type="expression" dxfId="6336" priority="343">
      <formula>$AH11=0</formula>
    </cfRule>
  </conditionalFormatting>
  <conditionalFormatting sqref="A106">
    <cfRule type="expression" dxfId="6335" priority="342">
      <formula>$AH106=0</formula>
    </cfRule>
  </conditionalFormatting>
  <conditionalFormatting sqref="AL35">
    <cfRule type="iconSet" priority="3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6334" priority="340">
      <formula>$AH37=0</formula>
    </cfRule>
  </conditionalFormatting>
  <conditionalFormatting sqref="A90">
    <cfRule type="expression" dxfId="6333" priority="339">
      <formula>$AH90=0</formula>
    </cfRule>
  </conditionalFormatting>
  <conditionalFormatting sqref="A15">
    <cfRule type="expression" dxfId="6332" priority="338">
      <formula>$AH15=0</formula>
    </cfRule>
  </conditionalFormatting>
  <conditionalFormatting sqref="A188:A193">
    <cfRule type="expression" dxfId="6331" priority="337">
      <formula>$AH188=0</formula>
    </cfRule>
  </conditionalFormatting>
  <conditionalFormatting sqref="A182:A187">
    <cfRule type="expression" dxfId="6330" priority="336">
      <formula>$AH182=0</formula>
    </cfRule>
  </conditionalFormatting>
  <conditionalFormatting sqref="A50">
    <cfRule type="expression" dxfId="6329" priority="335">
      <formula>$AH50=0</formula>
    </cfRule>
  </conditionalFormatting>
  <conditionalFormatting sqref="A86">
    <cfRule type="expression" dxfId="6328" priority="334">
      <formula>$AH86=0</formula>
    </cfRule>
  </conditionalFormatting>
  <conditionalFormatting sqref="C91:AF91">
    <cfRule type="expression" dxfId="6327" priority="330">
      <formula>C$9&gt;=20/24</formula>
    </cfRule>
    <cfRule type="expression" dxfId="6326" priority="331">
      <formula>AND(C$9&gt;=14/24,C$9&lt;20/24)</formula>
    </cfRule>
    <cfRule type="expression" dxfId="6325" priority="332">
      <formula>AND(C$9&gt;=8/24,C$9&lt;14/24)</formula>
    </cfRule>
    <cfRule type="expression" dxfId="6324" priority="333">
      <formula>C$9&lt;8/24</formula>
    </cfRule>
  </conditionalFormatting>
  <conditionalFormatting sqref="AL36">
    <cfRule type="iconSet" priority="32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323" priority="356">
      <formula>C$9&gt;=20/24</formula>
    </cfRule>
    <cfRule type="expression" dxfId="6322" priority="357">
      <formula>AND(C$9&gt;=14/24,C$9&lt;20/24)</formula>
    </cfRule>
    <cfRule type="expression" dxfId="6321" priority="358">
      <formula>AND(C$9&gt;=8/24,C$9&lt;14/24)</formula>
    </cfRule>
    <cfRule type="expression" dxfId="6320" priority="359">
      <formula>C$9&lt;8/24</formula>
    </cfRule>
  </conditionalFormatting>
  <conditionalFormatting sqref="A225">
    <cfRule type="expression" dxfId="6319" priority="360">
      <formula>$AH225=0</formula>
    </cfRule>
  </conditionalFormatting>
  <conditionalFormatting sqref="AG237">
    <cfRule type="expression" dxfId="6318" priority="361">
      <formula>B$9&gt;=20/24</formula>
    </cfRule>
    <cfRule type="expression" dxfId="6317" priority="362">
      <formula>AND(B$9&gt;=14/24,B$9&lt;20/24)</formula>
    </cfRule>
    <cfRule type="expression" dxfId="6316" priority="363">
      <formula>AND(B$9&gt;=8/24,B$9&lt;14/24)</formula>
    </cfRule>
    <cfRule type="expression" dxfId="6315" priority="364">
      <formula>B$9&lt;8/24</formula>
    </cfRule>
  </conditionalFormatting>
  <conditionalFormatting sqref="S8">
    <cfRule type="expression" dxfId="6314" priority="325">
      <formula>U$9&gt;=20/24</formula>
    </cfRule>
    <cfRule type="expression" dxfId="6313" priority="326">
      <formula>AND(U$9&gt;=14/24,U$9&lt;20/24)</formula>
    </cfRule>
    <cfRule type="expression" dxfId="6312" priority="327">
      <formula>AND(U$9&gt;=8/24,U$9&lt;14/24)</formula>
    </cfRule>
    <cfRule type="expression" dxfId="6311" priority="328">
      <formula>U$9&lt;8/24</formula>
    </cfRule>
  </conditionalFormatting>
  <conditionalFormatting sqref="AB8">
    <cfRule type="expression" dxfId="6310" priority="321">
      <formula>AD$9&gt;=20/24</formula>
    </cfRule>
    <cfRule type="expression" dxfId="6309" priority="322">
      <formula>AND(AD$9&gt;=14/24,AD$9&lt;20/24)</formula>
    </cfRule>
    <cfRule type="expression" dxfId="6308" priority="323">
      <formula>AND(AD$9&gt;=8/24,AD$9&lt;14/24)</formula>
    </cfRule>
    <cfRule type="expression" dxfId="6307" priority="324">
      <formula>AD$9&lt;8/24</formula>
    </cfRule>
  </conditionalFormatting>
  <conditionalFormatting sqref="AH237:AX237">
    <cfRule type="expression" dxfId="6306" priority="365">
      <formula>AG$9&gt;=20/24</formula>
    </cfRule>
    <cfRule type="expression" dxfId="6305" priority="366">
      <formula>AND(AG$9&gt;=14/24,AG$9&lt;20/24)</formula>
    </cfRule>
    <cfRule type="expression" dxfId="6304" priority="367">
      <formula>AND(AG$9&gt;=8/24,AG$9&lt;14/24)</formula>
    </cfRule>
    <cfRule type="expression" dxfId="6303" priority="368">
      <formula>AG$9&lt;8/24</formula>
    </cfRule>
  </conditionalFormatting>
  <conditionalFormatting sqref="T237">
    <cfRule type="expression" dxfId="6302" priority="369">
      <formula>AX$9&gt;=20/24</formula>
    </cfRule>
    <cfRule type="expression" dxfId="6301" priority="370">
      <formula>AND(AX$9&gt;=14/24,AX$9&lt;20/24)</formula>
    </cfRule>
    <cfRule type="expression" dxfId="6300" priority="371">
      <formula>AND(AX$9&gt;=8/24,AX$9&lt;14/24)</formula>
    </cfRule>
    <cfRule type="expression" dxfId="6299" priority="372">
      <formula>AX$9&lt;8/24</formula>
    </cfRule>
  </conditionalFormatting>
  <conditionalFormatting sqref="A107:A108">
    <cfRule type="expression" dxfId="6298" priority="320">
      <formula>$AH107=0</formula>
    </cfRule>
  </conditionalFormatting>
  <conditionalFormatting sqref="M46:O47 S46:AF47 E63:AF63">
    <cfRule type="expression" dxfId="6297" priority="316">
      <formula>E$9&gt;=20/24</formula>
    </cfRule>
    <cfRule type="expression" dxfId="6296" priority="317">
      <formula>AND(E$9&gt;=14/24,E$9&lt;20/24)</formula>
    </cfRule>
    <cfRule type="expression" dxfId="6295" priority="318">
      <formula>AND(E$9&gt;=8/24,E$9&lt;14/24)</formula>
    </cfRule>
    <cfRule type="expression" dxfId="6294" priority="319">
      <formula>E$9&lt;8/24</formula>
    </cfRule>
  </conditionalFormatting>
  <conditionalFormatting sqref="S45:AF45">
    <cfRule type="expression" dxfId="6293" priority="312">
      <formula>S$9&gt;=20/24</formula>
    </cfRule>
    <cfRule type="expression" dxfId="6292" priority="313">
      <formula>AND(S$9&gt;=14/24,S$9&lt;20/24)</formula>
    </cfRule>
    <cfRule type="expression" dxfId="6291" priority="314">
      <formula>AND(S$9&gt;=8/24,S$9&lt;14/24)</formula>
    </cfRule>
    <cfRule type="expression" dxfId="6290" priority="315">
      <formula>S$9&lt;8/24</formula>
    </cfRule>
  </conditionalFormatting>
  <conditionalFormatting sqref="M46:O47 S45:AF47">
    <cfRule type="expression" dxfId="6289" priority="311">
      <formula>M45&gt;$AG45</formula>
    </cfRule>
  </conditionalFormatting>
  <conditionalFormatting sqref="C88:AF88 C78:AF78 L39:R39 R11:U14 S75:AF77 D92:AF98 S59:AF61 AE25:AF27 AE29:AF29 S18:AF18 W38:AF38 V12:AF14 E64:AF65">
    <cfRule type="expression" dxfId="6288" priority="307">
      <formula>C$9&gt;=20/24</formula>
    </cfRule>
    <cfRule type="expression" dxfId="6287" priority="308">
      <formula>AND(C$9&gt;=14/24,C$9&lt;20/24)</formula>
    </cfRule>
    <cfRule type="expression" dxfId="6286" priority="309">
      <formula>AND(C$9&gt;=8/24,C$9&lt;14/24)</formula>
    </cfRule>
    <cfRule type="expression" dxfId="6285" priority="310">
      <formula>C$9&lt;8/24</formula>
    </cfRule>
  </conditionalFormatting>
  <conditionalFormatting sqref="AE48:AF49 C57:AF57 L39:R39 R11:U11 S59:AF61 AE25:AF29 W38:AF38">
    <cfRule type="expression" dxfId="6284" priority="302">
      <formula>C11&gt;$AG11</formula>
    </cfRule>
  </conditionalFormatting>
  <conditionalFormatting sqref="R15:AF15">
    <cfRule type="expression" dxfId="6283" priority="294">
      <formula>R$9&gt;=20/24</formula>
    </cfRule>
    <cfRule type="expression" dxfId="6282" priority="295">
      <formula>AND(R$9&gt;=14/24,R$9&lt;20/24)</formula>
    </cfRule>
    <cfRule type="expression" dxfId="6281" priority="296">
      <formula>AND(R$9&gt;=8/24,R$9&lt;14/24)</formula>
    </cfRule>
    <cfRule type="expression" dxfId="6280" priority="297">
      <formula>R$9&lt;8/24</formula>
    </cfRule>
  </conditionalFormatting>
  <conditionalFormatting sqref="V48:AD49 AE50:AF50">
    <cfRule type="expression" dxfId="6279" priority="285">
      <formula>V$9&gt;=20/24</formula>
    </cfRule>
    <cfRule type="expression" dxfId="6278" priority="286">
      <formula>AND(V$9&gt;=14/24,V$9&lt;20/24)</formula>
    </cfRule>
    <cfRule type="expression" dxfId="6277" priority="287">
      <formula>AND(V$9&gt;=8/24,V$9&lt;14/24)</formula>
    </cfRule>
    <cfRule type="expression" dxfId="6276" priority="288">
      <formula>V$9&lt;8/24</formula>
    </cfRule>
  </conditionalFormatting>
  <conditionalFormatting sqref="V48:AD49 AE50:AF50">
    <cfRule type="expression" dxfId="6275" priority="284">
      <formula>V48&gt;$AG48</formula>
    </cfRule>
  </conditionalFormatting>
  <conditionalFormatting sqref="P45:R47 M45:O45 P48:U49 V50:AD50">
    <cfRule type="expression" dxfId="6274" priority="280">
      <formula>M$9&gt;=20/24</formula>
    </cfRule>
    <cfRule type="expression" dxfId="6273" priority="281">
      <formula>AND(M$9&gt;=14/24,M$9&lt;20/24)</formula>
    </cfRule>
    <cfRule type="expression" dxfId="6272" priority="282">
      <formula>AND(M$9&gt;=8/24,M$9&lt;14/24)</formula>
    </cfRule>
    <cfRule type="expression" dxfId="6271" priority="283">
      <formula>M$9&lt;8/24</formula>
    </cfRule>
  </conditionalFormatting>
  <conditionalFormatting sqref="P45:R47 M45:O45 P48:U49 V50:AD50">
    <cfRule type="expression" dxfId="6270" priority="279">
      <formula>M45&gt;$AG45</formula>
    </cfRule>
  </conditionalFormatting>
  <conditionalFormatting sqref="AE28:AF28">
    <cfRule type="expression" dxfId="6269" priority="275">
      <formula>AE$9&gt;=20/24</formula>
    </cfRule>
    <cfRule type="expression" dxfId="6268" priority="276">
      <formula>AND(AE$9&gt;=14/24,AE$9&lt;20/24)</formula>
    </cfRule>
    <cfRule type="expression" dxfId="6267" priority="277">
      <formula>AND(AE$9&gt;=8/24,AE$9&lt;14/24)</formula>
    </cfRule>
    <cfRule type="expression" dxfId="6266" priority="278">
      <formula>AE$9&lt;8/24</formula>
    </cfRule>
  </conditionalFormatting>
  <conditionalFormatting sqref="AE19:AF19 AE24:AF24 S31:AF31">
    <cfRule type="expression" dxfId="6265" priority="271">
      <formula>S$9&gt;=20/24</formula>
    </cfRule>
    <cfRule type="expression" dxfId="6264" priority="272">
      <formula>AND(S$9&gt;=14/24,S$9&lt;20/24)</formula>
    </cfRule>
    <cfRule type="expression" dxfId="6263" priority="273">
      <formula>AND(S$9&gt;=8/24,S$9&lt;14/24)</formula>
    </cfRule>
    <cfRule type="expression" dxfId="6262" priority="274">
      <formula>S$9&lt;8/24</formula>
    </cfRule>
  </conditionalFormatting>
  <conditionalFormatting sqref="AE19:AF19 AE24:AF24 S31:AF31">
    <cfRule type="expression" dxfId="6261" priority="270">
      <formula>S19&gt;$AG19</formula>
    </cfRule>
  </conditionalFormatting>
  <conditionalFormatting sqref="D45:L45">
    <cfRule type="expression" dxfId="6260" priority="266">
      <formula>D$9&gt;=20/24</formula>
    </cfRule>
    <cfRule type="expression" dxfId="6259" priority="267">
      <formula>AND(D$9&gt;=14/24,D$9&lt;20/24)</formula>
    </cfRule>
    <cfRule type="expression" dxfId="6258" priority="268">
      <formula>AND(D$9&gt;=8/24,D$9&lt;14/24)</formula>
    </cfRule>
    <cfRule type="expression" dxfId="6257" priority="269">
      <formula>D$9&lt;8/24</formula>
    </cfRule>
  </conditionalFormatting>
  <conditionalFormatting sqref="D45:L45">
    <cfRule type="expression" dxfId="6256" priority="265">
      <formula>D45&gt;$AG45</formula>
    </cfRule>
  </conditionalFormatting>
  <conditionalFormatting sqref="C80:AF80 C89:AF89 M11:Q11">
    <cfRule type="expression" dxfId="6255" priority="252">
      <formula>C$9&gt;=20/24</formula>
    </cfRule>
    <cfRule type="expression" dxfId="6254" priority="253">
      <formula>AND(C$9&gt;=14/24,C$9&lt;20/24)</formula>
    </cfRule>
    <cfRule type="expression" dxfId="6253" priority="254">
      <formula>AND(C$9&gt;=8/24,C$9&lt;14/24)</formula>
    </cfRule>
    <cfRule type="expression" dxfId="6252" priority="255">
      <formula>C$9&lt;8/24</formula>
    </cfRule>
  </conditionalFormatting>
  <conditionalFormatting sqref="C39:K39">
    <cfRule type="expression" dxfId="6251" priority="248">
      <formula>C$9&gt;=20/24</formula>
    </cfRule>
    <cfRule type="expression" dxfId="6250" priority="249">
      <formula>AND(C$9&gt;=14/24,C$9&lt;20/24)</formula>
    </cfRule>
    <cfRule type="expression" dxfId="6249" priority="250">
      <formula>AND(C$9&gt;=8/24,C$9&lt;14/24)</formula>
    </cfRule>
    <cfRule type="expression" dxfId="6248" priority="251">
      <formula>C$9&lt;8/24</formula>
    </cfRule>
  </conditionalFormatting>
  <conditionalFormatting sqref="C39:K39 M11:Q11">
    <cfRule type="expression" dxfId="6247" priority="247">
      <formula>C11&gt;$AG11</formula>
    </cfRule>
  </conditionalFormatting>
  <conditionalFormatting sqref="C46:L47 C38:V38">
    <cfRule type="expression" dxfId="6246" priority="239">
      <formula>C$9&gt;=20/24</formula>
    </cfRule>
    <cfRule type="expression" dxfId="6245" priority="240">
      <formula>AND(C$9&gt;=14/24,C$9&lt;20/24)</formula>
    </cfRule>
    <cfRule type="expression" dxfId="6244" priority="241">
      <formula>AND(C$9&gt;=8/24,C$9&lt;14/24)</formula>
    </cfRule>
    <cfRule type="expression" dxfId="6243" priority="242">
      <formula>C$9&lt;8/24</formula>
    </cfRule>
  </conditionalFormatting>
  <conditionalFormatting sqref="C45">
    <cfRule type="expression" dxfId="6242" priority="235">
      <formula>C$9&gt;=20/24</formula>
    </cfRule>
    <cfRule type="expression" dxfId="6241" priority="236">
      <formula>AND(C$9&gt;=14/24,C$9&lt;20/24)</formula>
    </cfRule>
    <cfRule type="expression" dxfId="6240" priority="237">
      <formula>AND(C$9&gt;=8/24,C$9&lt;14/24)</formula>
    </cfRule>
    <cfRule type="expression" dxfId="6239" priority="238">
      <formula>C$9&lt;8/24</formula>
    </cfRule>
  </conditionalFormatting>
  <conditionalFormatting sqref="C45:C47 D46:L47 C38:V38">
    <cfRule type="expression" dxfId="6238" priority="234">
      <formula>C38&gt;$AG38</formula>
    </cfRule>
  </conditionalFormatting>
  <conditionalFormatting sqref="C81:AF81 D62:AG62 C79:AG79 C90:AF90 C92:C98 M12:Q14 S25:AD25 S29:AD29 S27:AD27 E66:AF73 S32:AF34">
    <cfRule type="expression" dxfId="6237" priority="230">
      <formula>C$9&gt;=20/24</formula>
    </cfRule>
    <cfRule type="expression" dxfId="6236" priority="231">
      <formula>AND(C$9&gt;=14/24,C$9&lt;20/24)</formula>
    </cfRule>
    <cfRule type="expression" dxfId="6235" priority="232">
      <formula>AND(C$9&gt;=8/24,C$9&lt;14/24)</formula>
    </cfRule>
    <cfRule type="expression" dxfId="6234" priority="233">
      <formula>C$9&lt;8/24</formula>
    </cfRule>
  </conditionalFormatting>
  <conditionalFormatting sqref="S35:AF35">
    <cfRule type="expression" dxfId="6233" priority="226">
      <formula>S$9&gt;=20/24</formula>
    </cfRule>
    <cfRule type="expression" dxfId="6232" priority="227">
      <formula>AND(S$9&gt;=14/24,S$9&lt;20/24)</formula>
    </cfRule>
    <cfRule type="expression" dxfId="6231" priority="228">
      <formula>AND(S$9&gt;=8/24,S$9&lt;14/24)</formula>
    </cfRule>
    <cfRule type="expression" dxfId="6230" priority="229">
      <formula>S$9&lt;8/24</formula>
    </cfRule>
  </conditionalFormatting>
  <conditionalFormatting sqref="C40:AG40 C58:AG58 D62:AG62 C48:O49 S25:AD25 S27:AD29 S32:AF35">
    <cfRule type="expression" dxfId="6229" priority="225">
      <formula>C25&gt;$AG25</formula>
    </cfRule>
  </conditionalFormatting>
  <conditionalFormatting sqref="S37:AF37">
    <cfRule type="expression" dxfId="6228" priority="221">
      <formula>S$9&gt;=20/24</formula>
    </cfRule>
    <cfRule type="expression" dxfId="6227" priority="222">
      <formula>AND(S$9&gt;=14/24,S$9&lt;20/24)</formula>
    </cfRule>
    <cfRule type="expression" dxfId="6226" priority="223">
      <formula>AND(S$9&gt;=8/24,S$9&lt;14/24)</formula>
    </cfRule>
    <cfRule type="expression" dxfId="6225" priority="224">
      <formula>S$9&lt;8/24</formula>
    </cfRule>
  </conditionalFormatting>
  <conditionalFormatting sqref="M15:Q15">
    <cfRule type="expression" dxfId="6224" priority="217">
      <formula>M$9&gt;=20/24</formula>
    </cfRule>
    <cfRule type="expression" dxfId="6223" priority="218">
      <formula>AND(M$9&gt;=14/24,M$9&lt;20/24)</formula>
    </cfRule>
    <cfRule type="expression" dxfId="6222" priority="219">
      <formula>AND(M$9&gt;=8/24,M$9&lt;14/24)</formula>
    </cfRule>
    <cfRule type="expression" dxfId="6221" priority="220">
      <formula>M$9&lt;8/24</formula>
    </cfRule>
  </conditionalFormatting>
  <conditionalFormatting sqref="S36:AF36">
    <cfRule type="expression" dxfId="6220" priority="213">
      <formula>S$9&gt;=20/24</formula>
    </cfRule>
    <cfRule type="expression" dxfId="6219" priority="214">
      <formula>AND(S$9&gt;=14/24,S$9&lt;20/24)</formula>
    </cfRule>
    <cfRule type="expression" dxfId="6218" priority="215">
      <formula>AND(S$9&gt;=8/24,S$9&lt;14/24)</formula>
    </cfRule>
    <cfRule type="expression" dxfId="6217" priority="216">
      <formula>S$9&lt;8/24</formula>
    </cfRule>
  </conditionalFormatting>
  <conditionalFormatting sqref="S36:AF36">
    <cfRule type="expression" dxfId="6216" priority="212">
      <formula>S36&gt;$AG36</formula>
    </cfRule>
  </conditionalFormatting>
  <conditionalFormatting sqref="C50:U51 V51:AF51">
    <cfRule type="expression" dxfId="6215" priority="208">
      <formula>C$9&gt;=20/24</formula>
    </cfRule>
    <cfRule type="expression" dxfId="6214" priority="209">
      <formula>AND(C$9&gt;=14/24,C$9&lt;20/24)</formula>
    </cfRule>
    <cfRule type="expression" dxfId="6213" priority="210">
      <formula>AND(C$9&gt;=8/24,C$9&lt;14/24)</formula>
    </cfRule>
    <cfRule type="expression" dxfId="6212" priority="211">
      <formula>C$9&lt;8/24</formula>
    </cfRule>
  </conditionalFormatting>
  <conditionalFormatting sqref="C50:U51 V51:AF51">
    <cfRule type="expression" dxfId="6211" priority="207">
      <formula>C50&gt;$AG50</formula>
    </cfRule>
  </conditionalFormatting>
  <conditionalFormatting sqref="S28:AD28">
    <cfRule type="expression" dxfId="6210" priority="203">
      <formula>S$9&gt;=20/24</formula>
    </cfRule>
    <cfRule type="expression" dxfId="6209" priority="204">
      <formula>AND(S$9&gt;=14/24,S$9&lt;20/24)</formula>
    </cfRule>
    <cfRule type="expression" dxfId="6208" priority="205">
      <formula>AND(S$9&gt;=8/24,S$9&lt;14/24)</formula>
    </cfRule>
    <cfRule type="expression" dxfId="6207" priority="206">
      <formula>S$9&lt;8/24</formula>
    </cfRule>
  </conditionalFormatting>
  <conditionalFormatting sqref="S19:AD19 S24:AD24">
    <cfRule type="expression" dxfId="6206" priority="199">
      <formula>S$9&gt;=20/24</formula>
    </cfRule>
    <cfRule type="expression" dxfId="6205" priority="200">
      <formula>AND(S$9&gt;=14/24,S$9&lt;20/24)</formula>
    </cfRule>
    <cfRule type="expression" dxfId="6204" priority="201">
      <formula>AND(S$9&gt;=8/24,S$9&lt;14/24)</formula>
    </cfRule>
    <cfRule type="expression" dxfId="6203" priority="202">
      <formula>S$9&lt;8/24</formula>
    </cfRule>
  </conditionalFormatting>
  <conditionalFormatting sqref="S19:AD19 S24:AD24">
    <cfRule type="expression" dxfId="6202" priority="198">
      <formula>S19&gt;$AG19</formula>
    </cfRule>
  </conditionalFormatting>
  <conditionalFormatting sqref="A36">
    <cfRule type="expression" dxfId="6201" priority="197">
      <formula>$AH36=0</formula>
    </cfRule>
  </conditionalFormatting>
  <conditionalFormatting sqref="C74:AF74">
    <cfRule type="expression" dxfId="6200" priority="193">
      <formula>C$9&gt;=20/24</formula>
    </cfRule>
    <cfRule type="expression" dxfId="6199" priority="194">
      <formula>AND(C$9&gt;=14/24,C$9&lt;20/24)</formula>
    </cfRule>
    <cfRule type="expression" dxfId="6198" priority="195">
      <formula>AND(C$9&gt;=8/24,C$9&lt;14/24)</formula>
    </cfRule>
    <cfRule type="expression" dxfId="6197" priority="196">
      <formula>C$9&lt;8/24</formula>
    </cfRule>
  </conditionalFormatting>
  <conditionalFormatting sqref="C83:AF87">
    <cfRule type="expression" dxfId="6196" priority="189">
      <formula>C$9&gt;=20/24</formula>
    </cfRule>
    <cfRule type="expression" dxfId="6195" priority="190">
      <formula>AND(C$9&gt;=14/24,C$9&lt;20/24)</formula>
    </cfRule>
    <cfRule type="expression" dxfId="6194" priority="191">
      <formula>AND(C$9&gt;=8/24,C$9&lt;14/24)</formula>
    </cfRule>
    <cfRule type="expression" dxfId="6193" priority="192">
      <formula>C$9&lt;8/24</formula>
    </cfRule>
  </conditionalFormatting>
  <conditionalFormatting sqref="AL37 AL34 AL18:AL29 AL7:AL16 AL31:AL32">
    <cfRule type="iconSet" priority="373">
      <iconSet iconSet="3TrafficLights2" reverse="1">
        <cfvo type="percent" val="0"/>
        <cfvo type="num" val="1"/>
        <cfvo type="num" val="1"/>
      </iconSet>
    </cfRule>
  </conditionalFormatting>
  <conditionalFormatting sqref="C41:AF43">
    <cfRule type="expression" dxfId="6192" priority="185">
      <formula>C$9&gt;=20/24</formula>
    </cfRule>
    <cfRule type="expression" dxfId="6191" priority="186">
      <formula>AND(C$9&gt;=14/24,C$9&lt;20/24)</formula>
    </cfRule>
    <cfRule type="expression" dxfId="6190" priority="187">
      <formula>AND(C$9&gt;=8/24,C$9&lt;14/24)</formula>
    </cfRule>
    <cfRule type="expression" dxfId="6189" priority="188">
      <formula>C$9&lt;8/24</formula>
    </cfRule>
  </conditionalFormatting>
  <conditionalFormatting sqref="C41:AF43">
    <cfRule type="expression" dxfId="6188" priority="184">
      <formula>C41&gt;$AG41</formula>
    </cfRule>
  </conditionalFormatting>
  <conditionalFormatting sqref="C44:AG44">
    <cfRule type="expression" dxfId="6187" priority="180">
      <formula>C$9&gt;=20/24</formula>
    </cfRule>
    <cfRule type="expression" dxfId="6186" priority="181">
      <formula>AND(C$9&gt;=14/24,C$9&lt;20/24)</formula>
    </cfRule>
    <cfRule type="expression" dxfId="6185" priority="182">
      <formula>AND(C$9&gt;=8/24,C$9&lt;14/24)</formula>
    </cfRule>
    <cfRule type="expression" dxfId="6184" priority="183">
      <formula>C$9&lt;8/24</formula>
    </cfRule>
  </conditionalFormatting>
  <conditionalFormatting sqref="C44:AG44">
    <cfRule type="expression" dxfId="6183" priority="179">
      <formula>C44&gt;$AG44</formula>
    </cfRule>
  </conditionalFormatting>
  <conditionalFormatting sqref="C99:AF99">
    <cfRule type="expression" dxfId="6182" priority="175">
      <formula>C$9&gt;=20/24</formula>
    </cfRule>
    <cfRule type="expression" dxfId="6181" priority="176">
      <formula>AND(C$9&gt;=14/24,C$9&lt;20/24)</formula>
    </cfRule>
    <cfRule type="expression" dxfId="6180" priority="177">
      <formula>AND(C$9&gt;=8/24,C$9&lt;14/24)</formula>
    </cfRule>
    <cfRule type="expression" dxfId="6179" priority="178">
      <formula>C$9&lt;8/24</formula>
    </cfRule>
  </conditionalFormatting>
  <conditionalFormatting sqref="AL33">
    <cfRule type="iconSet" priority="170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6178" priority="165">
      <formula>$AH33=0</formula>
    </cfRule>
  </conditionalFormatting>
  <conditionalFormatting sqref="A82">
    <cfRule type="expression" dxfId="6177" priority="163">
      <formula>$AH82=0</formula>
    </cfRule>
  </conditionalFormatting>
  <conditionalFormatting sqref="A79">
    <cfRule type="expression" dxfId="6176" priority="164">
      <formula>$AH79=0</formula>
    </cfRule>
  </conditionalFormatting>
  <conditionalFormatting sqref="A109">
    <cfRule type="expression" dxfId="6175" priority="154">
      <formula>$AH109=0</formula>
    </cfRule>
  </conditionalFormatting>
  <conditionalFormatting sqref="C102:AF102">
    <cfRule type="expression" dxfId="6174" priority="150">
      <formula>C$9&gt;=20/24</formula>
    </cfRule>
    <cfRule type="expression" dxfId="6173" priority="151">
      <formula>AND(C$9&gt;=14/24,C$9&lt;20/24)</formula>
    </cfRule>
    <cfRule type="expression" dxfId="6172" priority="152">
      <formula>AND(C$9&gt;=8/24,C$9&lt;14/24)</formula>
    </cfRule>
    <cfRule type="expression" dxfId="6171" priority="153">
      <formula>C$9&lt;8/24</formula>
    </cfRule>
  </conditionalFormatting>
  <conditionalFormatting sqref="A102">
    <cfRule type="expression" dxfId="6170" priority="149">
      <formula>$AH102=0</formula>
    </cfRule>
  </conditionalFormatting>
  <conditionalFormatting sqref="S17:AF17">
    <cfRule type="expression" dxfId="6169" priority="138">
      <formula>S17&gt;$AG17</formula>
    </cfRule>
  </conditionalFormatting>
  <conditionalFormatting sqref="A17">
    <cfRule type="expression" dxfId="6168" priority="137">
      <formula>$AH17=0</formula>
    </cfRule>
  </conditionalFormatting>
  <conditionalFormatting sqref="S17:AF17">
    <cfRule type="expression" dxfId="6167" priority="133">
      <formula>S$9&gt;=20/24</formula>
    </cfRule>
    <cfRule type="expression" dxfId="6166" priority="134">
      <formula>AND(S$9&gt;=14/24,S$9&lt;20/24)</formula>
    </cfRule>
    <cfRule type="expression" dxfId="6165" priority="135">
      <formula>AND(S$9&gt;=8/24,S$9&lt;14/24)</formula>
    </cfRule>
    <cfRule type="expression" dxfId="6164" priority="136">
      <formula>S$9&lt;8/24</formula>
    </cfRule>
  </conditionalFormatting>
  <conditionalFormatting sqref="AL17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6163" priority="127">
      <formula>$AH30=0</formula>
    </cfRule>
  </conditionalFormatting>
  <conditionalFormatting sqref="AE30:AF30">
    <cfRule type="expression" dxfId="6162" priority="123">
      <formula>AE$9&gt;=20/24</formula>
    </cfRule>
    <cfRule type="expression" dxfId="6161" priority="124">
      <formula>AND(AE$9&gt;=14/24,AE$9&lt;20/24)</formula>
    </cfRule>
    <cfRule type="expression" dxfId="6160" priority="125">
      <formula>AND(AE$9&gt;=8/24,AE$9&lt;14/24)</formula>
    </cfRule>
    <cfRule type="expression" dxfId="6159" priority="126">
      <formula>AE$9&lt;8/24</formula>
    </cfRule>
  </conditionalFormatting>
  <conditionalFormatting sqref="AE30:AF30">
    <cfRule type="expression" dxfId="6158" priority="122">
      <formula>AE30&gt;$AG30</formula>
    </cfRule>
  </conditionalFormatting>
  <conditionalFormatting sqref="S30:AD30">
    <cfRule type="expression" dxfId="6157" priority="118">
      <formula>S$9&gt;=20/24</formula>
    </cfRule>
    <cfRule type="expression" dxfId="6156" priority="119">
      <formula>AND(S$9&gt;=14/24,S$9&lt;20/24)</formula>
    </cfRule>
    <cfRule type="expression" dxfId="6155" priority="120">
      <formula>AND(S$9&gt;=8/24,S$9&lt;14/24)</formula>
    </cfRule>
    <cfRule type="expression" dxfId="6154" priority="121">
      <formula>S$9&lt;8/24</formula>
    </cfRule>
  </conditionalFormatting>
  <conditionalFormatting sqref="S30:AD30">
    <cfRule type="expression" dxfId="6153" priority="117">
      <formula>S30&gt;$AG30</formula>
    </cfRule>
  </conditionalFormatting>
  <conditionalFormatting sqref="AL30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B101 B103:B108 B11:L11 B16:L16 B20:R23">
    <cfRule type="expression" dxfId="6152" priority="108">
      <formula>B$9&gt;=20/24</formula>
    </cfRule>
    <cfRule type="expression" dxfId="6151" priority="109">
      <formula>AND(B$9&gt;=14/24,B$9&lt;20/24)</formula>
    </cfRule>
    <cfRule type="expression" dxfId="6150" priority="110">
      <formula>AND(B$9&gt;=8/24,B$9&lt;14/24)</formula>
    </cfRule>
    <cfRule type="expression" dxfId="6149" priority="111">
      <formula>B$9&lt;8/24</formula>
    </cfRule>
  </conditionalFormatting>
  <conditionalFormatting sqref="B39">
    <cfRule type="expression" dxfId="6148" priority="104">
      <formula>B$9&gt;=20/24</formula>
    </cfRule>
    <cfRule type="expression" dxfId="6147" priority="105">
      <formula>AND(B$9&gt;=14/24,B$9&lt;20/24)</formula>
    </cfRule>
    <cfRule type="expression" dxfId="6146" priority="106">
      <formula>AND(B$9&gt;=8/24,B$9&lt;14/24)</formula>
    </cfRule>
    <cfRule type="expression" dxfId="6145" priority="107">
      <formula>B$9&lt;8/24</formula>
    </cfRule>
  </conditionalFormatting>
  <conditionalFormatting sqref="B39 B11:L16 B18:R18 B37:R37 B20:R23">
    <cfRule type="expression" dxfId="6144" priority="103">
      <formula>B11&gt;$AG11</formula>
    </cfRule>
  </conditionalFormatting>
  <conditionalFormatting sqref="B91">
    <cfRule type="expression" dxfId="6143" priority="99">
      <formula>B$9&gt;=20/24</formula>
    </cfRule>
    <cfRule type="expression" dxfId="6142" priority="100">
      <formula>AND(B$9&gt;=14/24,B$9&lt;20/24)</formula>
    </cfRule>
    <cfRule type="expression" dxfId="6141" priority="101">
      <formula>AND(B$9&gt;=8/24,B$9&lt;14/24)</formula>
    </cfRule>
    <cfRule type="expression" dxfId="6140" priority="102">
      <formula>B$9&lt;8/24</formula>
    </cfRule>
  </conditionalFormatting>
  <conditionalFormatting sqref="B46:B47 B63:D63">
    <cfRule type="expression" dxfId="6139" priority="95">
      <formula>B$9&gt;=20/24</formula>
    </cfRule>
    <cfRule type="expression" dxfId="6138" priority="96">
      <formula>AND(B$9&gt;=14/24,B$9&lt;20/24)</formula>
    </cfRule>
    <cfRule type="expression" dxfId="6137" priority="97">
      <formula>AND(B$9&gt;=8/24,B$9&lt;14/24)</formula>
    </cfRule>
    <cfRule type="expression" dxfId="6136" priority="98">
      <formula>B$9&lt;8/24</formula>
    </cfRule>
  </conditionalFormatting>
  <conditionalFormatting sqref="B45">
    <cfRule type="expression" dxfId="6135" priority="91">
      <formula>B$9&gt;=20/24</formula>
    </cfRule>
    <cfRule type="expression" dxfId="6134" priority="92">
      <formula>AND(B$9&gt;=14/24,B$9&lt;20/24)</formula>
    </cfRule>
    <cfRule type="expression" dxfId="6133" priority="93">
      <formula>AND(B$9&gt;=8/24,B$9&lt;14/24)</formula>
    </cfRule>
    <cfRule type="expression" dxfId="6132" priority="94">
      <formula>B$9&lt;8/24</formula>
    </cfRule>
  </conditionalFormatting>
  <conditionalFormatting sqref="B45:B47">
    <cfRule type="expression" dxfId="6131" priority="90">
      <formula>B45&gt;$AG45</formula>
    </cfRule>
  </conditionalFormatting>
  <conditionalFormatting sqref="B88 B92:B98 B75:B78 B38 B64:D73 B12:L14 B25:R25 B29:R29 B18:R18 B31:R34 B59:R61 C75:R77 B27:R27 B26:AD26">
    <cfRule type="expression" dxfId="6130" priority="86">
      <formula>B$9&gt;=20/24</formula>
    </cfRule>
    <cfRule type="expression" dxfId="6129" priority="87">
      <formula>AND(B$9&gt;=14/24,B$9&lt;20/24)</formula>
    </cfRule>
    <cfRule type="expression" dxfId="6128" priority="88">
      <formula>AND(B$9&gt;=8/24,B$9&lt;14/24)</formula>
    </cfRule>
    <cfRule type="expression" dxfId="6127" priority="89">
      <formula>B$9&lt;8/24</formula>
    </cfRule>
  </conditionalFormatting>
  <conditionalFormatting sqref="B35:R35">
    <cfRule type="expression" dxfId="6126" priority="82">
      <formula>B$9&gt;=20/24</formula>
    </cfRule>
    <cfRule type="expression" dxfId="6125" priority="83">
      <formula>AND(B$9&gt;=14/24,B$9&lt;20/24)</formula>
    </cfRule>
    <cfRule type="expression" dxfId="6124" priority="84">
      <formula>AND(B$9&gt;=8/24,B$9&lt;14/24)</formula>
    </cfRule>
    <cfRule type="expression" dxfId="6123" priority="85">
      <formula>B$9&lt;8/24</formula>
    </cfRule>
  </conditionalFormatting>
  <conditionalFormatting sqref="B57 B38 B48:B49 B25:R25 B31:R35 B59:R61 B27:R29 B26:AD26">
    <cfRule type="expression" dxfId="6122" priority="81">
      <formula>B25&gt;$AG25</formula>
    </cfRule>
  </conditionalFormatting>
  <conditionalFormatting sqref="B37:R37">
    <cfRule type="expression" dxfId="6121" priority="77">
      <formula>B$9&gt;=20/24</formula>
    </cfRule>
    <cfRule type="expression" dxfId="6120" priority="78">
      <formula>AND(B$9&gt;=14/24,B$9&lt;20/24)</formula>
    </cfRule>
    <cfRule type="expression" dxfId="6119" priority="79">
      <formula>AND(B$9&gt;=8/24,B$9&lt;14/24)</formula>
    </cfRule>
    <cfRule type="expression" dxfId="6118" priority="80">
      <formula>B$9&lt;8/24</formula>
    </cfRule>
  </conditionalFormatting>
  <conditionalFormatting sqref="B15:L15">
    <cfRule type="expression" dxfId="6117" priority="73">
      <formula>B$9&gt;=20/24</formula>
    </cfRule>
    <cfRule type="expression" dxfId="6116" priority="74">
      <formula>AND(B$9&gt;=14/24,B$9&lt;20/24)</formula>
    </cfRule>
    <cfRule type="expression" dxfId="6115" priority="75">
      <formula>AND(B$9&gt;=8/24,B$9&lt;14/24)</formula>
    </cfRule>
    <cfRule type="expression" dxfId="6114" priority="76">
      <formula>B$9&lt;8/24</formula>
    </cfRule>
  </conditionalFormatting>
  <conditionalFormatting sqref="B36:R36">
    <cfRule type="expression" dxfId="6113" priority="69">
      <formula>B$9&gt;=20/24</formula>
    </cfRule>
    <cfRule type="expression" dxfId="6112" priority="70">
      <formula>AND(B$9&gt;=14/24,B$9&lt;20/24)</formula>
    </cfRule>
    <cfRule type="expression" dxfId="6111" priority="71">
      <formula>AND(B$9&gt;=8/24,B$9&lt;14/24)</formula>
    </cfRule>
    <cfRule type="expression" dxfId="6110" priority="72">
      <formula>B$9&lt;8/24</formula>
    </cfRule>
  </conditionalFormatting>
  <conditionalFormatting sqref="B36:R36">
    <cfRule type="expression" dxfId="6109" priority="68">
      <formula>B36&gt;$AG36</formula>
    </cfRule>
  </conditionalFormatting>
  <conditionalFormatting sqref="B50:B56 C52:AF56">
    <cfRule type="expression" dxfId="6108" priority="64">
      <formula>B$9&gt;=20/24</formula>
    </cfRule>
    <cfRule type="expression" dxfId="6107" priority="65">
      <formula>AND(B$9&gt;=14/24,B$9&lt;20/24)</formula>
    </cfRule>
    <cfRule type="expression" dxfId="6106" priority="66">
      <formula>AND(B$9&gt;=8/24,B$9&lt;14/24)</formula>
    </cfRule>
    <cfRule type="expression" dxfId="6105" priority="67">
      <formula>B$9&lt;8/24</formula>
    </cfRule>
  </conditionalFormatting>
  <conditionalFormatting sqref="B50:B56 C52:AF56">
    <cfRule type="expression" dxfId="6104" priority="63">
      <formula>B50&gt;$AG50</formula>
    </cfRule>
  </conditionalFormatting>
  <conditionalFormatting sqref="B28:R28">
    <cfRule type="expression" dxfId="6103" priority="59">
      <formula>B$9&gt;=20/24</formula>
    </cfRule>
    <cfRule type="expression" dxfId="6102" priority="60">
      <formula>AND(B$9&gt;=14/24,B$9&lt;20/24)</formula>
    </cfRule>
    <cfRule type="expression" dxfId="6101" priority="61">
      <formula>AND(B$9&gt;=8/24,B$9&lt;14/24)</formula>
    </cfRule>
    <cfRule type="expression" dxfId="6100" priority="62">
      <formula>B$9&lt;8/24</formula>
    </cfRule>
  </conditionalFormatting>
  <conditionalFormatting sqref="B19:R19 B24:R24">
    <cfRule type="expression" dxfId="6099" priority="55">
      <formula>B$9&gt;=20/24</formula>
    </cfRule>
    <cfRule type="expression" dxfId="6098" priority="56">
      <formula>AND(B$9&gt;=14/24,B$9&lt;20/24)</formula>
    </cfRule>
    <cfRule type="expression" dxfId="6097" priority="57">
      <formula>AND(B$9&gt;=8/24,B$9&lt;14/24)</formula>
    </cfRule>
    <cfRule type="expression" dxfId="6096" priority="58">
      <formula>B$9&lt;8/24</formula>
    </cfRule>
  </conditionalFormatting>
  <conditionalFormatting sqref="B19:R19 B24:R24">
    <cfRule type="expression" dxfId="6095" priority="54">
      <formula>B19&gt;$AG19</formula>
    </cfRule>
  </conditionalFormatting>
  <conditionalFormatting sqref="B80 B89">
    <cfRule type="expression" dxfId="6094" priority="50">
      <formula>B$9&gt;=20/24</formula>
    </cfRule>
    <cfRule type="expression" dxfId="6093" priority="51">
      <formula>AND(B$9&gt;=14/24,B$9&lt;20/24)</formula>
    </cfRule>
    <cfRule type="expression" dxfId="6092" priority="52">
      <formula>AND(B$9&gt;=8/24,B$9&lt;14/24)</formula>
    </cfRule>
    <cfRule type="expression" dxfId="6091" priority="53">
      <formula>B$9&lt;8/24</formula>
    </cfRule>
  </conditionalFormatting>
  <conditionalFormatting sqref="B81 B79 B90 B62:C62">
    <cfRule type="expression" dxfId="6090" priority="46">
      <formula>B$9&gt;=20/24</formula>
    </cfRule>
    <cfRule type="expression" dxfId="6089" priority="47">
      <formula>AND(B$9&gt;=14/24,B$9&lt;20/24)</formula>
    </cfRule>
    <cfRule type="expression" dxfId="6088" priority="48">
      <formula>AND(B$9&gt;=8/24,B$9&lt;14/24)</formula>
    </cfRule>
    <cfRule type="expression" dxfId="6087" priority="49">
      <formula>B$9&lt;8/24</formula>
    </cfRule>
  </conditionalFormatting>
  <conditionalFormatting sqref="B40 B58 B62:C62">
    <cfRule type="expression" dxfId="6086" priority="45">
      <formula>B40&gt;$AG40</formula>
    </cfRule>
  </conditionalFormatting>
  <conditionalFormatting sqref="B74">
    <cfRule type="expression" dxfId="6085" priority="41">
      <formula>B$9&gt;=20/24</formula>
    </cfRule>
    <cfRule type="expression" dxfId="6084" priority="42">
      <formula>AND(B$9&gt;=14/24,B$9&lt;20/24)</formula>
    </cfRule>
    <cfRule type="expression" dxfId="6083" priority="43">
      <formula>AND(B$9&gt;=8/24,B$9&lt;14/24)</formula>
    </cfRule>
    <cfRule type="expression" dxfId="6082" priority="44">
      <formula>B$9&lt;8/24</formula>
    </cfRule>
  </conditionalFormatting>
  <conditionalFormatting sqref="B83:B87">
    <cfRule type="expression" dxfId="6081" priority="37">
      <formula>B$9&gt;=20/24</formula>
    </cfRule>
    <cfRule type="expression" dxfId="6080" priority="38">
      <formula>AND(B$9&gt;=14/24,B$9&lt;20/24)</formula>
    </cfRule>
    <cfRule type="expression" dxfId="6079" priority="39">
      <formula>AND(B$9&gt;=8/24,B$9&lt;14/24)</formula>
    </cfRule>
    <cfRule type="expression" dxfId="6078" priority="40">
      <formula>B$9&lt;8/24</formula>
    </cfRule>
  </conditionalFormatting>
  <conditionalFormatting sqref="B41:B43">
    <cfRule type="expression" dxfId="6077" priority="33">
      <formula>B$9&gt;=20/24</formula>
    </cfRule>
    <cfRule type="expression" dxfId="6076" priority="34">
      <formula>AND(B$9&gt;=14/24,B$9&lt;20/24)</formula>
    </cfRule>
    <cfRule type="expression" dxfId="6075" priority="35">
      <formula>AND(B$9&gt;=8/24,B$9&lt;14/24)</formula>
    </cfRule>
    <cfRule type="expression" dxfId="6074" priority="36">
      <formula>B$9&lt;8/24</formula>
    </cfRule>
  </conditionalFormatting>
  <conditionalFormatting sqref="B41:B43">
    <cfRule type="expression" dxfId="6073" priority="32">
      <formula>B41&gt;$AG41</formula>
    </cfRule>
  </conditionalFormatting>
  <conditionalFormatting sqref="B44">
    <cfRule type="expression" dxfId="6072" priority="28">
      <formula>B$9&gt;=20/24</formula>
    </cfRule>
    <cfRule type="expression" dxfId="6071" priority="29">
      <formula>AND(B$9&gt;=14/24,B$9&lt;20/24)</formula>
    </cfRule>
    <cfRule type="expression" dxfId="6070" priority="30">
      <formula>AND(B$9&gt;=8/24,B$9&lt;14/24)</formula>
    </cfRule>
    <cfRule type="expression" dxfId="6069" priority="31">
      <formula>B$9&lt;8/24</formula>
    </cfRule>
  </conditionalFormatting>
  <conditionalFormatting sqref="B44">
    <cfRule type="expression" dxfId="6068" priority="27">
      <formula>B44&gt;$AG44</formula>
    </cfRule>
  </conditionalFormatting>
  <conditionalFormatting sqref="B99">
    <cfRule type="expression" dxfId="6067" priority="23">
      <formula>B$9&gt;=20/24</formula>
    </cfRule>
    <cfRule type="expression" dxfId="6066" priority="24">
      <formula>AND(B$9&gt;=14/24,B$9&lt;20/24)</formula>
    </cfRule>
    <cfRule type="expression" dxfId="6065" priority="25">
      <formula>AND(B$9&gt;=8/24,B$9&lt;14/24)</formula>
    </cfRule>
    <cfRule type="expression" dxfId="6064" priority="26">
      <formula>B$9&lt;8/24</formula>
    </cfRule>
  </conditionalFormatting>
  <conditionalFormatting sqref="B102">
    <cfRule type="expression" dxfId="6063" priority="11">
      <formula>B$9&gt;=20/24</formula>
    </cfRule>
    <cfRule type="expression" dxfId="6062" priority="12">
      <formula>AND(B$9&gt;=14/24,B$9&lt;20/24)</formula>
    </cfRule>
    <cfRule type="expression" dxfId="6061" priority="13">
      <formula>AND(B$9&gt;=8/24,B$9&lt;14/24)</formula>
    </cfRule>
    <cfRule type="expression" dxfId="6060" priority="14">
      <formula>B$9&lt;8/24</formula>
    </cfRule>
  </conditionalFormatting>
  <conditionalFormatting sqref="B17:R17">
    <cfRule type="expression" dxfId="6059" priority="10">
      <formula>B17&gt;$AG17</formula>
    </cfRule>
  </conditionalFormatting>
  <conditionalFormatting sqref="B17:R17">
    <cfRule type="expression" dxfId="6058" priority="6">
      <formula>B$9&gt;=20/24</formula>
    </cfRule>
    <cfRule type="expression" dxfId="6057" priority="7">
      <formula>AND(B$9&gt;=14/24,B$9&lt;20/24)</formula>
    </cfRule>
    <cfRule type="expression" dxfId="6056" priority="8">
      <formula>AND(B$9&gt;=8/24,B$9&lt;14/24)</formula>
    </cfRule>
    <cfRule type="expression" dxfId="6055" priority="9">
      <formula>B$9&lt;8/24</formula>
    </cfRule>
  </conditionalFormatting>
  <conditionalFormatting sqref="B30:R30">
    <cfRule type="expression" dxfId="6054" priority="2">
      <formula>B$9&gt;=20/24</formula>
    </cfRule>
    <cfRule type="expression" dxfId="6053" priority="3">
      <formula>AND(B$9&gt;=14/24,B$9&lt;20/24)</formula>
    </cfRule>
    <cfRule type="expression" dxfId="6052" priority="4">
      <formula>AND(B$9&gt;=8/24,B$9&lt;14/24)</formula>
    </cfRule>
    <cfRule type="expression" dxfId="6051" priority="5">
      <formula>B$9&lt;8/24</formula>
    </cfRule>
  </conditionalFormatting>
  <conditionalFormatting sqref="B30:R30">
    <cfRule type="expression" dxfId="6050" priority="1">
      <formula>B30&gt;$AG30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66" id="{83CEF042-C1BD-4469-958F-D5F1F782784F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67" id="{60BB9B77-1091-42E4-B6F8-3D3A4B09246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8" id="{E1D5764A-70B4-4A0E-A5E7-DBB23AC0188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69" id="{243DB10D-6607-4CB7-B2AE-59C514088F4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C82:AF82</xm:sqref>
        </x14:conditionalFormatting>
        <x14:conditionalFormatting xmlns:xm="http://schemas.microsoft.com/office/excel/2006/main">
          <x14:cfRule type="expression" priority="159" id="{1BA452DB-DC62-42FD-8938-76E09C02CEB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60" id="{1A49A4D0-65E8-4761-8030-AC1705E5A4B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1" id="{7FD0C1D3-ED73-4DFE-9ACC-B56CE239E5CF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62" id="{1C8D620A-0540-4E50-81A0-4AB5C457DCA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19" id="{01786AE5-32E5-479A-A48C-DC126A26635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0" id="{F03023A7-192F-4F2D-8B8F-EA7FF3F8571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1" id="{36F5AF26-585B-4A4E-B9CD-B6040AD3BC6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2" id="{197C6A2D-3060-4299-8134-E3E5ABAAF56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</xm:sqref>
        </x14:conditionalFormatting>
        <x14:conditionalFormatting xmlns:xm="http://schemas.microsoft.com/office/excel/2006/main">
          <x14:cfRule type="expression" priority="15" id="{69C0151E-46FB-4A30-A4CD-4D7D9859BC52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6" id="{7129D32E-67F8-4DF6-B3C9-23A69C14191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" id="{328CF19D-DE77-4F71-83B1-E326B1025CA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" id="{B6B0D383-B0EE-4769-9165-4879C438AC1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J270"/>
  <sheetViews>
    <sheetView zoomScale="90" zoomScaleNormal="9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AF32" sqref="AF32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2079/06/17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59.1</v>
      </c>
      <c r="X5" s="30">
        <f t="shared" si="0"/>
        <v>20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1344MW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Load=1039</v>
      </c>
      <c r="B7" s="35">
        <f t="shared" ref="B7:AF7" si="1">B81</f>
        <v>1044.74</v>
      </c>
      <c r="C7" s="35">
        <f t="shared" si="1"/>
        <v>1048.6399999999999</v>
      </c>
      <c r="D7" s="35">
        <f t="shared" si="1"/>
        <v>1041.74</v>
      </c>
      <c r="E7" s="35">
        <f t="shared" si="1"/>
        <v>1044.3399999999999</v>
      </c>
      <c r="F7" s="35">
        <f t="shared" si="1"/>
        <v>1038.8399999999999</v>
      </c>
      <c r="G7" s="35">
        <f t="shared" si="1"/>
        <v>1099.24</v>
      </c>
      <c r="H7" s="35">
        <f t="shared" si="1"/>
        <v>1138.44</v>
      </c>
      <c r="I7" s="35">
        <f t="shared" si="1"/>
        <v>1177.04</v>
      </c>
      <c r="J7" s="35">
        <f t="shared" si="1"/>
        <v>1252.04</v>
      </c>
      <c r="K7" s="35">
        <f t="shared" si="1"/>
        <v>1300.8399999999999</v>
      </c>
      <c r="L7" s="35">
        <f t="shared" si="1"/>
        <v>1343.74</v>
      </c>
      <c r="M7" s="35">
        <f t="shared" si="1"/>
        <v>1332.6399999999999</v>
      </c>
      <c r="N7" s="35">
        <f t="shared" si="1"/>
        <v>1313.1399999999999</v>
      </c>
      <c r="O7" s="35">
        <f t="shared" si="1"/>
        <v>1289.1399999999999</v>
      </c>
      <c r="P7" s="35">
        <f t="shared" si="1"/>
        <v>1274.54</v>
      </c>
      <c r="Q7" s="35">
        <f t="shared" si="1"/>
        <v>1262.4399999999998</v>
      </c>
      <c r="R7" s="35">
        <f t="shared" si="1"/>
        <v>1257.9399999999998</v>
      </c>
      <c r="S7" s="35">
        <f t="shared" si="1"/>
        <v>1249.1399999999999</v>
      </c>
      <c r="T7" s="35">
        <f t="shared" si="1"/>
        <v>1251.74</v>
      </c>
      <c r="U7" s="35">
        <f t="shared" si="1"/>
        <v>1268.24</v>
      </c>
      <c r="V7" s="35">
        <f t="shared" si="1"/>
        <v>1309.1400000000001</v>
      </c>
      <c r="W7" s="35">
        <f t="shared" si="1"/>
        <v>1340.94</v>
      </c>
      <c r="X7" s="35">
        <f t="shared" si="1"/>
        <v>1442.04</v>
      </c>
      <c r="Y7" s="35">
        <f t="shared" si="1"/>
        <v>1373.94</v>
      </c>
      <c r="Z7" s="35">
        <f t="shared" si="1"/>
        <v>1335.7399999999998</v>
      </c>
      <c r="AA7" s="35">
        <f t="shared" si="1"/>
        <v>1320.44</v>
      </c>
      <c r="AB7" s="35">
        <f t="shared" si="1"/>
        <v>1310.54</v>
      </c>
      <c r="AC7" s="35">
        <f t="shared" si="1"/>
        <v>1264.6399999999999</v>
      </c>
      <c r="AD7" s="35">
        <f t="shared" si="1"/>
        <v>1213.74</v>
      </c>
      <c r="AE7" s="35">
        <f t="shared" si="1"/>
        <v>1157.74</v>
      </c>
      <c r="AF7" s="35">
        <f t="shared" si="1"/>
        <v>1088.44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39.1</v>
      </c>
      <c r="C11" s="45">
        <v>51</v>
      </c>
      <c r="D11" s="45">
        <v>51</v>
      </c>
      <c r="E11" s="45">
        <v>51</v>
      </c>
      <c r="F11" s="45">
        <v>51</v>
      </c>
      <c r="G11" s="45">
        <v>51</v>
      </c>
      <c r="H11" s="45">
        <v>51</v>
      </c>
      <c r="I11" s="45">
        <v>51</v>
      </c>
      <c r="J11" s="45">
        <v>47.9</v>
      </c>
      <c r="K11" s="45">
        <v>47.9</v>
      </c>
      <c r="L11" s="45">
        <v>47.9</v>
      </c>
      <c r="M11" s="45">
        <v>52.5</v>
      </c>
      <c r="N11" s="45">
        <v>52.6</v>
      </c>
      <c r="O11" s="45">
        <v>52.6</v>
      </c>
      <c r="P11" s="45">
        <v>52</v>
      </c>
      <c r="Q11" s="45">
        <v>52</v>
      </c>
      <c r="R11" s="45">
        <v>47</v>
      </c>
      <c r="S11" s="45">
        <v>50.1</v>
      </c>
      <c r="T11" s="46">
        <v>48</v>
      </c>
      <c r="U11" s="46">
        <v>48.7</v>
      </c>
      <c r="V11" s="46">
        <v>48.7</v>
      </c>
      <c r="W11" s="46">
        <v>48.7</v>
      </c>
      <c r="X11" s="46">
        <v>48.7</v>
      </c>
      <c r="Y11" s="46">
        <v>48.7</v>
      </c>
      <c r="Z11" s="46">
        <v>48.7</v>
      </c>
      <c r="AA11" s="46">
        <v>48.7</v>
      </c>
      <c r="AB11" s="46">
        <v>52.3</v>
      </c>
      <c r="AC11" s="46">
        <v>51.3</v>
      </c>
      <c r="AD11" s="46">
        <v>51.3</v>
      </c>
      <c r="AE11" s="46">
        <v>48</v>
      </c>
      <c r="AF11" s="46">
        <v>39.299999999999997</v>
      </c>
      <c r="AG11" s="47">
        <v>52.4</v>
      </c>
      <c r="AH11" s="48">
        <f>MAX(B11:AF11)</f>
        <v>52.6</v>
      </c>
      <c r="AI11" s="49">
        <f>MIN(B11:AF11)</f>
        <v>39.1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50.3</v>
      </c>
      <c r="C12" s="45">
        <v>50.3</v>
      </c>
      <c r="D12" s="45">
        <v>50.3</v>
      </c>
      <c r="E12" s="45">
        <v>50.3</v>
      </c>
      <c r="F12" s="45">
        <v>50.3</v>
      </c>
      <c r="G12" s="45">
        <v>50.3</v>
      </c>
      <c r="H12" s="45">
        <v>50.3</v>
      </c>
      <c r="I12" s="45">
        <v>50.3</v>
      </c>
      <c r="J12" s="45">
        <v>50.3</v>
      </c>
      <c r="K12" s="45">
        <v>50.4</v>
      </c>
      <c r="L12" s="45">
        <v>50.4</v>
      </c>
      <c r="M12" s="45">
        <v>50.3</v>
      </c>
      <c r="N12" s="45">
        <v>50.4</v>
      </c>
      <c r="O12" s="45">
        <v>50.6</v>
      </c>
      <c r="P12" s="45">
        <v>50.6</v>
      </c>
      <c r="Q12" s="45">
        <v>50.6</v>
      </c>
      <c r="R12" s="45">
        <v>50.6</v>
      </c>
      <c r="S12" s="45">
        <v>50.6</v>
      </c>
      <c r="T12" s="45">
        <v>50.4</v>
      </c>
      <c r="U12" s="45">
        <v>50.3</v>
      </c>
      <c r="V12" s="45">
        <v>50.3</v>
      </c>
      <c r="W12" s="45">
        <v>50.3</v>
      </c>
      <c r="X12" s="45">
        <v>50.3</v>
      </c>
      <c r="Y12" s="45">
        <v>50.3</v>
      </c>
      <c r="Z12" s="45">
        <v>50.3</v>
      </c>
      <c r="AA12" s="45">
        <v>50.3</v>
      </c>
      <c r="AB12" s="45">
        <v>50.3</v>
      </c>
      <c r="AC12" s="45">
        <v>50.3</v>
      </c>
      <c r="AD12" s="45">
        <v>50.3</v>
      </c>
      <c r="AE12" s="45">
        <v>50.3</v>
      </c>
      <c r="AF12" s="45">
        <v>50.3</v>
      </c>
      <c r="AG12" s="51">
        <v>50</v>
      </c>
      <c r="AH12" s="48">
        <f t="shared" ref="AH12:AH75" si="2">MAX(B12:AF12)</f>
        <v>50.6</v>
      </c>
      <c r="AI12" s="49">
        <f t="shared" ref="AI12:AI75" si="3">MIN(B12:AF12)</f>
        <v>50.3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30.9</v>
      </c>
      <c r="C13" s="45">
        <v>30.9</v>
      </c>
      <c r="D13" s="45">
        <v>30.9</v>
      </c>
      <c r="E13" s="45">
        <v>30.9</v>
      </c>
      <c r="F13" s="45">
        <v>30.9</v>
      </c>
      <c r="G13" s="45">
        <v>30.9</v>
      </c>
      <c r="H13" s="45">
        <v>30.9</v>
      </c>
      <c r="I13" s="45">
        <v>30.9</v>
      </c>
      <c r="J13" s="45">
        <v>42.4</v>
      </c>
      <c r="K13" s="45">
        <v>42.3</v>
      </c>
      <c r="L13" s="45">
        <v>42.3</v>
      </c>
      <c r="M13" s="45">
        <v>41.8</v>
      </c>
      <c r="N13" s="45">
        <v>41.7</v>
      </c>
      <c r="O13" s="45">
        <v>41.8</v>
      </c>
      <c r="P13" s="45">
        <v>41.8</v>
      </c>
      <c r="Q13" s="45">
        <v>41.8</v>
      </c>
      <c r="R13" s="45">
        <v>41.8</v>
      </c>
      <c r="S13" s="45">
        <v>41.9</v>
      </c>
      <c r="T13" s="45">
        <v>43.3</v>
      </c>
      <c r="U13" s="45">
        <v>43.6</v>
      </c>
      <c r="V13" s="45">
        <v>44.1</v>
      </c>
      <c r="W13" s="45">
        <v>44.1</v>
      </c>
      <c r="X13" s="45">
        <v>44.1</v>
      </c>
      <c r="Y13" s="45">
        <v>44.1</v>
      </c>
      <c r="Z13" s="45">
        <v>44.1</v>
      </c>
      <c r="AA13" s="45">
        <v>44.1</v>
      </c>
      <c r="AB13" s="45">
        <v>43.4</v>
      </c>
      <c r="AC13" s="45">
        <v>43.4</v>
      </c>
      <c r="AD13" s="45">
        <v>37</v>
      </c>
      <c r="AE13" s="45">
        <v>37</v>
      </c>
      <c r="AF13" s="45">
        <v>30.9</v>
      </c>
      <c r="AG13" s="51">
        <v>45</v>
      </c>
      <c r="AH13" s="48">
        <f t="shared" si="2"/>
        <v>44.1</v>
      </c>
      <c r="AI13" s="49">
        <f t="shared" si="3"/>
        <v>30.9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19</v>
      </c>
      <c r="C14" s="45">
        <v>19</v>
      </c>
      <c r="D14" s="45">
        <v>19</v>
      </c>
      <c r="E14" s="45">
        <v>19</v>
      </c>
      <c r="F14" s="45">
        <v>19</v>
      </c>
      <c r="G14" s="45">
        <v>19</v>
      </c>
      <c r="H14" s="45">
        <v>19</v>
      </c>
      <c r="I14" s="45">
        <v>19</v>
      </c>
      <c r="J14" s="45">
        <v>32</v>
      </c>
      <c r="K14" s="45">
        <v>34</v>
      </c>
      <c r="L14" s="45">
        <v>34</v>
      </c>
      <c r="M14" s="45">
        <v>29</v>
      </c>
      <c r="N14" s="45">
        <v>26</v>
      </c>
      <c r="O14" s="45">
        <v>26</v>
      </c>
      <c r="P14" s="45">
        <v>26</v>
      </c>
      <c r="Q14" s="45">
        <v>26</v>
      </c>
      <c r="R14" s="45">
        <v>26</v>
      </c>
      <c r="S14" s="45">
        <v>23.5</v>
      </c>
      <c r="T14" s="45">
        <v>24</v>
      </c>
      <c r="U14" s="45">
        <v>24</v>
      </c>
      <c r="V14" s="45">
        <v>32.5</v>
      </c>
      <c r="W14" s="45">
        <v>35</v>
      </c>
      <c r="X14" s="45">
        <v>0</v>
      </c>
      <c r="Y14" s="45">
        <v>22.2</v>
      </c>
      <c r="Z14" s="45">
        <v>40</v>
      </c>
      <c r="AA14" s="45">
        <v>32.5</v>
      </c>
      <c r="AB14" s="45">
        <v>33</v>
      </c>
      <c r="AC14" s="45">
        <v>28.5</v>
      </c>
      <c r="AD14" s="45">
        <v>28</v>
      </c>
      <c r="AE14" s="45">
        <v>20</v>
      </c>
      <c r="AF14" s="45">
        <v>16</v>
      </c>
      <c r="AG14" s="51">
        <v>42</v>
      </c>
      <c r="AH14" s="48">
        <f t="shared" si="2"/>
        <v>40</v>
      </c>
      <c r="AI14" s="49">
        <f t="shared" si="3"/>
        <v>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5.3</v>
      </c>
      <c r="K15" s="45">
        <v>20</v>
      </c>
      <c r="L15" s="45">
        <v>29.1</v>
      </c>
      <c r="M15" s="45">
        <v>20.7</v>
      </c>
      <c r="N15" s="45">
        <v>15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20.3</v>
      </c>
      <c r="W15" s="45">
        <v>30</v>
      </c>
      <c r="X15" s="45">
        <v>30</v>
      </c>
      <c r="Y15" s="45">
        <v>30</v>
      </c>
      <c r="Z15" s="45">
        <v>28.4</v>
      </c>
      <c r="AA15" s="45">
        <v>28.4</v>
      </c>
      <c r="AB15" s="45">
        <v>25</v>
      </c>
      <c r="AC15" s="45">
        <v>0</v>
      </c>
      <c r="AD15" s="45">
        <v>0</v>
      </c>
      <c r="AE15" s="45">
        <v>0</v>
      </c>
      <c r="AF15" s="45">
        <v>0</v>
      </c>
      <c r="AG15" s="52">
        <v>30</v>
      </c>
      <c r="AH15" s="48">
        <f t="shared" si="2"/>
        <v>30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15.5</v>
      </c>
      <c r="C16" s="45">
        <v>15.5</v>
      </c>
      <c r="D16" s="45">
        <v>15.5</v>
      </c>
      <c r="E16" s="45">
        <v>15.5</v>
      </c>
      <c r="F16" s="45">
        <v>15.5</v>
      </c>
      <c r="G16" s="45">
        <v>15.5</v>
      </c>
      <c r="H16" s="45">
        <v>15.5</v>
      </c>
      <c r="I16" s="45">
        <v>15.5</v>
      </c>
      <c r="J16" s="45">
        <v>26.6</v>
      </c>
      <c r="K16" s="45">
        <v>26.6</v>
      </c>
      <c r="L16" s="45">
        <v>26.6</v>
      </c>
      <c r="M16" s="45">
        <v>26.5</v>
      </c>
      <c r="N16" s="45">
        <v>26.5</v>
      </c>
      <c r="O16" s="45">
        <v>26.5</v>
      </c>
      <c r="P16" s="45">
        <v>23</v>
      </c>
      <c r="Q16" s="45">
        <v>21.5</v>
      </c>
      <c r="R16" s="45">
        <v>22</v>
      </c>
      <c r="S16" s="45">
        <v>22.5</v>
      </c>
      <c r="T16" s="45">
        <v>22.5</v>
      </c>
      <c r="U16" s="45">
        <v>22.5</v>
      </c>
      <c r="V16" s="45">
        <v>24.6</v>
      </c>
      <c r="W16" s="45">
        <v>24.5</v>
      </c>
      <c r="X16" s="45">
        <v>24.5</v>
      </c>
      <c r="Y16" s="45">
        <v>24.5</v>
      </c>
      <c r="Z16" s="45">
        <v>24.5</v>
      </c>
      <c r="AA16" s="45">
        <v>24.5</v>
      </c>
      <c r="AB16" s="45">
        <v>24.5</v>
      </c>
      <c r="AC16" s="45">
        <v>15.4</v>
      </c>
      <c r="AD16" s="45">
        <v>15</v>
      </c>
      <c r="AE16" s="45">
        <v>16</v>
      </c>
      <c r="AF16" s="45">
        <v>20</v>
      </c>
      <c r="AG16" s="51">
        <v>24.2</v>
      </c>
      <c r="AH16" s="48">
        <f t="shared" si="2"/>
        <v>26.6</v>
      </c>
      <c r="AI16" s="49">
        <f t="shared" si="3"/>
        <v>15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6</v>
      </c>
      <c r="K17" s="45">
        <v>15</v>
      </c>
      <c r="L17" s="45">
        <v>27</v>
      </c>
      <c r="M17" s="45">
        <v>27</v>
      </c>
      <c r="N17" s="45">
        <v>15</v>
      </c>
      <c r="O17" s="45">
        <v>15</v>
      </c>
      <c r="P17" s="45">
        <v>15</v>
      </c>
      <c r="Q17" s="45">
        <v>15</v>
      </c>
      <c r="R17" s="45">
        <v>15</v>
      </c>
      <c r="S17" s="45">
        <v>0</v>
      </c>
      <c r="T17" s="45">
        <v>0</v>
      </c>
      <c r="U17" s="45">
        <v>0</v>
      </c>
      <c r="V17" s="45">
        <v>14</v>
      </c>
      <c r="W17" s="45">
        <v>27</v>
      </c>
      <c r="X17" s="45">
        <v>27</v>
      </c>
      <c r="Y17" s="45">
        <v>27</v>
      </c>
      <c r="Z17" s="45">
        <v>27</v>
      </c>
      <c r="AA17" s="45">
        <v>27</v>
      </c>
      <c r="AB17" s="45">
        <v>18</v>
      </c>
      <c r="AC17" s="45">
        <v>18</v>
      </c>
      <c r="AD17" s="45">
        <v>0</v>
      </c>
      <c r="AE17" s="45">
        <v>0</v>
      </c>
      <c r="AF17" s="45">
        <v>0</v>
      </c>
      <c r="AG17" s="52">
        <v>30</v>
      </c>
      <c r="AH17" s="48">
        <f t="shared" si="2"/>
        <v>27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18</v>
      </c>
      <c r="C18" s="45">
        <v>18</v>
      </c>
      <c r="D18" s="45">
        <v>18</v>
      </c>
      <c r="E18" s="45">
        <v>18</v>
      </c>
      <c r="F18" s="45">
        <v>18</v>
      </c>
      <c r="G18" s="45">
        <v>18</v>
      </c>
      <c r="H18" s="45">
        <v>18</v>
      </c>
      <c r="I18" s="45">
        <v>18</v>
      </c>
      <c r="J18" s="45">
        <v>25</v>
      </c>
      <c r="K18" s="45">
        <v>25</v>
      </c>
      <c r="L18" s="45">
        <v>25</v>
      </c>
      <c r="M18" s="45">
        <v>25</v>
      </c>
      <c r="N18" s="45">
        <v>25</v>
      </c>
      <c r="O18" s="45">
        <v>25</v>
      </c>
      <c r="P18" s="45">
        <v>25</v>
      </c>
      <c r="Q18" s="45">
        <v>25</v>
      </c>
      <c r="R18" s="45">
        <v>25</v>
      </c>
      <c r="S18" s="45">
        <v>25</v>
      </c>
      <c r="T18" s="45">
        <v>25</v>
      </c>
      <c r="U18" s="45">
        <v>25</v>
      </c>
      <c r="V18" s="45">
        <v>25</v>
      </c>
      <c r="W18" s="45">
        <v>25</v>
      </c>
      <c r="X18" s="45">
        <v>24.4</v>
      </c>
      <c r="Y18" s="45">
        <v>24.4</v>
      </c>
      <c r="Z18" s="45">
        <v>24.4</v>
      </c>
      <c r="AA18" s="45">
        <v>24.4</v>
      </c>
      <c r="AB18" s="45">
        <v>23.9</v>
      </c>
      <c r="AC18" s="45">
        <v>23.9</v>
      </c>
      <c r="AD18" s="45">
        <v>19</v>
      </c>
      <c r="AE18" s="45">
        <v>19</v>
      </c>
      <c r="AF18" s="45">
        <v>15</v>
      </c>
      <c r="AG18" s="51">
        <v>25</v>
      </c>
      <c r="AH18" s="48">
        <f t="shared" si="2"/>
        <v>25</v>
      </c>
      <c r="AI18" s="49">
        <f t="shared" si="3"/>
        <v>15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25</v>
      </c>
      <c r="C19" s="45">
        <v>25</v>
      </c>
      <c r="D19" s="45">
        <v>25</v>
      </c>
      <c r="E19" s="45">
        <v>25</v>
      </c>
      <c r="F19" s="45">
        <v>25</v>
      </c>
      <c r="G19" s="45">
        <v>25</v>
      </c>
      <c r="H19" s="45">
        <v>25</v>
      </c>
      <c r="I19" s="45">
        <v>25</v>
      </c>
      <c r="J19" s="45">
        <v>25</v>
      </c>
      <c r="K19" s="45">
        <v>25</v>
      </c>
      <c r="L19" s="45">
        <v>25</v>
      </c>
      <c r="M19" s="45">
        <v>25</v>
      </c>
      <c r="N19" s="45">
        <v>25</v>
      </c>
      <c r="O19" s="45">
        <v>25</v>
      </c>
      <c r="P19" s="45">
        <v>25</v>
      </c>
      <c r="Q19" s="45">
        <v>25</v>
      </c>
      <c r="R19" s="45">
        <v>25</v>
      </c>
      <c r="S19" s="45">
        <v>25</v>
      </c>
      <c r="T19" s="45">
        <v>25</v>
      </c>
      <c r="U19" s="45">
        <v>25</v>
      </c>
      <c r="V19" s="45">
        <v>25</v>
      </c>
      <c r="W19" s="45">
        <v>25</v>
      </c>
      <c r="X19" s="45">
        <v>25</v>
      </c>
      <c r="Y19" s="45">
        <v>25</v>
      </c>
      <c r="Z19" s="45">
        <v>25</v>
      </c>
      <c r="AA19" s="45">
        <v>25</v>
      </c>
      <c r="AB19" s="45">
        <v>25</v>
      </c>
      <c r="AC19" s="45">
        <v>25</v>
      </c>
      <c r="AD19" s="45">
        <v>25</v>
      </c>
      <c r="AE19" s="45">
        <v>25</v>
      </c>
      <c r="AF19" s="45">
        <v>24</v>
      </c>
      <c r="AG19" s="51">
        <v>25</v>
      </c>
      <c r="AH19" s="48">
        <f t="shared" si="2"/>
        <v>25</v>
      </c>
      <c r="AI19" s="49">
        <f t="shared" si="3"/>
        <v>24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17</v>
      </c>
      <c r="C20" s="45">
        <v>17</v>
      </c>
      <c r="D20" s="45">
        <v>17</v>
      </c>
      <c r="E20" s="45">
        <v>17</v>
      </c>
      <c r="F20" s="45">
        <v>17</v>
      </c>
      <c r="G20" s="45">
        <v>17</v>
      </c>
      <c r="H20" s="45">
        <v>17</v>
      </c>
      <c r="I20" s="45">
        <v>17</v>
      </c>
      <c r="J20" s="45">
        <v>21</v>
      </c>
      <c r="K20" s="45">
        <v>21</v>
      </c>
      <c r="L20" s="45">
        <v>21</v>
      </c>
      <c r="M20" s="45">
        <v>21</v>
      </c>
      <c r="N20" s="45">
        <v>21</v>
      </c>
      <c r="O20" s="45">
        <v>21</v>
      </c>
      <c r="P20" s="45">
        <v>21</v>
      </c>
      <c r="Q20" s="45">
        <v>21</v>
      </c>
      <c r="R20" s="45">
        <v>21</v>
      </c>
      <c r="S20" s="45">
        <v>21</v>
      </c>
      <c r="T20" s="45">
        <v>21</v>
      </c>
      <c r="U20" s="45">
        <v>21</v>
      </c>
      <c r="V20" s="45">
        <v>21</v>
      </c>
      <c r="W20" s="45">
        <v>20</v>
      </c>
      <c r="X20" s="45">
        <v>20</v>
      </c>
      <c r="Y20" s="45">
        <v>20</v>
      </c>
      <c r="Z20" s="45">
        <v>20</v>
      </c>
      <c r="AA20" s="45">
        <v>20</v>
      </c>
      <c r="AB20" s="45">
        <v>20</v>
      </c>
      <c r="AC20" s="45">
        <v>20</v>
      </c>
      <c r="AD20" s="45">
        <v>19</v>
      </c>
      <c r="AE20" s="45">
        <v>19</v>
      </c>
      <c r="AF20" s="45">
        <v>19</v>
      </c>
      <c r="AG20" s="51">
        <v>25</v>
      </c>
      <c r="AH20" s="48">
        <f t="shared" si="2"/>
        <v>21</v>
      </c>
      <c r="AI20" s="49">
        <f t="shared" si="3"/>
        <v>17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21.7</v>
      </c>
      <c r="C21" s="45">
        <v>21.7</v>
      </c>
      <c r="D21" s="45">
        <v>21.7</v>
      </c>
      <c r="E21" s="45">
        <v>21.7</v>
      </c>
      <c r="F21" s="45">
        <v>21.7</v>
      </c>
      <c r="G21" s="45">
        <v>21.7</v>
      </c>
      <c r="H21" s="45">
        <v>21.7</v>
      </c>
      <c r="I21" s="45">
        <v>21.7</v>
      </c>
      <c r="J21" s="45">
        <v>21.7</v>
      </c>
      <c r="K21" s="45">
        <v>21.7</v>
      </c>
      <c r="L21" s="45">
        <v>21.7</v>
      </c>
      <c r="M21" s="45">
        <v>21.7</v>
      </c>
      <c r="N21" s="45">
        <v>21.7</v>
      </c>
      <c r="O21" s="45">
        <v>21.7</v>
      </c>
      <c r="P21" s="45">
        <v>21.7</v>
      </c>
      <c r="Q21" s="45">
        <v>21.7</v>
      </c>
      <c r="R21" s="45">
        <v>21.7</v>
      </c>
      <c r="S21" s="45">
        <v>21.7</v>
      </c>
      <c r="T21" s="45">
        <v>21.7</v>
      </c>
      <c r="U21" s="45">
        <v>21.7</v>
      </c>
      <c r="V21" s="45">
        <v>21.7</v>
      </c>
      <c r="W21" s="45">
        <v>20.7</v>
      </c>
      <c r="X21" s="45">
        <v>20.7</v>
      </c>
      <c r="Y21" s="45">
        <v>20.7</v>
      </c>
      <c r="Z21" s="45">
        <v>20.7</v>
      </c>
      <c r="AA21" s="45">
        <v>20.7</v>
      </c>
      <c r="AB21" s="45">
        <v>20.7</v>
      </c>
      <c r="AC21" s="45">
        <v>20.7</v>
      </c>
      <c r="AD21" s="45">
        <v>20.7</v>
      </c>
      <c r="AE21" s="45">
        <v>20.7</v>
      </c>
      <c r="AF21" s="45">
        <v>20.7</v>
      </c>
      <c r="AG21" s="51">
        <v>23.5</v>
      </c>
      <c r="AH21" s="48">
        <f t="shared" si="2"/>
        <v>21.7</v>
      </c>
      <c r="AI21" s="49">
        <f t="shared" si="3"/>
        <v>20.7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13</v>
      </c>
      <c r="C22" s="45">
        <v>13</v>
      </c>
      <c r="D22" s="45">
        <v>13</v>
      </c>
      <c r="E22" s="45">
        <v>13</v>
      </c>
      <c r="F22" s="45">
        <v>13</v>
      </c>
      <c r="G22" s="45">
        <v>13</v>
      </c>
      <c r="H22" s="45">
        <v>13</v>
      </c>
      <c r="I22" s="45">
        <v>13</v>
      </c>
      <c r="J22" s="45">
        <v>13</v>
      </c>
      <c r="K22" s="45">
        <v>13</v>
      </c>
      <c r="L22" s="45">
        <v>13</v>
      </c>
      <c r="M22" s="45">
        <v>13</v>
      </c>
      <c r="N22" s="45">
        <v>13</v>
      </c>
      <c r="O22" s="45">
        <v>13</v>
      </c>
      <c r="P22" s="45">
        <v>13</v>
      </c>
      <c r="Q22" s="45">
        <v>13</v>
      </c>
      <c r="R22" s="45">
        <v>13</v>
      </c>
      <c r="S22" s="45">
        <v>13</v>
      </c>
      <c r="T22" s="45">
        <v>13</v>
      </c>
      <c r="U22" s="45">
        <v>13</v>
      </c>
      <c r="V22" s="45">
        <v>13</v>
      </c>
      <c r="W22" s="45">
        <v>13</v>
      </c>
      <c r="X22" s="45">
        <v>13</v>
      </c>
      <c r="Y22" s="45">
        <v>13</v>
      </c>
      <c r="Z22" s="45">
        <v>13</v>
      </c>
      <c r="AA22" s="45">
        <v>13</v>
      </c>
      <c r="AB22" s="45">
        <v>13</v>
      </c>
      <c r="AC22" s="45">
        <v>13</v>
      </c>
      <c r="AD22" s="45">
        <v>13</v>
      </c>
      <c r="AE22" s="45">
        <v>13</v>
      </c>
      <c r="AF22" s="45">
        <v>13</v>
      </c>
      <c r="AG22" s="51">
        <v>22.2</v>
      </c>
      <c r="AH22" s="48">
        <f t="shared" si="2"/>
        <v>13</v>
      </c>
      <c r="AI22" s="49">
        <f t="shared" si="3"/>
        <v>13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18</v>
      </c>
      <c r="C23" s="45">
        <v>18</v>
      </c>
      <c r="D23" s="45">
        <v>18</v>
      </c>
      <c r="E23" s="45">
        <v>18</v>
      </c>
      <c r="F23" s="45">
        <v>18</v>
      </c>
      <c r="G23" s="45">
        <v>18</v>
      </c>
      <c r="H23" s="45">
        <v>18</v>
      </c>
      <c r="I23" s="45">
        <v>18</v>
      </c>
      <c r="J23" s="45">
        <v>18</v>
      </c>
      <c r="K23" s="45">
        <v>18</v>
      </c>
      <c r="L23" s="45">
        <v>18</v>
      </c>
      <c r="M23" s="45">
        <v>18</v>
      </c>
      <c r="N23" s="45">
        <v>18</v>
      </c>
      <c r="O23" s="45">
        <v>18</v>
      </c>
      <c r="P23" s="45">
        <v>18</v>
      </c>
      <c r="Q23" s="45">
        <v>18</v>
      </c>
      <c r="R23" s="45">
        <v>18</v>
      </c>
      <c r="S23" s="45">
        <v>18</v>
      </c>
      <c r="T23" s="45">
        <v>18</v>
      </c>
      <c r="U23" s="45">
        <v>18</v>
      </c>
      <c r="V23" s="45">
        <v>18</v>
      </c>
      <c r="W23" s="45">
        <v>18</v>
      </c>
      <c r="X23" s="45">
        <v>18</v>
      </c>
      <c r="Y23" s="45">
        <v>18</v>
      </c>
      <c r="Z23" s="45">
        <v>18</v>
      </c>
      <c r="AA23" s="45">
        <v>18</v>
      </c>
      <c r="AB23" s="45">
        <v>18</v>
      </c>
      <c r="AC23" s="45">
        <v>18</v>
      </c>
      <c r="AD23" s="45">
        <v>18</v>
      </c>
      <c r="AE23" s="45">
        <v>18</v>
      </c>
      <c r="AF23" s="45">
        <v>18</v>
      </c>
      <c r="AG23" s="51">
        <v>22.1</v>
      </c>
      <c r="AH23" s="48">
        <f t="shared" si="2"/>
        <v>18</v>
      </c>
      <c r="AI23" s="49">
        <f t="shared" si="3"/>
        <v>18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22</v>
      </c>
      <c r="C24" s="45">
        <v>22</v>
      </c>
      <c r="D24" s="45">
        <v>22</v>
      </c>
      <c r="E24" s="45">
        <v>22</v>
      </c>
      <c r="F24" s="45">
        <v>22</v>
      </c>
      <c r="G24" s="45">
        <v>22</v>
      </c>
      <c r="H24" s="45">
        <v>22</v>
      </c>
      <c r="I24" s="45">
        <v>22</v>
      </c>
      <c r="J24" s="45">
        <v>22</v>
      </c>
      <c r="K24" s="45">
        <v>22</v>
      </c>
      <c r="L24" s="45">
        <v>22</v>
      </c>
      <c r="M24" s="45">
        <v>22</v>
      </c>
      <c r="N24" s="45">
        <v>22</v>
      </c>
      <c r="O24" s="45">
        <v>22</v>
      </c>
      <c r="P24" s="45">
        <v>22</v>
      </c>
      <c r="Q24" s="45">
        <v>22</v>
      </c>
      <c r="R24" s="45">
        <v>22</v>
      </c>
      <c r="S24" s="45">
        <v>22</v>
      </c>
      <c r="T24" s="45">
        <v>22</v>
      </c>
      <c r="U24" s="45">
        <v>22</v>
      </c>
      <c r="V24" s="45">
        <v>22</v>
      </c>
      <c r="W24" s="45">
        <v>22</v>
      </c>
      <c r="X24" s="45">
        <v>22</v>
      </c>
      <c r="Y24" s="45">
        <v>22</v>
      </c>
      <c r="Z24" s="45">
        <v>22</v>
      </c>
      <c r="AA24" s="45">
        <v>22</v>
      </c>
      <c r="AB24" s="45">
        <v>22</v>
      </c>
      <c r="AC24" s="45">
        <v>22</v>
      </c>
      <c r="AD24" s="45">
        <v>22</v>
      </c>
      <c r="AE24" s="45">
        <v>22</v>
      </c>
      <c r="AF24" s="45">
        <v>22</v>
      </c>
      <c r="AG24" s="51">
        <v>22</v>
      </c>
      <c r="AH24" s="48">
        <f t="shared" si="2"/>
        <v>22</v>
      </c>
      <c r="AI24" s="49">
        <f t="shared" si="3"/>
        <v>22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15</v>
      </c>
      <c r="C25" s="45">
        <v>15</v>
      </c>
      <c r="D25" s="45">
        <v>15</v>
      </c>
      <c r="E25" s="45">
        <v>15</v>
      </c>
      <c r="F25" s="45">
        <v>15</v>
      </c>
      <c r="G25" s="45">
        <v>15</v>
      </c>
      <c r="H25" s="45">
        <v>15</v>
      </c>
      <c r="I25" s="45">
        <v>15</v>
      </c>
      <c r="J25" s="45">
        <v>18</v>
      </c>
      <c r="K25" s="45">
        <v>18</v>
      </c>
      <c r="L25" s="45">
        <v>18</v>
      </c>
      <c r="M25" s="45">
        <v>18</v>
      </c>
      <c r="N25" s="45">
        <v>18</v>
      </c>
      <c r="O25" s="45">
        <v>18</v>
      </c>
      <c r="P25" s="45">
        <v>18</v>
      </c>
      <c r="Q25" s="45">
        <v>18</v>
      </c>
      <c r="R25" s="45">
        <v>18</v>
      </c>
      <c r="S25" s="45">
        <v>18</v>
      </c>
      <c r="T25" s="45">
        <v>18</v>
      </c>
      <c r="U25" s="45">
        <v>18</v>
      </c>
      <c r="V25" s="45">
        <v>18</v>
      </c>
      <c r="W25" s="45">
        <v>20</v>
      </c>
      <c r="X25" s="45">
        <v>20</v>
      </c>
      <c r="Y25" s="45">
        <v>20</v>
      </c>
      <c r="Z25" s="45">
        <v>20</v>
      </c>
      <c r="AA25" s="45">
        <v>20</v>
      </c>
      <c r="AB25" s="45">
        <v>20</v>
      </c>
      <c r="AC25" s="45">
        <v>20</v>
      </c>
      <c r="AD25" s="45">
        <v>20</v>
      </c>
      <c r="AE25" s="45">
        <v>20</v>
      </c>
      <c r="AF25" s="45">
        <v>20</v>
      </c>
      <c r="AG25" s="51">
        <v>22</v>
      </c>
      <c r="AH25" s="48">
        <f t="shared" si="2"/>
        <v>20</v>
      </c>
      <c r="AI25" s="49">
        <f t="shared" si="3"/>
        <v>15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10</v>
      </c>
      <c r="L26" s="45">
        <v>10</v>
      </c>
      <c r="M26" s="45">
        <v>10</v>
      </c>
      <c r="N26" s="45">
        <v>4</v>
      </c>
      <c r="O26" s="45">
        <v>4</v>
      </c>
      <c r="P26" s="45">
        <v>4</v>
      </c>
      <c r="Q26" s="45">
        <v>4</v>
      </c>
      <c r="R26" s="45">
        <v>4</v>
      </c>
      <c r="S26" s="45">
        <v>4</v>
      </c>
      <c r="T26" s="45">
        <v>4</v>
      </c>
      <c r="U26" s="45">
        <v>4</v>
      </c>
      <c r="V26" s="45">
        <v>5</v>
      </c>
      <c r="W26" s="45">
        <v>10</v>
      </c>
      <c r="X26" s="45">
        <v>0</v>
      </c>
      <c r="Y26" s="45">
        <v>0</v>
      </c>
      <c r="Z26" s="45">
        <v>10</v>
      </c>
      <c r="AA26" s="45">
        <v>10</v>
      </c>
      <c r="AB26" s="45">
        <v>10</v>
      </c>
      <c r="AC26" s="45">
        <v>10</v>
      </c>
      <c r="AD26" s="45">
        <v>0</v>
      </c>
      <c r="AE26" s="45">
        <v>0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>
        <v>14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14.9</v>
      </c>
      <c r="AH27" s="48">
        <f t="shared" si="2"/>
        <v>14</v>
      </c>
      <c r="AI27" s="49">
        <f t="shared" si="3"/>
        <v>14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3</v>
      </c>
      <c r="M28" s="45">
        <v>3</v>
      </c>
      <c r="N28" s="45">
        <v>3</v>
      </c>
      <c r="O28" s="45">
        <v>3</v>
      </c>
      <c r="P28" s="45">
        <v>3</v>
      </c>
      <c r="Q28" s="45">
        <v>3</v>
      </c>
      <c r="R28" s="45">
        <v>3</v>
      </c>
      <c r="S28" s="45">
        <v>3</v>
      </c>
      <c r="T28" s="45">
        <v>3</v>
      </c>
      <c r="U28" s="45">
        <v>3</v>
      </c>
      <c r="V28" s="45">
        <v>3</v>
      </c>
      <c r="W28" s="45">
        <v>3</v>
      </c>
      <c r="X28" s="45">
        <v>0</v>
      </c>
      <c r="Y28" s="45">
        <v>0</v>
      </c>
      <c r="Z28" s="45">
        <v>3</v>
      </c>
      <c r="AA28" s="45">
        <v>3</v>
      </c>
      <c r="AB28" s="45">
        <v>3</v>
      </c>
      <c r="AC28" s="45">
        <v>3</v>
      </c>
      <c r="AD28" s="45">
        <v>3</v>
      </c>
      <c r="AE28" s="45">
        <v>3</v>
      </c>
      <c r="AF28" s="45">
        <v>3</v>
      </c>
      <c r="AG28" s="51">
        <v>13.6</v>
      </c>
      <c r="AH28" s="48">
        <f t="shared" si="2"/>
        <v>6</v>
      </c>
      <c r="AI28" s="49">
        <f t="shared" si="3"/>
        <v>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6</v>
      </c>
      <c r="C29" s="45">
        <v>6</v>
      </c>
      <c r="D29" s="45">
        <v>6</v>
      </c>
      <c r="E29" s="45">
        <v>6</v>
      </c>
      <c r="F29" s="45">
        <v>6</v>
      </c>
      <c r="G29" s="45">
        <v>6</v>
      </c>
      <c r="H29" s="45">
        <v>6</v>
      </c>
      <c r="I29" s="45">
        <v>6</v>
      </c>
      <c r="J29" s="45">
        <v>12</v>
      </c>
      <c r="K29" s="45">
        <v>12</v>
      </c>
      <c r="L29" s="45">
        <v>12</v>
      </c>
      <c r="M29" s="45">
        <v>12</v>
      </c>
      <c r="N29" s="45">
        <v>12</v>
      </c>
      <c r="O29" s="45">
        <v>12</v>
      </c>
      <c r="P29" s="45">
        <v>12</v>
      </c>
      <c r="Q29" s="45">
        <v>12</v>
      </c>
      <c r="R29" s="45">
        <v>12</v>
      </c>
      <c r="S29" s="45">
        <v>12</v>
      </c>
      <c r="T29" s="45">
        <v>12</v>
      </c>
      <c r="U29" s="45">
        <v>12</v>
      </c>
      <c r="V29" s="45">
        <v>12</v>
      </c>
      <c r="W29" s="45">
        <v>12</v>
      </c>
      <c r="X29" s="45">
        <v>12</v>
      </c>
      <c r="Y29" s="45">
        <v>12</v>
      </c>
      <c r="Z29" s="45">
        <v>12</v>
      </c>
      <c r="AA29" s="45">
        <v>12</v>
      </c>
      <c r="AB29" s="45">
        <v>12</v>
      </c>
      <c r="AC29" s="45">
        <v>12</v>
      </c>
      <c r="AD29" s="45">
        <v>12</v>
      </c>
      <c r="AE29" s="45">
        <v>12</v>
      </c>
      <c r="AF29" s="45">
        <v>12</v>
      </c>
      <c r="AG29" s="51">
        <v>13</v>
      </c>
      <c r="AH29" s="48">
        <f t="shared" si="2"/>
        <v>12</v>
      </c>
      <c r="AI29" s="49">
        <f t="shared" si="3"/>
        <v>6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6</v>
      </c>
      <c r="L30" s="45">
        <v>12</v>
      </c>
      <c r="M30" s="45">
        <v>12</v>
      </c>
      <c r="N30" s="45">
        <v>12</v>
      </c>
      <c r="O30" s="45">
        <v>12</v>
      </c>
      <c r="P30" s="45">
        <v>12</v>
      </c>
      <c r="Q30" s="45">
        <v>12</v>
      </c>
      <c r="R30" s="45">
        <v>12</v>
      </c>
      <c r="S30" s="45">
        <v>12</v>
      </c>
      <c r="T30" s="45">
        <v>12</v>
      </c>
      <c r="U30" s="45">
        <v>12</v>
      </c>
      <c r="V30" s="45">
        <v>6</v>
      </c>
      <c r="W30" s="45">
        <v>12</v>
      </c>
      <c r="X30" s="45">
        <v>12</v>
      </c>
      <c r="Y30" s="45">
        <v>12</v>
      </c>
      <c r="Z30" s="45">
        <v>12</v>
      </c>
      <c r="AA30" s="45">
        <v>12</v>
      </c>
      <c r="AB30" s="45">
        <v>12</v>
      </c>
      <c r="AC30" s="45">
        <v>6</v>
      </c>
      <c r="AD30" s="45">
        <v>0</v>
      </c>
      <c r="AE30" s="45">
        <v>0</v>
      </c>
      <c r="AF30" s="45">
        <v>0</v>
      </c>
      <c r="AG30" s="51">
        <v>12</v>
      </c>
      <c r="AH30" s="48">
        <f t="shared" si="2"/>
        <v>12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12</v>
      </c>
      <c r="C31" s="45">
        <v>12</v>
      </c>
      <c r="D31" s="45">
        <v>12</v>
      </c>
      <c r="E31" s="45">
        <v>12</v>
      </c>
      <c r="F31" s="45">
        <v>12</v>
      </c>
      <c r="G31" s="45">
        <v>12</v>
      </c>
      <c r="H31" s="45">
        <v>12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2"/>
        <v>12</v>
      </c>
      <c r="AI31" s="49">
        <f t="shared" si="3"/>
        <v>12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7</v>
      </c>
      <c r="L32" s="45">
        <v>7</v>
      </c>
      <c r="M32" s="45">
        <v>7</v>
      </c>
      <c r="N32" s="45">
        <v>7</v>
      </c>
      <c r="O32" s="45">
        <v>7</v>
      </c>
      <c r="P32" s="45">
        <v>7</v>
      </c>
      <c r="Q32" s="45">
        <v>7</v>
      </c>
      <c r="R32" s="45">
        <v>7</v>
      </c>
      <c r="S32" s="45">
        <v>7</v>
      </c>
      <c r="T32" s="45">
        <v>7</v>
      </c>
      <c r="U32" s="45">
        <v>7</v>
      </c>
      <c r="V32" s="45">
        <v>7</v>
      </c>
      <c r="W32" s="45">
        <v>7</v>
      </c>
      <c r="X32" s="45">
        <v>7</v>
      </c>
      <c r="Y32" s="45">
        <v>7</v>
      </c>
      <c r="Z32" s="45">
        <v>7</v>
      </c>
      <c r="AA32" s="45">
        <v>7</v>
      </c>
      <c r="AB32" s="45">
        <v>7</v>
      </c>
      <c r="AC32" s="45">
        <v>7</v>
      </c>
      <c r="AD32" s="45">
        <v>2</v>
      </c>
      <c r="AE32" s="45">
        <v>2</v>
      </c>
      <c r="AF32" s="45">
        <v>2</v>
      </c>
      <c r="AG32" s="51">
        <v>12</v>
      </c>
      <c r="AH32" s="48">
        <f t="shared" si="2"/>
        <v>7</v>
      </c>
      <c r="AI32" s="49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8</v>
      </c>
      <c r="C33" s="45">
        <v>8</v>
      </c>
      <c r="D33" s="45">
        <v>8</v>
      </c>
      <c r="E33" s="45">
        <v>8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3">
        <v>22</v>
      </c>
      <c r="AH33" s="48">
        <f t="shared" si="2"/>
        <v>8</v>
      </c>
      <c r="AI33" s="49">
        <f t="shared" si="3"/>
        <v>8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6</v>
      </c>
      <c r="C34" s="45">
        <v>6</v>
      </c>
      <c r="D34" s="45">
        <v>6</v>
      </c>
      <c r="E34" s="45">
        <v>6</v>
      </c>
      <c r="F34" s="45">
        <v>6</v>
      </c>
      <c r="G34" s="45">
        <v>6</v>
      </c>
      <c r="H34" s="45">
        <v>6</v>
      </c>
      <c r="I34" s="45">
        <v>6</v>
      </c>
      <c r="J34" s="45">
        <v>11</v>
      </c>
      <c r="K34" s="45">
        <v>11</v>
      </c>
      <c r="L34" s="45">
        <v>11</v>
      </c>
      <c r="M34" s="45">
        <v>11</v>
      </c>
      <c r="N34" s="45">
        <v>11</v>
      </c>
      <c r="O34" s="45">
        <v>11</v>
      </c>
      <c r="P34" s="45">
        <v>11</v>
      </c>
      <c r="Q34" s="45">
        <v>11</v>
      </c>
      <c r="R34" s="45">
        <v>11</v>
      </c>
      <c r="S34" s="45">
        <v>11</v>
      </c>
      <c r="T34" s="45">
        <v>11</v>
      </c>
      <c r="U34" s="45">
        <v>11</v>
      </c>
      <c r="V34" s="45">
        <v>11</v>
      </c>
      <c r="W34" s="45">
        <v>11</v>
      </c>
      <c r="X34" s="45">
        <v>11</v>
      </c>
      <c r="Y34" s="45">
        <v>11</v>
      </c>
      <c r="Z34" s="45">
        <v>11</v>
      </c>
      <c r="AA34" s="45">
        <v>11</v>
      </c>
      <c r="AB34" s="45">
        <v>11</v>
      </c>
      <c r="AC34" s="45">
        <v>11</v>
      </c>
      <c r="AD34" s="45">
        <v>11</v>
      </c>
      <c r="AE34" s="45">
        <v>6</v>
      </c>
      <c r="AF34" s="45">
        <v>6</v>
      </c>
      <c r="AG34" s="52">
        <v>11.88</v>
      </c>
      <c r="AH34" s="48">
        <f t="shared" si="2"/>
        <v>11</v>
      </c>
      <c r="AI34" s="49">
        <f t="shared" si="3"/>
        <v>6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7</v>
      </c>
      <c r="C35" s="45">
        <v>7</v>
      </c>
      <c r="D35" s="45">
        <v>7</v>
      </c>
      <c r="E35" s="45">
        <v>7</v>
      </c>
      <c r="F35" s="45">
        <v>7</v>
      </c>
      <c r="G35" s="45">
        <v>7</v>
      </c>
      <c r="H35" s="45">
        <v>7</v>
      </c>
      <c r="I35" s="45">
        <v>7</v>
      </c>
      <c r="J35" s="45">
        <v>9</v>
      </c>
      <c r="K35" s="45">
        <v>9</v>
      </c>
      <c r="L35" s="45">
        <v>9</v>
      </c>
      <c r="M35" s="45">
        <v>9</v>
      </c>
      <c r="N35" s="45">
        <v>9</v>
      </c>
      <c r="O35" s="45">
        <v>9</v>
      </c>
      <c r="P35" s="45">
        <v>9</v>
      </c>
      <c r="Q35" s="45">
        <v>9</v>
      </c>
      <c r="R35" s="45">
        <v>9</v>
      </c>
      <c r="S35" s="45">
        <v>9</v>
      </c>
      <c r="T35" s="45">
        <v>9</v>
      </c>
      <c r="U35" s="45">
        <v>9</v>
      </c>
      <c r="V35" s="45">
        <v>9</v>
      </c>
      <c r="W35" s="45">
        <v>9</v>
      </c>
      <c r="X35" s="45">
        <v>9</v>
      </c>
      <c r="Y35" s="45">
        <v>9</v>
      </c>
      <c r="Z35" s="45">
        <v>9</v>
      </c>
      <c r="AA35" s="45">
        <v>9</v>
      </c>
      <c r="AB35" s="45">
        <v>9</v>
      </c>
      <c r="AC35" s="45">
        <v>9</v>
      </c>
      <c r="AD35" s="45">
        <v>9</v>
      </c>
      <c r="AE35" s="45">
        <v>9</v>
      </c>
      <c r="AF35" s="45">
        <v>9</v>
      </c>
      <c r="AG35" s="55">
        <v>11</v>
      </c>
      <c r="AH35" s="48">
        <f t="shared" si="2"/>
        <v>9</v>
      </c>
      <c r="AI35" s="49">
        <f t="shared" si="3"/>
        <v>7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6</v>
      </c>
      <c r="C36" s="45">
        <v>6</v>
      </c>
      <c r="D36" s="45">
        <v>6</v>
      </c>
      <c r="E36" s="45">
        <v>6</v>
      </c>
      <c r="F36" s="45">
        <v>6</v>
      </c>
      <c r="G36" s="45">
        <v>6</v>
      </c>
      <c r="H36" s="45">
        <v>6</v>
      </c>
      <c r="I36" s="45">
        <v>6</v>
      </c>
      <c r="J36" s="45">
        <v>6</v>
      </c>
      <c r="K36" s="45">
        <v>6</v>
      </c>
      <c r="L36" s="45">
        <v>8.5</v>
      </c>
      <c r="M36" s="45">
        <v>8.5</v>
      </c>
      <c r="N36" s="45">
        <v>8.5</v>
      </c>
      <c r="O36" s="45">
        <v>8.5</v>
      </c>
      <c r="P36" s="45">
        <v>8.5</v>
      </c>
      <c r="Q36" s="45">
        <v>8.5</v>
      </c>
      <c r="R36" s="45">
        <v>8.5</v>
      </c>
      <c r="S36" s="45">
        <v>8.5</v>
      </c>
      <c r="T36" s="45">
        <v>8.5</v>
      </c>
      <c r="U36" s="45">
        <v>8.5</v>
      </c>
      <c r="V36" s="45">
        <v>8.5</v>
      </c>
      <c r="W36" s="45">
        <v>8.5</v>
      </c>
      <c r="X36" s="45">
        <v>0</v>
      </c>
      <c r="Y36" s="45">
        <v>5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5">
        <v>10</v>
      </c>
      <c r="AH36" s="48">
        <f t="shared" si="2"/>
        <v>8.5</v>
      </c>
      <c r="AI36" s="49">
        <f t="shared" si="3"/>
        <v>0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0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300</v>
      </c>
      <c r="C38" s="57">
        <v>300</v>
      </c>
      <c r="D38" s="57">
        <v>300</v>
      </c>
      <c r="E38" s="57">
        <v>300</v>
      </c>
      <c r="F38" s="57">
        <v>300</v>
      </c>
      <c r="G38" s="57">
        <v>300</v>
      </c>
      <c r="H38" s="57">
        <v>300</v>
      </c>
      <c r="I38" s="57">
        <v>300</v>
      </c>
      <c r="J38" s="57">
        <v>300</v>
      </c>
      <c r="K38" s="57">
        <v>300</v>
      </c>
      <c r="L38" s="57">
        <v>300</v>
      </c>
      <c r="M38" s="57">
        <v>300</v>
      </c>
      <c r="N38" s="57">
        <v>300</v>
      </c>
      <c r="O38" s="57">
        <v>300</v>
      </c>
      <c r="P38" s="57">
        <v>300</v>
      </c>
      <c r="Q38" s="57">
        <v>300</v>
      </c>
      <c r="R38" s="57">
        <v>300</v>
      </c>
      <c r="S38" s="57">
        <v>300</v>
      </c>
      <c r="T38" s="57">
        <v>300</v>
      </c>
      <c r="U38" s="57">
        <v>300</v>
      </c>
      <c r="V38" s="57">
        <v>300</v>
      </c>
      <c r="W38" s="57">
        <v>300</v>
      </c>
      <c r="X38" s="57">
        <v>300</v>
      </c>
      <c r="Y38" s="57">
        <v>300</v>
      </c>
      <c r="Z38" s="57">
        <v>300</v>
      </c>
      <c r="AA38" s="57">
        <v>300</v>
      </c>
      <c r="AB38" s="57">
        <v>300</v>
      </c>
      <c r="AC38" s="57">
        <v>300</v>
      </c>
      <c r="AD38" s="57">
        <v>300.89999999999998</v>
      </c>
      <c r="AE38" s="57">
        <v>300.89999999999998</v>
      </c>
      <c r="AF38" s="57">
        <v>300.89999999999998</v>
      </c>
      <c r="AG38" s="55">
        <v>85</v>
      </c>
      <c r="AH38" s="48">
        <f t="shared" si="2"/>
        <v>300.89999999999998</v>
      </c>
      <c r="AI38" s="49">
        <f t="shared" si="3"/>
        <v>300</v>
      </c>
      <c r="AK38" s="50"/>
    </row>
    <row r="39" spans="1:88" ht="15.75" thickBot="1" x14ac:dyDescent="0.3">
      <c r="A39" s="58" t="s">
        <v>47</v>
      </c>
      <c r="B39" s="59">
        <v>126.7</v>
      </c>
      <c r="C39" s="59">
        <f>78.8+62.4</f>
        <v>141.19999999999999</v>
      </c>
      <c r="D39" s="59">
        <f>61.2+78</f>
        <v>139.19999999999999</v>
      </c>
      <c r="E39" s="59">
        <f>61.7+78.2</f>
        <v>139.9</v>
      </c>
      <c r="F39" s="59">
        <f>61.7+78.9</f>
        <v>140.60000000000002</v>
      </c>
      <c r="G39" s="59">
        <f>61.5+78.5</f>
        <v>140</v>
      </c>
      <c r="H39" s="59">
        <f>61.3+78</f>
        <v>139.30000000000001</v>
      </c>
      <c r="I39" s="59">
        <f>61.1+77.8</f>
        <v>138.9</v>
      </c>
      <c r="J39" s="59">
        <f>53.8+77.9</f>
        <v>131.69999999999999</v>
      </c>
      <c r="K39" s="59">
        <f>65.8+77.6</f>
        <v>143.39999999999998</v>
      </c>
      <c r="L39" s="57">
        <f>64.3+77.4</f>
        <v>141.69999999999999</v>
      </c>
      <c r="M39" s="57">
        <v>138.4</v>
      </c>
      <c r="N39" s="57">
        <f>62+79.5</f>
        <v>141.5</v>
      </c>
      <c r="O39" s="57">
        <f t="shared" ref="O39:Q39" si="4">62+79.5</f>
        <v>141.5</v>
      </c>
      <c r="P39" s="57">
        <f t="shared" si="4"/>
        <v>141.5</v>
      </c>
      <c r="Q39" s="57">
        <f t="shared" si="4"/>
        <v>141.5</v>
      </c>
      <c r="R39" s="57">
        <f>76+61.6</f>
        <v>137.6</v>
      </c>
      <c r="S39" s="59">
        <f>75.8+61.7</f>
        <v>137.5</v>
      </c>
      <c r="T39" s="59">
        <f>77.6+62</f>
        <v>139.6</v>
      </c>
      <c r="U39" s="59">
        <f>75.1+60.2</f>
        <v>135.30000000000001</v>
      </c>
      <c r="V39" s="59">
        <f>75+60</f>
        <v>135</v>
      </c>
      <c r="W39" s="59">
        <f>58.4+75.2</f>
        <v>133.6</v>
      </c>
      <c r="X39" s="59">
        <f>57.1+73.5</f>
        <v>130.6</v>
      </c>
      <c r="Y39" s="59">
        <f>54.4+73.8</f>
        <v>128.19999999999999</v>
      </c>
      <c r="Z39" s="59">
        <f>58.9+71.5</f>
        <v>130.4</v>
      </c>
      <c r="AA39" s="59">
        <f>60+72</f>
        <v>132</v>
      </c>
      <c r="AB39" s="59">
        <v>145</v>
      </c>
      <c r="AC39" s="59">
        <f>59.6+72.3</f>
        <v>131.9</v>
      </c>
      <c r="AD39" s="59">
        <v>136</v>
      </c>
      <c r="AE39" s="59">
        <v>136</v>
      </c>
      <c r="AF39" s="59">
        <v>140</v>
      </c>
      <c r="AG39" s="55">
        <v>240</v>
      </c>
      <c r="AH39" s="48">
        <f t="shared" si="2"/>
        <v>145</v>
      </c>
      <c r="AI39" s="49">
        <f t="shared" si="3"/>
        <v>126.7</v>
      </c>
      <c r="AK39" s="50"/>
    </row>
    <row r="40" spans="1:88" ht="15.75" thickBot="1" x14ac:dyDescent="0.3">
      <c r="A40" s="60" t="s">
        <v>48</v>
      </c>
      <c r="B40" s="61">
        <f t="shared" ref="B40:AG40" si="5">SUM(B11:B38)</f>
        <v>669.5</v>
      </c>
      <c r="C40" s="61">
        <f t="shared" si="5"/>
        <v>681.4</v>
      </c>
      <c r="D40" s="61">
        <f t="shared" si="5"/>
        <v>681.4</v>
      </c>
      <c r="E40" s="61">
        <f t="shared" si="5"/>
        <v>681.4</v>
      </c>
      <c r="F40" s="61">
        <f t="shared" si="5"/>
        <v>681.4</v>
      </c>
      <c r="G40" s="61">
        <f t="shared" si="5"/>
        <v>681.4</v>
      </c>
      <c r="H40" s="61">
        <f t="shared" si="5"/>
        <v>681.4</v>
      </c>
      <c r="I40" s="61">
        <f t="shared" si="5"/>
        <v>681.4</v>
      </c>
      <c r="J40" s="61">
        <f t="shared" si="5"/>
        <v>752.2</v>
      </c>
      <c r="K40" s="61">
        <f t="shared" si="5"/>
        <v>800.9</v>
      </c>
      <c r="L40" s="61">
        <f t="shared" si="5"/>
        <v>827.5</v>
      </c>
      <c r="M40" s="61">
        <f t="shared" si="5"/>
        <v>818</v>
      </c>
      <c r="N40" s="61">
        <f t="shared" si="5"/>
        <v>791.4</v>
      </c>
      <c r="O40" s="61">
        <f t="shared" si="5"/>
        <v>776.7</v>
      </c>
      <c r="P40" s="61">
        <f t="shared" si="5"/>
        <v>772.59999999999991</v>
      </c>
      <c r="Q40" s="61">
        <f t="shared" si="5"/>
        <v>771.09999999999991</v>
      </c>
      <c r="R40" s="61">
        <f t="shared" si="5"/>
        <v>766.59999999999991</v>
      </c>
      <c r="S40" s="61">
        <f t="shared" si="5"/>
        <v>752.8</v>
      </c>
      <c r="T40" s="61">
        <f t="shared" si="5"/>
        <v>752.4</v>
      </c>
      <c r="U40" s="61">
        <f t="shared" si="5"/>
        <v>753.3</v>
      </c>
      <c r="V40" s="61">
        <f t="shared" si="5"/>
        <v>793.7</v>
      </c>
      <c r="W40" s="61">
        <f t="shared" si="5"/>
        <v>829.8</v>
      </c>
      <c r="X40" s="61">
        <f t="shared" si="5"/>
        <v>772.7</v>
      </c>
      <c r="Y40" s="61">
        <f t="shared" si="5"/>
        <v>799.9</v>
      </c>
      <c r="Z40" s="61">
        <f t="shared" si="5"/>
        <v>831.09999999999991</v>
      </c>
      <c r="AA40" s="61">
        <f t="shared" si="5"/>
        <v>823.59999999999991</v>
      </c>
      <c r="AB40" s="61">
        <f t="shared" si="5"/>
        <v>814.09999999999991</v>
      </c>
      <c r="AC40" s="61">
        <f t="shared" si="5"/>
        <v>768.5</v>
      </c>
      <c r="AD40" s="61">
        <f t="shared" si="5"/>
        <v>717.2</v>
      </c>
      <c r="AE40" s="61">
        <f t="shared" si="5"/>
        <v>701.9</v>
      </c>
      <c r="AF40" s="61">
        <f t="shared" si="5"/>
        <v>682.09999999999991</v>
      </c>
      <c r="AG40" s="62">
        <f t="shared" si="5"/>
        <v>707.78000000000009</v>
      </c>
      <c r="AH40" s="48">
        <f t="shared" si="2"/>
        <v>831.09999999999991</v>
      </c>
      <c r="AI40" s="49">
        <f t="shared" si="3"/>
        <v>669.5</v>
      </c>
      <c r="AK40" s="50"/>
    </row>
    <row r="41" spans="1:88" x14ac:dyDescent="0.25">
      <c r="A41" s="6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2">
        <v>456</v>
      </c>
      <c r="AH41" s="48">
        <f t="shared" si="2"/>
        <v>0</v>
      </c>
      <c r="AI41" s="49">
        <f t="shared" si="3"/>
        <v>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22</v>
      </c>
      <c r="C43" s="67">
        <v>22</v>
      </c>
      <c r="D43" s="67">
        <v>22</v>
      </c>
      <c r="E43" s="67">
        <v>22.5</v>
      </c>
      <c r="F43" s="67">
        <v>22.5</v>
      </c>
      <c r="G43" s="67">
        <v>22.4</v>
      </c>
      <c r="H43" s="67">
        <v>22.5</v>
      </c>
      <c r="I43" s="67">
        <v>22.4</v>
      </c>
      <c r="J43" s="67">
        <v>22.4</v>
      </c>
      <c r="K43" s="67">
        <v>22.5</v>
      </c>
      <c r="L43" s="67">
        <v>22.5</v>
      </c>
      <c r="M43" s="67">
        <v>22.5</v>
      </c>
      <c r="N43" s="67">
        <v>22.4</v>
      </c>
      <c r="O43" s="67">
        <v>22.4</v>
      </c>
      <c r="P43" s="67">
        <v>22.4</v>
      </c>
      <c r="Q43" s="67">
        <v>22.4</v>
      </c>
      <c r="R43" s="67">
        <v>22.4</v>
      </c>
      <c r="S43" s="67">
        <v>22.4</v>
      </c>
      <c r="T43" s="67">
        <v>22.4</v>
      </c>
      <c r="U43" s="67">
        <v>22.4</v>
      </c>
      <c r="V43" s="67">
        <v>22.5</v>
      </c>
      <c r="W43" s="67">
        <v>22.5</v>
      </c>
      <c r="X43" s="67">
        <v>22.5</v>
      </c>
      <c r="Y43" s="67">
        <v>22.5</v>
      </c>
      <c r="Z43" s="67">
        <v>22.5</v>
      </c>
      <c r="AA43" s="67">
        <v>22.5</v>
      </c>
      <c r="AB43" s="67">
        <v>22</v>
      </c>
      <c r="AC43" s="67">
        <v>22</v>
      </c>
      <c r="AD43" s="67">
        <v>22</v>
      </c>
      <c r="AE43" s="67">
        <v>22</v>
      </c>
      <c r="AF43" s="67">
        <v>22</v>
      </c>
      <c r="AG43" s="68">
        <v>22.1</v>
      </c>
      <c r="AH43" s="48">
        <f t="shared" si="2"/>
        <v>22.5</v>
      </c>
      <c r="AI43" s="49">
        <f t="shared" si="3"/>
        <v>22</v>
      </c>
      <c r="AK43" s="50"/>
    </row>
    <row r="44" spans="1:88" ht="15.75" thickBot="1" x14ac:dyDescent="0.3">
      <c r="A44" s="69" t="s">
        <v>52</v>
      </c>
      <c r="B44" s="61">
        <f t="shared" ref="B44:AG44" si="6">SUM(B41:B43)</f>
        <v>82</v>
      </c>
      <c r="C44" s="61">
        <f t="shared" si="6"/>
        <v>82</v>
      </c>
      <c r="D44" s="61">
        <f t="shared" si="6"/>
        <v>82</v>
      </c>
      <c r="E44" s="61">
        <f t="shared" si="6"/>
        <v>82.5</v>
      </c>
      <c r="F44" s="61">
        <f t="shared" si="6"/>
        <v>82.5</v>
      </c>
      <c r="G44" s="61">
        <f t="shared" si="6"/>
        <v>82.4</v>
      </c>
      <c r="H44" s="61">
        <f t="shared" si="6"/>
        <v>82.5</v>
      </c>
      <c r="I44" s="61">
        <f t="shared" si="6"/>
        <v>82.4</v>
      </c>
      <c r="J44" s="61">
        <f t="shared" si="6"/>
        <v>82.4</v>
      </c>
      <c r="K44" s="61">
        <f t="shared" si="6"/>
        <v>82.5</v>
      </c>
      <c r="L44" s="61">
        <f t="shared" si="6"/>
        <v>82.5</v>
      </c>
      <c r="M44" s="61">
        <f t="shared" si="6"/>
        <v>82.5</v>
      </c>
      <c r="N44" s="61">
        <f t="shared" si="6"/>
        <v>82.4</v>
      </c>
      <c r="O44" s="61">
        <f t="shared" si="6"/>
        <v>82.4</v>
      </c>
      <c r="P44" s="61">
        <f t="shared" si="6"/>
        <v>82.4</v>
      </c>
      <c r="Q44" s="61">
        <f t="shared" si="6"/>
        <v>82.4</v>
      </c>
      <c r="R44" s="61">
        <f t="shared" si="6"/>
        <v>82.4</v>
      </c>
      <c r="S44" s="61">
        <f t="shared" si="6"/>
        <v>82.4</v>
      </c>
      <c r="T44" s="61">
        <f t="shared" si="6"/>
        <v>82.4</v>
      </c>
      <c r="U44" s="61">
        <f t="shared" si="6"/>
        <v>82.4</v>
      </c>
      <c r="V44" s="61">
        <f t="shared" si="6"/>
        <v>82.5</v>
      </c>
      <c r="W44" s="61">
        <f t="shared" si="6"/>
        <v>82.5</v>
      </c>
      <c r="X44" s="61">
        <f t="shared" si="6"/>
        <v>82.5</v>
      </c>
      <c r="Y44" s="61">
        <f t="shared" si="6"/>
        <v>82.5</v>
      </c>
      <c r="Z44" s="61">
        <f t="shared" si="6"/>
        <v>82.5</v>
      </c>
      <c r="AA44" s="61">
        <f t="shared" si="6"/>
        <v>82.5</v>
      </c>
      <c r="AB44" s="61">
        <f t="shared" si="6"/>
        <v>82</v>
      </c>
      <c r="AC44" s="61">
        <f t="shared" si="6"/>
        <v>82</v>
      </c>
      <c r="AD44" s="61">
        <f t="shared" si="6"/>
        <v>82</v>
      </c>
      <c r="AE44" s="61">
        <f t="shared" si="6"/>
        <v>82</v>
      </c>
      <c r="AF44" s="61">
        <f t="shared" si="6"/>
        <v>82</v>
      </c>
      <c r="AG44" s="62">
        <f t="shared" si="6"/>
        <v>538.1</v>
      </c>
      <c r="AH44" s="48">
        <f t="shared" si="2"/>
        <v>82.5</v>
      </c>
      <c r="AI44" s="49">
        <f t="shared" si="3"/>
        <v>82</v>
      </c>
      <c r="AK44" s="50"/>
    </row>
    <row r="45" spans="1:88" x14ac:dyDescent="0.25">
      <c r="A45" s="44" t="s">
        <v>53</v>
      </c>
      <c r="B45" s="45">
        <v>92</v>
      </c>
      <c r="C45" s="45">
        <v>92</v>
      </c>
      <c r="D45" s="45">
        <v>92</v>
      </c>
      <c r="E45" s="45">
        <v>90.8</v>
      </c>
      <c r="F45" s="45">
        <v>90.8</v>
      </c>
      <c r="G45" s="45">
        <v>120</v>
      </c>
      <c r="H45" s="45">
        <v>131</v>
      </c>
      <c r="I45" s="45">
        <v>140.30000000000001</v>
      </c>
      <c r="J45" s="45">
        <v>140.30000000000001</v>
      </c>
      <c r="K45" s="45">
        <v>140.30000000000001</v>
      </c>
      <c r="L45" s="45">
        <v>140.30000000000001</v>
      </c>
      <c r="M45" s="45">
        <v>143.6</v>
      </c>
      <c r="N45" s="45">
        <v>143.4</v>
      </c>
      <c r="O45" s="45">
        <v>143.5</v>
      </c>
      <c r="P45" s="45">
        <v>133</v>
      </c>
      <c r="Q45" s="45">
        <v>133</v>
      </c>
      <c r="R45" s="45">
        <v>133</v>
      </c>
      <c r="S45" s="45">
        <v>141</v>
      </c>
      <c r="T45" s="45">
        <v>144</v>
      </c>
      <c r="U45" s="45">
        <v>143.4</v>
      </c>
      <c r="V45" s="45">
        <v>143.4</v>
      </c>
      <c r="W45" s="45">
        <v>143.4</v>
      </c>
      <c r="X45" s="45">
        <v>143.4</v>
      </c>
      <c r="Y45" s="45">
        <v>143.4</v>
      </c>
      <c r="Z45" s="45">
        <v>143.30000000000001</v>
      </c>
      <c r="AA45" s="45">
        <v>143.30000000000001</v>
      </c>
      <c r="AB45" s="45">
        <v>143.5</v>
      </c>
      <c r="AC45" s="45">
        <v>143.5</v>
      </c>
      <c r="AD45" s="45">
        <v>143.5</v>
      </c>
      <c r="AE45" s="45">
        <v>130</v>
      </c>
      <c r="AF45" s="45">
        <v>111</v>
      </c>
      <c r="AG45" s="52">
        <v>144</v>
      </c>
      <c r="AH45" s="48">
        <f t="shared" si="2"/>
        <v>144</v>
      </c>
      <c r="AI45" s="49">
        <f t="shared" si="3"/>
        <v>90.8</v>
      </c>
      <c r="AK45" s="50"/>
    </row>
    <row r="46" spans="1:88" x14ac:dyDescent="0.25">
      <c r="A46" s="54" t="s">
        <v>54</v>
      </c>
      <c r="B46" s="65">
        <v>50</v>
      </c>
      <c r="C46" s="65">
        <v>50</v>
      </c>
      <c r="D46" s="65">
        <v>50</v>
      </c>
      <c r="E46" s="65">
        <v>53.2</v>
      </c>
      <c r="F46" s="65">
        <v>53.2</v>
      </c>
      <c r="G46" s="65">
        <v>56.2</v>
      </c>
      <c r="H46" s="65">
        <v>56</v>
      </c>
      <c r="I46" s="65">
        <v>73</v>
      </c>
      <c r="J46" s="65">
        <v>74</v>
      </c>
      <c r="K46" s="65">
        <v>74</v>
      </c>
      <c r="L46" s="65">
        <v>74</v>
      </c>
      <c r="M46" s="65">
        <v>72.400000000000006</v>
      </c>
      <c r="N46" s="45">
        <v>71.7</v>
      </c>
      <c r="O46" s="45">
        <v>72.8</v>
      </c>
      <c r="P46" s="45">
        <v>72.8</v>
      </c>
      <c r="Q46" s="45">
        <v>72.8</v>
      </c>
      <c r="R46" s="45">
        <v>72.8</v>
      </c>
      <c r="S46" s="65">
        <v>70</v>
      </c>
      <c r="T46" s="65">
        <v>70</v>
      </c>
      <c r="U46" s="65">
        <v>72.2</v>
      </c>
      <c r="V46" s="65">
        <v>71.8</v>
      </c>
      <c r="W46" s="65">
        <v>71.599999999999994</v>
      </c>
      <c r="X46" s="65">
        <v>72.900000000000006</v>
      </c>
      <c r="Y46" s="65">
        <v>72.900000000000006</v>
      </c>
      <c r="Z46" s="65">
        <v>72.400000000000006</v>
      </c>
      <c r="AA46" s="65">
        <v>72.400000000000006</v>
      </c>
      <c r="AB46" s="65">
        <v>72.2</v>
      </c>
      <c r="AC46" s="65">
        <v>72.2</v>
      </c>
      <c r="AD46" s="65">
        <v>72</v>
      </c>
      <c r="AE46" s="65">
        <v>61</v>
      </c>
      <c r="AF46" s="65">
        <v>51.8</v>
      </c>
      <c r="AG46" s="55">
        <v>70</v>
      </c>
      <c r="AH46" s="48">
        <f t="shared" si="2"/>
        <v>74</v>
      </c>
      <c r="AI46" s="49">
        <f t="shared" si="3"/>
        <v>50</v>
      </c>
      <c r="AK46" s="50"/>
    </row>
    <row r="47" spans="1:88" x14ac:dyDescent="0.25">
      <c r="A47" s="54" t="s">
        <v>55</v>
      </c>
      <c r="B47" s="65">
        <v>49</v>
      </c>
      <c r="C47" s="65">
        <v>41</v>
      </c>
      <c r="D47" s="65">
        <v>34.1</v>
      </c>
      <c r="E47" s="65">
        <v>33.5</v>
      </c>
      <c r="F47" s="65">
        <v>33.5</v>
      </c>
      <c r="G47" s="65">
        <v>46.8</v>
      </c>
      <c r="H47" s="65">
        <v>55.1</v>
      </c>
      <c r="I47" s="65">
        <v>67.3</v>
      </c>
      <c r="J47" s="65">
        <v>70.5</v>
      </c>
      <c r="K47" s="65">
        <v>70.5</v>
      </c>
      <c r="L47" s="65">
        <v>70.5</v>
      </c>
      <c r="M47" s="65">
        <v>70.5</v>
      </c>
      <c r="N47" s="45">
        <v>70.8</v>
      </c>
      <c r="O47" s="45">
        <v>70.599999999999994</v>
      </c>
      <c r="P47" s="45">
        <v>70.599999999999994</v>
      </c>
      <c r="Q47" s="45">
        <v>60</v>
      </c>
      <c r="R47" s="45">
        <v>60</v>
      </c>
      <c r="S47" s="65">
        <v>70</v>
      </c>
      <c r="T47" s="65">
        <v>70</v>
      </c>
      <c r="U47" s="65">
        <v>71.099999999999994</v>
      </c>
      <c r="V47" s="65">
        <v>71.900000000000006</v>
      </c>
      <c r="W47" s="65">
        <v>71.400000000000006</v>
      </c>
      <c r="X47" s="65">
        <v>70.3</v>
      </c>
      <c r="Y47" s="65">
        <v>70.3</v>
      </c>
      <c r="Z47" s="65">
        <v>70.7</v>
      </c>
      <c r="AA47" s="65">
        <v>70.7</v>
      </c>
      <c r="AB47" s="65">
        <v>70.900000000000006</v>
      </c>
      <c r="AC47" s="65">
        <v>70.599999999999994</v>
      </c>
      <c r="AD47" s="65">
        <v>71.2</v>
      </c>
      <c r="AE47" s="65">
        <v>61</v>
      </c>
      <c r="AF47" s="65">
        <v>61.7</v>
      </c>
      <c r="AG47" s="55">
        <v>69</v>
      </c>
      <c r="AH47" s="48">
        <f t="shared" si="2"/>
        <v>71.900000000000006</v>
      </c>
      <c r="AI47" s="49">
        <f t="shared" si="3"/>
        <v>33.5</v>
      </c>
      <c r="AK47" s="50"/>
    </row>
    <row r="48" spans="1:88" x14ac:dyDescent="0.25">
      <c r="A48" s="54" t="s">
        <v>56</v>
      </c>
      <c r="B48" s="57">
        <v>30.2</v>
      </c>
      <c r="C48" s="57">
        <v>30.2</v>
      </c>
      <c r="D48" s="57">
        <v>30.2</v>
      </c>
      <c r="E48" s="57">
        <v>30.5</v>
      </c>
      <c r="F48" s="57">
        <v>25</v>
      </c>
      <c r="G48" s="57">
        <v>40</v>
      </c>
      <c r="H48" s="57">
        <v>60</v>
      </c>
      <c r="I48" s="57">
        <v>60.2</v>
      </c>
      <c r="J48" s="57">
        <v>60.2</v>
      </c>
      <c r="K48" s="57">
        <v>60.2</v>
      </c>
      <c r="L48" s="57">
        <v>60.2</v>
      </c>
      <c r="M48" s="57">
        <v>60.9</v>
      </c>
      <c r="N48" s="45">
        <v>60.9</v>
      </c>
      <c r="O48" s="45">
        <v>60.9</v>
      </c>
      <c r="P48" s="45">
        <v>60.9</v>
      </c>
      <c r="Q48" s="45">
        <v>60.9</v>
      </c>
      <c r="R48" s="45">
        <v>60.9</v>
      </c>
      <c r="S48" s="45">
        <v>51</v>
      </c>
      <c r="T48" s="45">
        <v>51</v>
      </c>
      <c r="U48" s="45">
        <v>60.4</v>
      </c>
      <c r="V48" s="45">
        <v>60.4</v>
      </c>
      <c r="W48" s="65">
        <v>60.7</v>
      </c>
      <c r="X48" s="65">
        <v>60.7</v>
      </c>
      <c r="Y48" s="65">
        <v>60.7</v>
      </c>
      <c r="Z48" s="65">
        <v>60.7</v>
      </c>
      <c r="AA48" s="65">
        <v>60.7</v>
      </c>
      <c r="AB48" s="57">
        <v>60.7</v>
      </c>
      <c r="AC48" s="57">
        <v>60.7</v>
      </c>
      <c r="AD48" s="57">
        <v>60.7</v>
      </c>
      <c r="AE48" s="57">
        <v>52</v>
      </c>
      <c r="AF48" s="57">
        <v>30</v>
      </c>
      <c r="AG48" s="55">
        <v>60</v>
      </c>
      <c r="AH48" s="48">
        <f t="shared" si="2"/>
        <v>60.9</v>
      </c>
      <c r="AI48" s="49">
        <f t="shared" si="3"/>
        <v>25</v>
      </c>
      <c r="AK48" s="50"/>
    </row>
    <row r="49" spans="1:41" x14ac:dyDescent="0.25">
      <c r="A49" s="54" t="s">
        <v>57</v>
      </c>
      <c r="B49" s="57">
        <v>13.3</v>
      </c>
      <c r="C49" s="57">
        <v>13.3</v>
      </c>
      <c r="D49" s="57">
        <v>13.3</v>
      </c>
      <c r="E49" s="57">
        <v>13.7</v>
      </c>
      <c r="F49" s="57">
        <v>13.7</v>
      </c>
      <c r="G49" s="57">
        <v>13.7</v>
      </c>
      <c r="H49" s="57">
        <v>13.7</v>
      </c>
      <c r="I49" s="57">
        <v>13.7</v>
      </c>
      <c r="J49" s="57">
        <v>13.7</v>
      </c>
      <c r="K49" s="57">
        <v>13.7</v>
      </c>
      <c r="L49" s="57">
        <v>26</v>
      </c>
      <c r="M49" s="57">
        <v>26</v>
      </c>
      <c r="N49" s="45">
        <v>29</v>
      </c>
      <c r="O49" s="45">
        <v>26</v>
      </c>
      <c r="P49" s="45">
        <v>26</v>
      </c>
      <c r="Q49" s="45">
        <v>26</v>
      </c>
      <c r="R49" s="45">
        <v>26</v>
      </c>
      <c r="S49" s="45">
        <v>25.7</v>
      </c>
      <c r="T49" s="45">
        <v>25.7</v>
      </c>
      <c r="U49" s="45">
        <v>29.2</v>
      </c>
      <c r="V49" s="45">
        <v>29.2</v>
      </c>
      <c r="W49" s="65">
        <v>25.3</v>
      </c>
      <c r="X49" s="65">
        <v>25.1</v>
      </c>
      <c r="Y49" s="65">
        <v>25.1</v>
      </c>
      <c r="Z49" s="65">
        <v>15</v>
      </c>
      <c r="AA49" s="65">
        <v>15</v>
      </c>
      <c r="AB49" s="57">
        <v>15</v>
      </c>
      <c r="AC49" s="57">
        <v>15</v>
      </c>
      <c r="AD49" s="57">
        <v>15</v>
      </c>
      <c r="AE49" s="57">
        <v>15</v>
      </c>
      <c r="AF49" s="57">
        <v>15</v>
      </c>
      <c r="AG49" s="55">
        <v>30</v>
      </c>
      <c r="AH49" s="48">
        <f t="shared" si="2"/>
        <v>29.2</v>
      </c>
      <c r="AI49" s="49">
        <f t="shared" si="3"/>
        <v>13.3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5</v>
      </c>
      <c r="O50" s="65">
        <v>5</v>
      </c>
      <c r="P50" s="65">
        <v>5</v>
      </c>
      <c r="Q50" s="65">
        <v>5</v>
      </c>
      <c r="R50" s="65">
        <v>5</v>
      </c>
      <c r="S50" s="65">
        <v>5</v>
      </c>
      <c r="T50" s="65">
        <v>5</v>
      </c>
      <c r="U50" s="65">
        <v>5</v>
      </c>
      <c r="V50" s="65">
        <v>5</v>
      </c>
      <c r="W50" s="65">
        <v>5</v>
      </c>
      <c r="X50" s="45">
        <v>0</v>
      </c>
      <c r="Y50" s="45">
        <v>0</v>
      </c>
      <c r="Z50" s="45">
        <v>0</v>
      </c>
      <c r="AA50" s="4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  <c r="AG50" s="55">
        <v>25</v>
      </c>
      <c r="AH50" s="48">
        <f t="shared" si="2"/>
        <v>5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14.7</v>
      </c>
      <c r="C51" s="65">
        <v>14.7</v>
      </c>
      <c r="D51" s="65">
        <v>14.7</v>
      </c>
      <c r="E51" s="65">
        <v>14.7</v>
      </c>
      <c r="F51" s="65">
        <v>14.7</v>
      </c>
      <c r="G51" s="65">
        <v>14.7</v>
      </c>
      <c r="H51" s="65">
        <v>14.7</v>
      </c>
      <c r="I51" s="65">
        <v>14.7</v>
      </c>
      <c r="J51" s="65">
        <v>14.7</v>
      </c>
      <c r="K51" s="65">
        <v>14.7</v>
      </c>
      <c r="L51" s="65">
        <v>14.7</v>
      </c>
      <c r="M51" s="65">
        <v>14.7</v>
      </c>
      <c r="N51" s="65">
        <v>14.6</v>
      </c>
      <c r="O51" s="65">
        <v>7.1</v>
      </c>
      <c r="P51" s="65">
        <v>7.1</v>
      </c>
      <c r="Q51" s="65">
        <v>7.1</v>
      </c>
      <c r="R51" s="65">
        <v>7.1</v>
      </c>
      <c r="S51" s="65">
        <v>7.1</v>
      </c>
      <c r="T51" s="65">
        <v>7.1</v>
      </c>
      <c r="U51" s="65">
        <v>7.1</v>
      </c>
      <c r="V51" s="65">
        <v>7.1</v>
      </c>
      <c r="W51" s="65">
        <v>7.1</v>
      </c>
      <c r="X51" s="65">
        <v>14.3</v>
      </c>
      <c r="Y51" s="65">
        <v>14.3</v>
      </c>
      <c r="Z51" s="65">
        <v>14.3</v>
      </c>
      <c r="AA51" s="65">
        <v>14.3</v>
      </c>
      <c r="AB51" s="65">
        <v>14.3</v>
      </c>
      <c r="AC51" s="65">
        <v>14.3</v>
      </c>
      <c r="AD51" s="65">
        <v>14.3</v>
      </c>
      <c r="AE51" s="65">
        <v>14.3</v>
      </c>
      <c r="AF51" s="65">
        <v>14.3</v>
      </c>
      <c r="AG51" s="55">
        <v>24</v>
      </c>
      <c r="AH51" s="48">
        <f t="shared" si="2"/>
        <v>14.7</v>
      </c>
      <c r="AI51" s="49">
        <f t="shared" si="3"/>
        <v>7.1</v>
      </c>
      <c r="AK51" s="50"/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11.6</v>
      </c>
      <c r="C53" s="65">
        <v>11.6</v>
      </c>
      <c r="D53" s="65">
        <v>11.6</v>
      </c>
      <c r="E53" s="65">
        <v>11.6</v>
      </c>
      <c r="F53" s="65">
        <v>11.6</v>
      </c>
      <c r="G53" s="65">
        <v>11.6</v>
      </c>
      <c r="H53" s="65">
        <v>11.6</v>
      </c>
      <c r="I53" s="65">
        <v>11.6</v>
      </c>
      <c r="J53" s="65">
        <v>11.6</v>
      </c>
      <c r="K53" s="65">
        <v>11.6</v>
      </c>
      <c r="L53" s="65">
        <v>11.6</v>
      </c>
      <c r="M53" s="65">
        <v>11.6</v>
      </c>
      <c r="N53" s="65">
        <v>11.8</v>
      </c>
      <c r="O53" s="65">
        <v>12</v>
      </c>
      <c r="P53" s="65">
        <v>12</v>
      </c>
      <c r="Q53" s="65">
        <v>12</v>
      </c>
      <c r="R53" s="65">
        <v>12</v>
      </c>
      <c r="S53" s="65">
        <v>12</v>
      </c>
      <c r="T53" s="65">
        <v>12</v>
      </c>
      <c r="U53" s="65">
        <v>12</v>
      </c>
      <c r="V53" s="65">
        <v>12</v>
      </c>
      <c r="W53" s="65">
        <v>12</v>
      </c>
      <c r="X53" s="65">
        <v>12</v>
      </c>
      <c r="Y53" s="65">
        <v>12</v>
      </c>
      <c r="Z53" s="65">
        <v>12</v>
      </c>
      <c r="AA53" s="65">
        <v>12</v>
      </c>
      <c r="AB53" s="65">
        <v>11.8</v>
      </c>
      <c r="AC53" s="65">
        <v>11.8</v>
      </c>
      <c r="AD53" s="65">
        <v>11.8</v>
      </c>
      <c r="AE53" s="65">
        <v>11.8</v>
      </c>
      <c r="AF53" s="65">
        <v>11.8</v>
      </c>
      <c r="AG53" s="55">
        <v>14.1</v>
      </c>
      <c r="AH53" s="48">
        <f t="shared" si="2"/>
        <v>12</v>
      </c>
      <c r="AI53" s="49">
        <f t="shared" si="3"/>
        <v>11.6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13.7</v>
      </c>
      <c r="C54" s="65">
        <v>13.7</v>
      </c>
      <c r="D54" s="65">
        <v>13.7</v>
      </c>
      <c r="E54" s="65">
        <v>13.7</v>
      </c>
      <c r="F54" s="65">
        <v>13.7</v>
      </c>
      <c r="G54" s="65">
        <v>13.7</v>
      </c>
      <c r="H54" s="65">
        <v>13.7</v>
      </c>
      <c r="I54" s="65">
        <v>13.7</v>
      </c>
      <c r="J54" s="65">
        <v>13.7</v>
      </c>
      <c r="K54" s="65">
        <v>13.7</v>
      </c>
      <c r="L54" s="65">
        <v>13.7</v>
      </c>
      <c r="M54" s="65">
        <v>13.7</v>
      </c>
      <c r="N54" s="65">
        <v>13.4</v>
      </c>
      <c r="O54" s="65">
        <v>13.4</v>
      </c>
      <c r="P54" s="65">
        <v>13.4</v>
      </c>
      <c r="Q54" s="65">
        <v>13.4</v>
      </c>
      <c r="R54" s="65">
        <v>13.4</v>
      </c>
      <c r="S54" s="65">
        <v>13.4</v>
      </c>
      <c r="T54" s="65">
        <v>13.4</v>
      </c>
      <c r="U54" s="65">
        <v>13.4</v>
      </c>
      <c r="V54" s="65">
        <v>13.4</v>
      </c>
      <c r="W54" s="65">
        <v>13.4</v>
      </c>
      <c r="X54" s="65">
        <v>0</v>
      </c>
      <c r="Y54" s="65">
        <v>0</v>
      </c>
      <c r="Z54" s="65">
        <v>7.2</v>
      </c>
      <c r="AA54" s="65">
        <v>7.2</v>
      </c>
      <c r="AB54" s="65">
        <v>7.3</v>
      </c>
      <c r="AC54" s="65">
        <v>7.3</v>
      </c>
      <c r="AD54" s="65">
        <v>7.3</v>
      </c>
      <c r="AE54" s="65">
        <v>10</v>
      </c>
      <c r="AF54" s="65">
        <v>10</v>
      </c>
      <c r="AG54" s="55">
        <v>14</v>
      </c>
      <c r="AH54" s="48">
        <f t="shared" si="2"/>
        <v>13.7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9</v>
      </c>
      <c r="C55" s="65">
        <v>9</v>
      </c>
      <c r="D55" s="65">
        <v>9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9</v>
      </c>
      <c r="S55" s="65">
        <v>9</v>
      </c>
      <c r="T55" s="65">
        <v>9</v>
      </c>
      <c r="U55" s="65">
        <v>9</v>
      </c>
      <c r="V55" s="65">
        <v>9</v>
      </c>
      <c r="W55" s="65">
        <v>9</v>
      </c>
      <c r="X55" s="65">
        <v>9</v>
      </c>
      <c r="Y55" s="65">
        <v>9</v>
      </c>
      <c r="Z55" s="65">
        <v>9</v>
      </c>
      <c r="AA55" s="65">
        <v>9</v>
      </c>
      <c r="AB55" s="65">
        <v>9</v>
      </c>
      <c r="AC55" s="65">
        <v>9</v>
      </c>
      <c r="AD55" s="65">
        <v>9</v>
      </c>
      <c r="AE55" s="65">
        <v>9</v>
      </c>
      <c r="AF55" s="65">
        <v>9</v>
      </c>
      <c r="AG55" s="55">
        <v>10.050000000000001</v>
      </c>
      <c r="AH55" s="48">
        <f t="shared" si="2"/>
        <v>9</v>
      </c>
      <c r="AI55" s="49">
        <f t="shared" si="3"/>
        <v>9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:AG58" si="7">SUM(B45:B57)</f>
        <v>293.24</v>
      </c>
      <c r="C58" s="61">
        <f t="shared" si="7"/>
        <v>285.24</v>
      </c>
      <c r="D58" s="61">
        <f t="shared" si="7"/>
        <v>278.33999999999997</v>
      </c>
      <c r="E58" s="61">
        <f t="shared" si="7"/>
        <v>280.44</v>
      </c>
      <c r="F58" s="61">
        <f t="shared" si="7"/>
        <v>274.94</v>
      </c>
      <c r="G58" s="61">
        <f t="shared" si="7"/>
        <v>335.44</v>
      </c>
      <c r="H58" s="61">
        <f t="shared" si="7"/>
        <v>374.54</v>
      </c>
      <c r="I58" s="61">
        <f t="shared" si="7"/>
        <v>413.24</v>
      </c>
      <c r="J58" s="61">
        <f t="shared" si="7"/>
        <v>417.44</v>
      </c>
      <c r="K58" s="61">
        <f t="shared" si="7"/>
        <v>417.44</v>
      </c>
      <c r="L58" s="61">
        <f t="shared" si="7"/>
        <v>429.74</v>
      </c>
      <c r="M58" s="61">
        <f t="shared" si="7"/>
        <v>432.14</v>
      </c>
      <c r="N58" s="61">
        <f t="shared" si="7"/>
        <v>439.34000000000003</v>
      </c>
      <c r="O58" s="61">
        <f t="shared" si="7"/>
        <v>430.03999999999996</v>
      </c>
      <c r="P58" s="61">
        <f t="shared" si="7"/>
        <v>419.53999999999996</v>
      </c>
      <c r="Q58" s="61">
        <f t="shared" si="7"/>
        <v>408.94</v>
      </c>
      <c r="R58" s="61">
        <f t="shared" si="7"/>
        <v>408.94</v>
      </c>
      <c r="S58" s="61">
        <f t="shared" si="7"/>
        <v>413.94</v>
      </c>
      <c r="T58" s="61">
        <f t="shared" si="7"/>
        <v>416.94</v>
      </c>
      <c r="U58" s="61">
        <f t="shared" si="7"/>
        <v>432.54</v>
      </c>
      <c r="V58" s="61">
        <f t="shared" si="7"/>
        <v>432.94</v>
      </c>
      <c r="W58" s="61">
        <f t="shared" si="7"/>
        <v>428.64</v>
      </c>
      <c r="X58" s="61">
        <f t="shared" si="7"/>
        <v>417.44000000000005</v>
      </c>
      <c r="Y58" s="61">
        <f t="shared" si="7"/>
        <v>417.44000000000005</v>
      </c>
      <c r="Z58" s="61">
        <f t="shared" si="7"/>
        <v>414.34000000000003</v>
      </c>
      <c r="AA58" s="61">
        <f t="shared" si="7"/>
        <v>414.34000000000003</v>
      </c>
      <c r="AB58" s="61">
        <f t="shared" si="7"/>
        <v>414.44000000000005</v>
      </c>
      <c r="AC58" s="61">
        <f t="shared" si="7"/>
        <v>414.14</v>
      </c>
      <c r="AD58" s="61">
        <f t="shared" si="7"/>
        <v>414.54</v>
      </c>
      <c r="AE58" s="61">
        <f t="shared" si="7"/>
        <v>373.84000000000003</v>
      </c>
      <c r="AF58" s="61">
        <f t="shared" si="7"/>
        <v>324.34000000000003</v>
      </c>
      <c r="AG58" s="62">
        <f t="shared" si="7"/>
        <v>489.91</v>
      </c>
      <c r="AH58" s="48">
        <f t="shared" si="2"/>
        <v>439.34000000000003</v>
      </c>
      <c r="AI58" s="49">
        <f t="shared" si="3"/>
        <v>274.94</v>
      </c>
      <c r="AK58" s="50"/>
    </row>
    <row r="59" spans="1:41" x14ac:dyDescent="0.25">
      <c r="A59" s="44" t="s">
        <v>67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>
        <v>60</v>
      </c>
      <c r="Y59" s="45">
        <v>14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52">
        <v>60</v>
      </c>
      <c r="AH59" s="48">
        <f t="shared" si="2"/>
        <v>60</v>
      </c>
      <c r="AI59" s="49">
        <f t="shared" si="3"/>
        <v>0</v>
      </c>
      <c r="AK59" s="50"/>
    </row>
    <row r="60" spans="1:41" x14ac:dyDescent="0.25">
      <c r="A60" s="54" t="s">
        <v>68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>
        <v>4</v>
      </c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>
        <v>22.2</v>
      </c>
      <c r="Y60" s="65">
        <v>14.7</v>
      </c>
      <c r="Z60" s="65">
        <v>5.7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32</v>
      </c>
      <c r="AH60" s="48">
        <f t="shared" si="2"/>
        <v>22.2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>
        <v>8.1</v>
      </c>
      <c r="Y61" s="67">
        <v>5.4</v>
      </c>
      <c r="Z61" s="67">
        <v>2.1</v>
      </c>
      <c r="AA61" s="67">
        <v>0</v>
      </c>
      <c r="AB61" s="67">
        <v>0</v>
      </c>
      <c r="AC61" s="67">
        <v>0</v>
      </c>
      <c r="AD61" s="67">
        <v>0</v>
      </c>
      <c r="AE61" s="67">
        <v>0</v>
      </c>
      <c r="AF61" s="67">
        <v>0</v>
      </c>
      <c r="AG61" s="68">
        <v>14</v>
      </c>
      <c r="AH61" s="48">
        <f t="shared" si="2"/>
        <v>8.1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AG62" si="8">SUM(B59:B61)</f>
        <v>0</v>
      </c>
      <c r="C62" s="61">
        <f t="shared" si="8"/>
        <v>0</v>
      </c>
      <c r="D62" s="61">
        <f t="shared" si="8"/>
        <v>0</v>
      </c>
      <c r="E62" s="61">
        <f t="shared" si="8"/>
        <v>0</v>
      </c>
      <c r="F62" s="61">
        <f t="shared" si="8"/>
        <v>0</v>
      </c>
      <c r="G62" s="61">
        <f t="shared" si="8"/>
        <v>0</v>
      </c>
      <c r="H62" s="61">
        <f t="shared" si="8"/>
        <v>0</v>
      </c>
      <c r="I62" s="61">
        <f t="shared" si="8"/>
        <v>0</v>
      </c>
      <c r="J62" s="61">
        <f t="shared" si="8"/>
        <v>0</v>
      </c>
      <c r="K62" s="61">
        <f t="shared" si="8"/>
        <v>0</v>
      </c>
      <c r="L62" s="61">
        <f t="shared" si="8"/>
        <v>4</v>
      </c>
      <c r="M62" s="61">
        <f t="shared" si="8"/>
        <v>0</v>
      </c>
      <c r="N62" s="61">
        <f t="shared" si="8"/>
        <v>0</v>
      </c>
      <c r="O62" s="61">
        <f t="shared" si="8"/>
        <v>0</v>
      </c>
      <c r="P62" s="61">
        <f t="shared" si="8"/>
        <v>0</v>
      </c>
      <c r="Q62" s="61">
        <f t="shared" si="8"/>
        <v>0</v>
      </c>
      <c r="R62" s="61">
        <f t="shared" si="8"/>
        <v>0</v>
      </c>
      <c r="S62" s="61">
        <f t="shared" si="8"/>
        <v>0</v>
      </c>
      <c r="T62" s="61">
        <f t="shared" si="8"/>
        <v>0</v>
      </c>
      <c r="U62" s="61">
        <f t="shared" si="8"/>
        <v>0</v>
      </c>
      <c r="V62" s="61">
        <f t="shared" si="8"/>
        <v>0</v>
      </c>
      <c r="W62" s="61">
        <f t="shared" si="8"/>
        <v>0</v>
      </c>
      <c r="X62" s="61">
        <f t="shared" si="8"/>
        <v>90.3</v>
      </c>
      <c r="Y62" s="61">
        <f t="shared" si="8"/>
        <v>34.1</v>
      </c>
      <c r="Z62" s="61">
        <f t="shared" si="8"/>
        <v>7.8000000000000007</v>
      </c>
      <c r="AA62" s="61">
        <f t="shared" si="8"/>
        <v>0</v>
      </c>
      <c r="AB62" s="61">
        <f t="shared" si="8"/>
        <v>0</v>
      </c>
      <c r="AC62" s="61">
        <f t="shared" si="8"/>
        <v>0</v>
      </c>
      <c r="AD62" s="61">
        <f t="shared" si="8"/>
        <v>0</v>
      </c>
      <c r="AE62" s="61">
        <f t="shared" si="8"/>
        <v>0</v>
      </c>
      <c r="AF62" s="61">
        <f t="shared" si="8"/>
        <v>0</v>
      </c>
      <c r="AG62" s="62">
        <f t="shared" si="8"/>
        <v>106</v>
      </c>
      <c r="AH62" s="48">
        <f t="shared" si="2"/>
        <v>90.3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54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54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-147</v>
      </c>
      <c r="C65" s="65">
        <v>-149</v>
      </c>
      <c r="D65" s="65">
        <v>-156</v>
      </c>
      <c r="E65" s="65">
        <v>-170</v>
      </c>
      <c r="F65" s="65">
        <v>-171</v>
      </c>
      <c r="G65" s="65">
        <v>-158.4</v>
      </c>
      <c r="H65" s="65">
        <v>-152</v>
      </c>
      <c r="I65" s="65">
        <v>-162.30000000000001</v>
      </c>
      <c r="J65" s="65">
        <v>-110</v>
      </c>
      <c r="K65" s="65">
        <v>-99.1</v>
      </c>
      <c r="L65" s="65">
        <v>-83</v>
      </c>
      <c r="M65" s="65">
        <v>-77.8</v>
      </c>
      <c r="N65" s="65">
        <v>-104.2</v>
      </c>
      <c r="O65" s="65">
        <v>-135</v>
      </c>
      <c r="P65" s="65">
        <v>-130</v>
      </c>
      <c r="Q65" s="65">
        <v>-144</v>
      </c>
      <c r="R65" s="65">
        <v>-126</v>
      </c>
      <c r="S65" s="65">
        <v>-132</v>
      </c>
      <c r="T65" s="65">
        <v>-114</v>
      </c>
      <c r="U65" s="65">
        <v>-81</v>
      </c>
      <c r="V65" s="65">
        <v>-85</v>
      </c>
      <c r="W65" s="65">
        <v>-20</v>
      </c>
      <c r="X65" s="65">
        <v>5.0999999999999996</v>
      </c>
      <c r="Y65" s="65">
        <v>20</v>
      </c>
      <c r="Z65" s="65">
        <v>-35</v>
      </c>
      <c r="AA65" s="65">
        <v>-60</v>
      </c>
      <c r="AB65" s="65">
        <v>-108</v>
      </c>
      <c r="AC65" s="65">
        <v>-114.9</v>
      </c>
      <c r="AD65" s="65">
        <v>-163.69999999999999</v>
      </c>
      <c r="AE65" s="65">
        <v>-142.4</v>
      </c>
      <c r="AF65" s="65">
        <v>-117</v>
      </c>
      <c r="AG65" s="75"/>
      <c r="AH65" s="48">
        <f t="shared" si="2"/>
        <v>20</v>
      </c>
      <c r="AI65" s="49">
        <f t="shared" si="3"/>
        <v>-171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76">
        <v>0</v>
      </c>
      <c r="P67" s="76">
        <v>0</v>
      </c>
      <c r="Q67" s="76">
        <v>0</v>
      </c>
      <c r="R67" s="76">
        <v>0</v>
      </c>
      <c r="S67" s="76">
        <v>0</v>
      </c>
      <c r="T67" s="76">
        <v>0</v>
      </c>
      <c r="U67" s="76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>
        <v>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6">
        <v>0</v>
      </c>
      <c r="P68" s="76">
        <v>0</v>
      </c>
      <c r="Q68" s="76">
        <v>0</v>
      </c>
      <c r="R68" s="76">
        <v>0</v>
      </c>
      <c r="S68" s="76">
        <v>0</v>
      </c>
      <c r="T68" s="76">
        <v>0</v>
      </c>
      <c r="U68" s="76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6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9">
        <v>0</v>
      </c>
      <c r="C72" s="79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6">
        <v>0</v>
      </c>
      <c r="P72" s="76">
        <v>0</v>
      </c>
      <c r="Q72" s="76">
        <v>0</v>
      </c>
      <c r="R72" s="76">
        <v>0</v>
      </c>
      <c r="S72" s="76">
        <v>0</v>
      </c>
      <c r="T72" s="76">
        <v>0</v>
      </c>
      <c r="U72" s="76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9">
        <v>0</v>
      </c>
      <c r="C73" s="79">
        <v>0</v>
      </c>
      <c r="D73" s="79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:AF74" si="9">SUMIF(B63:B73,"&gt;0")</f>
        <v>0</v>
      </c>
      <c r="C74" s="61">
        <f t="shared" si="9"/>
        <v>0</v>
      </c>
      <c r="D74" s="61">
        <f t="shared" si="9"/>
        <v>0</v>
      </c>
      <c r="E74" s="61">
        <f t="shared" si="9"/>
        <v>0</v>
      </c>
      <c r="F74" s="61">
        <f t="shared" si="9"/>
        <v>0</v>
      </c>
      <c r="G74" s="61">
        <f t="shared" si="9"/>
        <v>0</v>
      </c>
      <c r="H74" s="61">
        <f t="shared" si="9"/>
        <v>0</v>
      </c>
      <c r="I74" s="61">
        <f t="shared" si="9"/>
        <v>0</v>
      </c>
      <c r="J74" s="61">
        <f t="shared" si="9"/>
        <v>0</v>
      </c>
      <c r="K74" s="61">
        <f t="shared" si="9"/>
        <v>0</v>
      </c>
      <c r="L74" s="61">
        <f t="shared" si="9"/>
        <v>0</v>
      </c>
      <c r="M74" s="61">
        <f t="shared" si="9"/>
        <v>0</v>
      </c>
      <c r="N74" s="61">
        <f t="shared" si="9"/>
        <v>0</v>
      </c>
      <c r="O74" s="61">
        <f t="shared" si="9"/>
        <v>0</v>
      </c>
      <c r="P74" s="61">
        <f t="shared" si="9"/>
        <v>0</v>
      </c>
      <c r="Q74" s="61">
        <f t="shared" si="9"/>
        <v>0</v>
      </c>
      <c r="R74" s="61">
        <f t="shared" si="9"/>
        <v>0</v>
      </c>
      <c r="S74" s="61">
        <f t="shared" si="9"/>
        <v>0</v>
      </c>
      <c r="T74" s="61">
        <f t="shared" si="9"/>
        <v>0</v>
      </c>
      <c r="U74" s="61">
        <f t="shared" si="9"/>
        <v>0</v>
      </c>
      <c r="V74" s="61">
        <f t="shared" si="9"/>
        <v>0</v>
      </c>
      <c r="W74" s="61">
        <f t="shared" si="9"/>
        <v>0</v>
      </c>
      <c r="X74" s="61">
        <f t="shared" si="9"/>
        <v>59.1</v>
      </c>
      <c r="Y74" s="61">
        <f t="shared" si="9"/>
        <v>20</v>
      </c>
      <c r="Z74" s="61">
        <f t="shared" si="9"/>
        <v>0</v>
      </c>
      <c r="AA74" s="61">
        <f t="shared" si="9"/>
        <v>0</v>
      </c>
      <c r="AB74" s="61">
        <f t="shared" si="9"/>
        <v>0</v>
      </c>
      <c r="AC74" s="61">
        <f t="shared" si="9"/>
        <v>0</v>
      </c>
      <c r="AD74" s="61">
        <f t="shared" si="9"/>
        <v>0</v>
      </c>
      <c r="AE74" s="61">
        <f t="shared" si="9"/>
        <v>0</v>
      </c>
      <c r="AF74" s="61">
        <f t="shared" si="9"/>
        <v>0</v>
      </c>
      <c r="AG74" s="81">
        <f>SUM(AG63:AG73)</f>
        <v>0</v>
      </c>
      <c r="AH74" s="48">
        <f t="shared" si="2"/>
        <v>59.1</v>
      </c>
      <c r="AI74" s="49">
        <f t="shared" si="3"/>
        <v>0</v>
      </c>
      <c r="AK74" s="50"/>
    </row>
    <row r="75" spans="1:37" x14ac:dyDescent="0.25">
      <c r="A75" s="44" t="s">
        <v>83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5">
        <v>14.4</v>
      </c>
      <c r="AH76" s="48">
        <f t="shared" ref="AH76:AH109" si="10">MAX(B76:AF76)</f>
        <v>0</v>
      </c>
      <c r="AI76" s="49">
        <f t="shared" ref="AI76:AI109" si="11">MIN(B76:AF76)</f>
        <v>0</v>
      </c>
      <c r="AK76" s="50"/>
    </row>
    <row r="77" spans="1:37" ht="15.75" thickBot="1" x14ac:dyDescent="0.3">
      <c r="A77" s="78" t="s">
        <v>85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80">
        <v>2</v>
      </c>
      <c r="AH77" s="48">
        <f t="shared" si="10"/>
        <v>0</v>
      </c>
      <c r="AI77" s="49">
        <f t="shared" si="11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10"/>
        <v>0</v>
      </c>
      <c r="AI78" s="49">
        <f t="shared" si="11"/>
        <v>0</v>
      </c>
    </row>
    <row r="79" spans="1:37" ht="15.75" thickBot="1" x14ac:dyDescent="0.3">
      <c r="A79" s="74" t="s">
        <v>87</v>
      </c>
      <c r="B79" s="83">
        <f t="shared" ref="B79:AG79" si="12">B40+B44+B62+B58+B74+B78</f>
        <v>1044.74</v>
      </c>
      <c r="C79" s="83">
        <f t="shared" si="12"/>
        <v>1048.6399999999999</v>
      </c>
      <c r="D79" s="83">
        <f t="shared" si="12"/>
        <v>1041.74</v>
      </c>
      <c r="E79" s="83">
        <f t="shared" si="12"/>
        <v>1044.3399999999999</v>
      </c>
      <c r="F79" s="83">
        <f t="shared" si="12"/>
        <v>1038.8399999999999</v>
      </c>
      <c r="G79" s="83">
        <f t="shared" si="12"/>
        <v>1099.24</v>
      </c>
      <c r="H79" s="83">
        <f t="shared" si="12"/>
        <v>1138.44</v>
      </c>
      <c r="I79" s="83">
        <f t="shared" si="12"/>
        <v>1177.04</v>
      </c>
      <c r="J79" s="83">
        <f t="shared" si="12"/>
        <v>1252.04</v>
      </c>
      <c r="K79" s="83">
        <f t="shared" si="12"/>
        <v>1300.8399999999999</v>
      </c>
      <c r="L79" s="83">
        <f t="shared" si="12"/>
        <v>1343.74</v>
      </c>
      <c r="M79" s="83">
        <f t="shared" si="12"/>
        <v>1332.6399999999999</v>
      </c>
      <c r="N79" s="83">
        <f t="shared" si="12"/>
        <v>1313.1399999999999</v>
      </c>
      <c r="O79" s="83">
        <f t="shared" si="12"/>
        <v>1289.1399999999999</v>
      </c>
      <c r="P79" s="83">
        <f t="shared" si="12"/>
        <v>1274.54</v>
      </c>
      <c r="Q79" s="83">
        <f t="shared" si="12"/>
        <v>1262.4399999999998</v>
      </c>
      <c r="R79" s="83">
        <f t="shared" si="12"/>
        <v>1257.9399999999998</v>
      </c>
      <c r="S79" s="83">
        <f t="shared" si="12"/>
        <v>1249.1399999999999</v>
      </c>
      <c r="T79" s="83">
        <f t="shared" si="12"/>
        <v>1251.74</v>
      </c>
      <c r="U79" s="83">
        <f t="shared" si="12"/>
        <v>1268.24</v>
      </c>
      <c r="V79" s="83">
        <f t="shared" si="12"/>
        <v>1309.1400000000001</v>
      </c>
      <c r="W79" s="83">
        <f t="shared" si="12"/>
        <v>1340.94</v>
      </c>
      <c r="X79" s="83">
        <f t="shared" si="12"/>
        <v>1422.04</v>
      </c>
      <c r="Y79" s="83">
        <f t="shared" si="12"/>
        <v>1353.94</v>
      </c>
      <c r="Z79" s="83">
        <f t="shared" si="12"/>
        <v>1335.7399999999998</v>
      </c>
      <c r="AA79" s="83">
        <f t="shared" si="12"/>
        <v>1320.44</v>
      </c>
      <c r="AB79" s="83">
        <f t="shared" si="12"/>
        <v>1310.54</v>
      </c>
      <c r="AC79" s="83">
        <f t="shared" si="12"/>
        <v>1264.6399999999999</v>
      </c>
      <c r="AD79" s="83">
        <f t="shared" si="12"/>
        <v>1213.74</v>
      </c>
      <c r="AE79" s="83">
        <f t="shared" si="12"/>
        <v>1157.74</v>
      </c>
      <c r="AF79" s="83">
        <f t="shared" si="12"/>
        <v>1088.44</v>
      </c>
      <c r="AG79" s="62">
        <f t="shared" si="12"/>
        <v>1897.1900000000003</v>
      </c>
      <c r="AH79" s="48">
        <f t="shared" si="10"/>
        <v>1422.04</v>
      </c>
      <c r="AI79" s="49">
        <f t="shared" si="11"/>
        <v>1038.8399999999999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>
        <v>20</v>
      </c>
      <c r="Y80" s="85">
        <v>20</v>
      </c>
      <c r="Z80" s="85">
        <v>0</v>
      </c>
      <c r="AA80" s="85"/>
      <c r="AB80" s="85"/>
      <c r="AC80" s="85"/>
      <c r="AD80" s="85"/>
      <c r="AE80" s="85"/>
      <c r="AF80" s="85"/>
      <c r="AG80" s="81"/>
      <c r="AH80" s="48">
        <f t="shared" si="10"/>
        <v>20</v>
      </c>
      <c r="AI80" s="49">
        <f t="shared" si="11"/>
        <v>0</v>
      </c>
    </row>
    <row r="81" spans="1:37" ht="15.75" thickBot="1" x14ac:dyDescent="0.3">
      <c r="A81" s="74" t="s">
        <v>89</v>
      </c>
      <c r="B81" s="83">
        <f t="shared" ref="B81:AF81" si="13">B79+B80</f>
        <v>1044.74</v>
      </c>
      <c r="C81" s="83">
        <f t="shared" si="13"/>
        <v>1048.6399999999999</v>
      </c>
      <c r="D81" s="83">
        <f t="shared" si="13"/>
        <v>1041.74</v>
      </c>
      <c r="E81" s="83">
        <f t="shared" si="13"/>
        <v>1044.3399999999999</v>
      </c>
      <c r="F81" s="83">
        <f t="shared" si="13"/>
        <v>1038.8399999999999</v>
      </c>
      <c r="G81" s="83">
        <f t="shared" si="13"/>
        <v>1099.24</v>
      </c>
      <c r="H81" s="83">
        <f t="shared" si="13"/>
        <v>1138.44</v>
      </c>
      <c r="I81" s="83">
        <f t="shared" si="13"/>
        <v>1177.04</v>
      </c>
      <c r="J81" s="83">
        <f t="shared" si="13"/>
        <v>1252.04</v>
      </c>
      <c r="K81" s="83">
        <f t="shared" si="13"/>
        <v>1300.8399999999999</v>
      </c>
      <c r="L81" s="83">
        <f t="shared" si="13"/>
        <v>1343.74</v>
      </c>
      <c r="M81" s="83">
        <f t="shared" si="13"/>
        <v>1332.6399999999999</v>
      </c>
      <c r="N81" s="83">
        <f t="shared" si="13"/>
        <v>1313.1399999999999</v>
      </c>
      <c r="O81" s="83">
        <f t="shared" si="13"/>
        <v>1289.1399999999999</v>
      </c>
      <c r="P81" s="83">
        <f t="shared" si="13"/>
        <v>1274.54</v>
      </c>
      <c r="Q81" s="83">
        <f t="shared" si="13"/>
        <v>1262.4399999999998</v>
      </c>
      <c r="R81" s="83">
        <f t="shared" si="13"/>
        <v>1257.9399999999998</v>
      </c>
      <c r="S81" s="83">
        <f t="shared" si="13"/>
        <v>1249.1399999999999</v>
      </c>
      <c r="T81" s="83">
        <f t="shared" si="13"/>
        <v>1251.74</v>
      </c>
      <c r="U81" s="83">
        <f t="shared" si="13"/>
        <v>1268.24</v>
      </c>
      <c r="V81" s="83">
        <f t="shared" si="13"/>
        <v>1309.1400000000001</v>
      </c>
      <c r="W81" s="83">
        <f t="shared" si="13"/>
        <v>1340.94</v>
      </c>
      <c r="X81" s="83">
        <f t="shared" si="13"/>
        <v>1442.04</v>
      </c>
      <c r="Y81" s="83">
        <f t="shared" si="13"/>
        <v>1373.94</v>
      </c>
      <c r="Z81" s="83">
        <f t="shared" si="13"/>
        <v>1335.7399999999998</v>
      </c>
      <c r="AA81" s="83">
        <f t="shared" si="13"/>
        <v>1320.44</v>
      </c>
      <c r="AB81" s="83">
        <f t="shared" si="13"/>
        <v>1310.54</v>
      </c>
      <c r="AC81" s="83">
        <f t="shared" si="13"/>
        <v>1264.6399999999999</v>
      </c>
      <c r="AD81" s="83">
        <f t="shared" si="13"/>
        <v>1213.74</v>
      </c>
      <c r="AE81" s="83">
        <f t="shared" si="13"/>
        <v>1157.74</v>
      </c>
      <c r="AF81" s="83">
        <f t="shared" si="13"/>
        <v>1088.44</v>
      </c>
      <c r="AG81" s="81">
        <f>AG78+AG74+AG62+AG58+AG40+AG80</f>
        <v>1359.0900000000001</v>
      </c>
      <c r="AH81" s="48">
        <f t="shared" si="10"/>
        <v>1442.04</v>
      </c>
      <c r="AI81" s="49">
        <f t="shared" si="11"/>
        <v>1038.8399999999999</v>
      </c>
    </row>
    <row r="82" spans="1:37" ht="15.75" thickBot="1" x14ac:dyDescent="0.3">
      <c r="A82" s="74" t="s">
        <v>90</v>
      </c>
      <c r="B82" s="83">
        <f t="shared" ref="B82:AF82" si="14">B81-B89</f>
        <v>897.74</v>
      </c>
      <c r="C82" s="83">
        <f t="shared" si="14"/>
        <v>899.63999999999987</v>
      </c>
      <c r="D82" s="83">
        <f t="shared" si="14"/>
        <v>885.74</v>
      </c>
      <c r="E82" s="83">
        <f t="shared" si="14"/>
        <v>874.33999999999992</v>
      </c>
      <c r="F82" s="83">
        <f t="shared" si="14"/>
        <v>867.83999999999992</v>
      </c>
      <c r="G82" s="83">
        <f t="shared" si="14"/>
        <v>940.84</v>
      </c>
      <c r="H82" s="83">
        <f t="shared" si="14"/>
        <v>986.44</v>
      </c>
      <c r="I82" s="83">
        <f t="shared" si="14"/>
        <v>1014.74</v>
      </c>
      <c r="J82" s="83">
        <f t="shared" si="14"/>
        <v>1142.04</v>
      </c>
      <c r="K82" s="83">
        <f t="shared" si="14"/>
        <v>1201.74</v>
      </c>
      <c r="L82" s="83">
        <f t="shared" si="14"/>
        <v>1260.74</v>
      </c>
      <c r="M82" s="83">
        <f t="shared" si="14"/>
        <v>1254.8399999999999</v>
      </c>
      <c r="N82" s="83">
        <f t="shared" si="14"/>
        <v>1208.9399999999998</v>
      </c>
      <c r="O82" s="83">
        <f t="shared" si="14"/>
        <v>1154.1399999999999</v>
      </c>
      <c r="P82" s="83">
        <f t="shared" si="14"/>
        <v>1144.54</v>
      </c>
      <c r="Q82" s="83">
        <f t="shared" si="14"/>
        <v>1118.4399999999998</v>
      </c>
      <c r="R82" s="83">
        <f t="shared" si="14"/>
        <v>1131.9399999999998</v>
      </c>
      <c r="S82" s="83">
        <f t="shared" si="14"/>
        <v>1117.1399999999999</v>
      </c>
      <c r="T82" s="83">
        <f t="shared" si="14"/>
        <v>1137.74</v>
      </c>
      <c r="U82" s="83">
        <f t="shared" si="14"/>
        <v>1187.24</v>
      </c>
      <c r="V82" s="83">
        <f t="shared" si="14"/>
        <v>1224.1400000000001</v>
      </c>
      <c r="W82" s="83">
        <f t="shared" si="14"/>
        <v>1320.94</v>
      </c>
      <c r="X82" s="83">
        <f t="shared" si="14"/>
        <v>1442.04</v>
      </c>
      <c r="Y82" s="83">
        <f t="shared" si="14"/>
        <v>1373.94</v>
      </c>
      <c r="Z82" s="83">
        <f t="shared" si="14"/>
        <v>1300.7399999999998</v>
      </c>
      <c r="AA82" s="83">
        <f t="shared" si="14"/>
        <v>1260.44</v>
      </c>
      <c r="AB82" s="83">
        <f t="shared" si="14"/>
        <v>1202.54</v>
      </c>
      <c r="AC82" s="83">
        <f t="shared" si="14"/>
        <v>1149.7399999999998</v>
      </c>
      <c r="AD82" s="83">
        <f t="shared" si="14"/>
        <v>1050.04</v>
      </c>
      <c r="AE82" s="83">
        <f t="shared" si="14"/>
        <v>1015.34</v>
      </c>
      <c r="AF82" s="83">
        <f t="shared" si="14"/>
        <v>971.44</v>
      </c>
      <c r="AG82" s="81"/>
      <c r="AH82" s="48">
        <f t="shared" si="10"/>
        <v>1442.04</v>
      </c>
      <c r="AI82" s="49">
        <f t="shared" si="11"/>
        <v>867.83999999999992</v>
      </c>
    </row>
    <row r="83" spans="1:37" x14ac:dyDescent="0.25">
      <c r="A83" s="44" t="s">
        <v>74</v>
      </c>
      <c r="B83" s="76">
        <f t="shared" ref="B83:AF83" si="15">IF(B66&lt;0,B66*-1,0)</f>
        <v>0</v>
      </c>
      <c r="C83" s="76">
        <f t="shared" si="15"/>
        <v>0</v>
      </c>
      <c r="D83" s="76">
        <f t="shared" si="15"/>
        <v>0</v>
      </c>
      <c r="E83" s="76">
        <f t="shared" si="15"/>
        <v>0</v>
      </c>
      <c r="F83" s="76">
        <f t="shared" si="15"/>
        <v>0</v>
      </c>
      <c r="G83" s="76">
        <f t="shared" si="15"/>
        <v>0</v>
      </c>
      <c r="H83" s="76">
        <f t="shared" si="15"/>
        <v>0</v>
      </c>
      <c r="I83" s="76">
        <f t="shared" si="15"/>
        <v>0</v>
      </c>
      <c r="J83" s="76">
        <f t="shared" si="15"/>
        <v>0</v>
      </c>
      <c r="K83" s="76">
        <f t="shared" si="15"/>
        <v>0</v>
      </c>
      <c r="L83" s="76">
        <f t="shared" si="15"/>
        <v>0</v>
      </c>
      <c r="M83" s="76">
        <f t="shared" si="15"/>
        <v>0</v>
      </c>
      <c r="N83" s="76">
        <f t="shared" si="15"/>
        <v>0</v>
      </c>
      <c r="O83" s="76">
        <f t="shared" si="15"/>
        <v>0</v>
      </c>
      <c r="P83" s="76">
        <f t="shared" si="15"/>
        <v>0</v>
      </c>
      <c r="Q83" s="76">
        <f t="shared" si="15"/>
        <v>0</v>
      </c>
      <c r="R83" s="76">
        <f t="shared" si="15"/>
        <v>0</v>
      </c>
      <c r="S83" s="76">
        <f t="shared" si="15"/>
        <v>0</v>
      </c>
      <c r="T83" s="76">
        <f t="shared" si="15"/>
        <v>0</v>
      </c>
      <c r="U83" s="76">
        <f t="shared" si="15"/>
        <v>0</v>
      </c>
      <c r="V83" s="76">
        <f t="shared" si="15"/>
        <v>0</v>
      </c>
      <c r="W83" s="76">
        <f t="shared" si="15"/>
        <v>0</v>
      </c>
      <c r="X83" s="76">
        <f t="shared" si="15"/>
        <v>0</v>
      </c>
      <c r="Y83" s="76">
        <f t="shared" si="15"/>
        <v>0</v>
      </c>
      <c r="Z83" s="76">
        <f t="shared" si="15"/>
        <v>0</v>
      </c>
      <c r="AA83" s="76">
        <f t="shared" si="15"/>
        <v>0</v>
      </c>
      <c r="AB83" s="76">
        <f t="shared" si="15"/>
        <v>0</v>
      </c>
      <c r="AC83" s="76">
        <f t="shared" si="15"/>
        <v>0</v>
      </c>
      <c r="AD83" s="76">
        <f t="shared" si="15"/>
        <v>0</v>
      </c>
      <c r="AE83" s="76">
        <f t="shared" si="15"/>
        <v>0</v>
      </c>
      <c r="AF83" s="76">
        <f t="shared" si="15"/>
        <v>0</v>
      </c>
      <c r="AG83" s="52"/>
      <c r="AH83" s="48">
        <f t="shared" si="10"/>
        <v>0</v>
      </c>
      <c r="AI83" s="49">
        <f t="shared" si="11"/>
        <v>0</v>
      </c>
    </row>
    <row r="84" spans="1:37" x14ac:dyDescent="0.25">
      <c r="A84" s="54" t="s">
        <v>72</v>
      </c>
      <c r="B84" s="76">
        <f t="shared" ref="B84:AF84" si="16">IF(B64&lt;0,B64*-1,0)</f>
        <v>0</v>
      </c>
      <c r="C84" s="76">
        <f t="shared" si="16"/>
        <v>0</v>
      </c>
      <c r="D84" s="76">
        <f t="shared" si="16"/>
        <v>0</v>
      </c>
      <c r="E84" s="76">
        <f t="shared" si="16"/>
        <v>0</v>
      </c>
      <c r="F84" s="76">
        <f t="shared" si="16"/>
        <v>0</v>
      </c>
      <c r="G84" s="76">
        <f t="shared" si="16"/>
        <v>0</v>
      </c>
      <c r="H84" s="76">
        <f t="shared" si="16"/>
        <v>0</v>
      </c>
      <c r="I84" s="76">
        <f t="shared" si="16"/>
        <v>0</v>
      </c>
      <c r="J84" s="76">
        <f t="shared" si="16"/>
        <v>0</v>
      </c>
      <c r="K84" s="76">
        <f t="shared" si="16"/>
        <v>0</v>
      </c>
      <c r="L84" s="76">
        <f t="shared" si="16"/>
        <v>0</v>
      </c>
      <c r="M84" s="76">
        <f t="shared" si="16"/>
        <v>0</v>
      </c>
      <c r="N84" s="76">
        <f t="shared" si="16"/>
        <v>0</v>
      </c>
      <c r="O84" s="76">
        <f t="shared" si="16"/>
        <v>0</v>
      </c>
      <c r="P84" s="76">
        <f t="shared" si="16"/>
        <v>0</v>
      </c>
      <c r="Q84" s="76">
        <f t="shared" si="16"/>
        <v>0</v>
      </c>
      <c r="R84" s="76">
        <f t="shared" si="16"/>
        <v>0</v>
      </c>
      <c r="S84" s="76">
        <f t="shared" si="16"/>
        <v>0</v>
      </c>
      <c r="T84" s="76">
        <f t="shared" si="16"/>
        <v>0</v>
      </c>
      <c r="U84" s="76">
        <f t="shared" si="16"/>
        <v>0</v>
      </c>
      <c r="V84" s="76">
        <f t="shared" si="16"/>
        <v>0</v>
      </c>
      <c r="W84" s="76">
        <f t="shared" si="16"/>
        <v>0</v>
      </c>
      <c r="X84" s="76">
        <f t="shared" si="16"/>
        <v>0</v>
      </c>
      <c r="Y84" s="76">
        <f t="shared" si="16"/>
        <v>0</v>
      </c>
      <c r="Z84" s="76">
        <f t="shared" si="16"/>
        <v>0</v>
      </c>
      <c r="AA84" s="76">
        <f t="shared" si="16"/>
        <v>0</v>
      </c>
      <c r="AB84" s="76">
        <f t="shared" si="16"/>
        <v>0</v>
      </c>
      <c r="AC84" s="76">
        <f t="shared" si="16"/>
        <v>0</v>
      </c>
      <c r="AD84" s="76">
        <f t="shared" si="16"/>
        <v>0</v>
      </c>
      <c r="AE84" s="76">
        <f t="shared" si="16"/>
        <v>0</v>
      </c>
      <c r="AF84" s="76">
        <f t="shared" si="16"/>
        <v>0</v>
      </c>
      <c r="AG84" s="55"/>
      <c r="AH84" s="48">
        <f t="shared" si="10"/>
        <v>0</v>
      </c>
      <c r="AI84" s="49">
        <f t="shared" si="11"/>
        <v>0</v>
      </c>
    </row>
    <row r="85" spans="1:37" x14ac:dyDescent="0.25">
      <c r="A85" s="78" t="s">
        <v>91</v>
      </c>
      <c r="B85" s="76">
        <f t="shared" ref="B85:AF85" si="17">IF(B67&lt;0,B67*-1,0)</f>
        <v>0</v>
      </c>
      <c r="C85" s="76">
        <f t="shared" si="17"/>
        <v>0</v>
      </c>
      <c r="D85" s="76">
        <f t="shared" si="17"/>
        <v>0</v>
      </c>
      <c r="E85" s="76">
        <f t="shared" si="17"/>
        <v>0</v>
      </c>
      <c r="F85" s="76">
        <f t="shared" si="17"/>
        <v>0</v>
      </c>
      <c r="G85" s="76">
        <f t="shared" si="17"/>
        <v>0</v>
      </c>
      <c r="H85" s="76">
        <f t="shared" si="17"/>
        <v>0</v>
      </c>
      <c r="I85" s="76">
        <f t="shared" si="17"/>
        <v>0</v>
      </c>
      <c r="J85" s="76">
        <f t="shared" si="17"/>
        <v>0</v>
      </c>
      <c r="K85" s="76">
        <f t="shared" si="17"/>
        <v>0</v>
      </c>
      <c r="L85" s="76">
        <f t="shared" si="17"/>
        <v>0</v>
      </c>
      <c r="M85" s="76">
        <f t="shared" si="17"/>
        <v>0</v>
      </c>
      <c r="N85" s="76">
        <f t="shared" si="17"/>
        <v>0</v>
      </c>
      <c r="O85" s="76">
        <f t="shared" si="17"/>
        <v>0</v>
      </c>
      <c r="P85" s="76">
        <f t="shared" si="17"/>
        <v>0</v>
      </c>
      <c r="Q85" s="76">
        <f t="shared" si="17"/>
        <v>0</v>
      </c>
      <c r="R85" s="76">
        <f t="shared" si="17"/>
        <v>0</v>
      </c>
      <c r="S85" s="76">
        <f t="shared" si="17"/>
        <v>0</v>
      </c>
      <c r="T85" s="76">
        <f t="shared" si="17"/>
        <v>0</v>
      </c>
      <c r="U85" s="76">
        <f t="shared" si="17"/>
        <v>0</v>
      </c>
      <c r="V85" s="76">
        <f t="shared" si="17"/>
        <v>0</v>
      </c>
      <c r="W85" s="76">
        <f t="shared" si="17"/>
        <v>0</v>
      </c>
      <c r="X85" s="76">
        <f t="shared" si="17"/>
        <v>0</v>
      </c>
      <c r="Y85" s="76">
        <f t="shared" si="17"/>
        <v>0</v>
      </c>
      <c r="Z85" s="76">
        <f t="shared" si="17"/>
        <v>0</v>
      </c>
      <c r="AA85" s="76">
        <f t="shared" si="17"/>
        <v>0</v>
      </c>
      <c r="AB85" s="76">
        <f t="shared" si="17"/>
        <v>0</v>
      </c>
      <c r="AC85" s="76">
        <f t="shared" si="17"/>
        <v>0</v>
      </c>
      <c r="AD85" s="76">
        <f t="shared" si="17"/>
        <v>0</v>
      </c>
      <c r="AE85" s="76">
        <f t="shared" si="17"/>
        <v>0</v>
      </c>
      <c r="AF85" s="76">
        <f t="shared" si="17"/>
        <v>0</v>
      </c>
      <c r="AG85" s="86"/>
      <c r="AH85" s="48">
        <f t="shared" si="10"/>
        <v>0</v>
      </c>
      <c r="AI85" s="49">
        <f t="shared" si="11"/>
        <v>0</v>
      </c>
    </row>
    <row r="86" spans="1:37" x14ac:dyDescent="0.25">
      <c r="A86" s="78" t="s">
        <v>92</v>
      </c>
      <c r="B86" s="76">
        <f t="shared" ref="B86:AF86" si="18">IF(B65&lt;0,B65*-1,0)</f>
        <v>147</v>
      </c>
      <c r="C86" s="76">
        <f t="shared" si="18"/>
        <v>149</v>
      </c>
      <c r="D86" s="76">
        <f t="shared" si="18"/>
        <v>156</v>
      </c>
      <c r="E86" s="76">
        <f t="shared" si="18"/>
        <v>170</v>
      </c>
      <c r="F86" s="76">
        <f t="shared" si="18"/>
        <v>171</v>
      </c>
      <c r="G86" s="76">
        <f t="shared" si="18"/>
        <v>158.4</v>
      </c>
      <c r="H86" s="76">
        <f t="shared" si="18"/>
        <v>152</v>
      </c>
      <c r="I86" s="76">
        <f t="shared" si="18"/>
        <v>162.30000000000001</v>
      </c>
      <c r="J86" s="76">
        <f t="shared" si="18"/>
        <v>110</v>
      </c>
      <c r="K86" s="76">
        <f t="shared" si="18"/>
        <v>99.1</v>
      </c>
      <c r="L86" s="76">
        <f t="shared" si="18"/>
        <v>83</v>
      </c>
      <c r="M86" s="76">
        <f t="shared" si="18"/>
        <v>77.8</v>
      </c>
      <c r="N86" s="76">
        <f t="shared" si="18"/>
        <v>104.2</v>
      </c>
      <c r="O86" s="76">
        <f t="shared" si="18"/>
        <v>135</v>
      </c>
      <c r="P86" s="76">
        <f t="shared" si="18"/>
        <v>130</v>
      </c>
      <c r="Q86" s="76">
        <f t="shared" si="18"/>
        <v>144</v>
      </c>
      <c r="R86" s="76">
        <f t="shared" si="18"/>
        <v>126</v>
      </c>
      <c r="S86" s="76">
        <f t="shared" si="18"/>
        <v>132</v>
      </c>
      <c r="T86" s="76">
        <f t="shared" si="18"/>
        <v>114</v>
      </c>
      <c r="U86" s="76">
        <f t="shared" si="18"/>
        <v>81</v>
      </c>
      <c r="V86" s="76">
        <f t="shared" si="18"/>
        <v>85</v>
      </c>
      <c r="W86" s="76">
        <f t="shared" si="18"/>
        <v>20</v>
      </c>
      <c r="X86" s="76">
        <f t="shared" si="18"/>
        <v>0</v>
      </c>
      <c r="Y86" s="76">
        <f t="shared" si="18"/>
        <v>0</v>
      </c>
      <c r="Z86" s="76">
        <f t="shared" si="18"/>
        <v>35</v>
      </c>
      <c r="AA86" s="76">
        <f t="shared" si="18"/>
        <v>60</v>
      </c>
      <c r="AB86" s="76">
        <f t="shared" si="18"/>
        <v>108</v>
      </c>
      <c r="AC86" s="76">
        <f t="shared" si="18"/>
        <v>114.9</v>
      </c>
      <c r="AD86" s="76">
        <f t="shared" si="18"/>
        <v>163.69999999999999</v>
      </c>
      <c r="AE86" s="76">
        <f t="shared" si="18"/>
        <v>142.4</v>
      </c>
      <c r="AF86" s="76">
        <f t="shared" si="18"/>
        <v>117</v>
      </c>
      <c r="AG86" s="86"/>
      <c r="AH86" s="48">
        <f t="shared" si="10"/>
        <v>171</v>
      </c>
      <c r="AI86" s="49">
        <f t="shared" si="11"/>
        <v>0</v>
      </c>
    </row>
    <row r="87" spans="1:37" x14ac:dyDescent="0.25">
      <c r="A87" s="78" t="s">
        <v>71</v>
      </c>
      <c r="B87" s="76">
        <f t="shared" ref="B87:AF87" si="19">IF(B63&lt;0,B63*-1,0)</f>
        <v>0</v>
      </c>
      <c r="C87" s="76">
        <f t="shared" si="19"/>
        <v>0</v>
      </c>
      <c r="D87" s="76">
        <f t="shared" si="19"/>
        <v>0</v>
      </c>
      <c r="E87" s="76">
        <f t="shared" si="19"/>
        <v>0</v>
      </c>
      <c r="F87" s="76">
        <f t="shared" si="19"/>
        <v>0</v>
      </c>
      <c r="G87" s="76">
        <f t="shared" si="19"/>
        <v>0</v>
      </c>
      <c r="H87" s="76">
        <f t="shared" si="19"/>
        <v>0</v>
      </c>
      <c r="I87" s="76">
        <f t="shared" si="19"/>
        <v>0</v>
      </c>
      <c r="J87" s="76">
        <f t="shared" si="19"/>
        <v>0</v>
      </c>
      <c r="K87" s="76">
        <f t="shared" si="19"/>
        <v>0</v>
      </c>
      <c r="L87" s="76">
        <f t="shared" si="19"/>
        <v>0</v>
      </c>
      <c r="M87" s="76">
        <f t="shared" si="19"/>
        <v>0</v>
      </c>
      <c r="N87" s="76">
        <f t="shared" si="19"/>
        <v>0</v>
      </c>
      <c r="O87" s="76">
        <f t="shared" si="19"/>
        <v>0</v>
      </c>
      <c r="P87" s="76">
        <f t="shared" si="19"/>
        <v>0</v>
      </c>
      <c r="Q87" s="76">
        <f t="shared" si="19"/>
        <v>0</v>
      </c>
      <c r="R87" s="76">
        <f t="shared" si="19"/>
        <v>0</v>
      </c>
      <c r="S87" s="76">
        <f t="shared" si="19"/>
        <v>0</v>
      </c>
      <c r="T87" s="76">
        <f t="shared" si="19"/>
        <v>0</v>
      </c>
      <c r="U87" s="76">
        <f t="shared" si="19"/>
        <v>0</v>
      </c>
      <c r="V87" s="76">
        <f t="shared" si="19"/>
        <v>0</v>
      </c>
      <c r="W87" s="76">
        <f t="shared" si="19"/>
        <v>0</v>
      </c>
      <c r="X87" s="76">
        <f t="shared" si="19"/>
        <v>0</v>
      </c>
      <c r="Y87" s="76">
        <f t="shared" si="19"/>
        <v>0</v>
      </c>
      <c r="Z87" s="76">
        <f t="shared" si="19"/>
        <v>0</v>
      </c>
      <c r="AA87" s="76">
        <f t="shared" si="19"/>
        <v>0</v>
      </c>
      <c r="AB87" s="76">
        <f t="shared" si="19"/>
        <v>0</v>
      </c>
      <c r="AC87" s="76">
        <f t="shared" si="19"/>
        <v>0</v>
      </c>
      <c r="AD87" s="76">
        <f t="shared" si="19"/>
        <v>0</v>
      </c>
      <c r="AE87" s="76">
        <f t="shared" si="19"/>
        <v>0</v>
      </c>
      <c r="AF87" s="76">
        <f t="shared" si="19"/>
        <v>0</v>
      </c>
      <c r="AG87" s="86"/>
      <c r="AH87" s="48">
        <f t="shared" si="10"/>
        <v>0</v>
      </c>
      <c r="AI87" s="49">
        <f t="shared" si="11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10"/>
        <v>0</v>
      </c>
      <c r="AI88" s="49">
        <f t="shared" si="11"/>
        <v>0</v>
      </c>
    </row>
    <row r="89" spans="1:37" ht="15.75" thickBot="1" x14ac:dyDescent="0.3">
      <c r="A89" s="87" t="s">
        <v>94</v>
      </c>
      <c r="B89" s="61">
        <f t="shared" ref="B89:AF89" si="20">SUM(B83:B88)</f>
        <v>147</v>
      </c>
      <c r="C89" s="61">
        <f t="shared" si="20"/>
        <v>149</v>
      </c>
      <c r="D89" s="61">
        <f t="shared" si="20"/>
        <v>156</v>
      </c>
      <c r="E89" s="61">
        <f t="shared" si="20"/>
        <v>170</v>
      </c>
      <c r="F89" s="61">
        <f t="shared" si="20"/>
        <v>171</v>
      </c>
      <c r="G89" s="61">
        <f t="shared" si="20"/>
        <v>158.4</v>
      </c>
      <c r="H89" s="61">
        <f t="shared" si="20"/>
        <v>152</v>
      </c>
      <c r="I89" s="61">
        <f t="shared" si="20"/>
        <v>162.30000000000001</v>
      </c>
      <c r="J89" s="61">
        <f t="shared" si="20"/>
        <v>110</v>
      </c>
      <c r="K89" s="61">
        <f t="shared" si="20"/>
        <v>99.1</v>
      </c>
      <c r="L89" s="61">
        <f t="shared" si="20"/>
        <v>83</v>
      </c>
      <c r="M89" s="61">
        <f t="shared" si="20"/>
        <v>77.8</v>
      </c>
      <c r="N89" s="61">
        <f t="shared" si="20"/>
        <v>104.2</v>
      </c>
      <c r="O89" s="61">
        <f t="shared" si="20"/>
        <v>135</v>
      </c>
      <c r="P89" s="61">
        <f t="shared" si="20"/>
        <v>130</v>
      </c>
      <c r="Q89" s="61">
        <f t="shared" si="20"/>
        <v>144</v>
      </c>
      <c r="R89" s="61">
        <f t="shared" si="20"/>
        <v>126</v>
      </c>
      <c r="S89" s="61">
        <f t="shared" si="20"/>
        <v>132</v>
      </c>
      <c r="T89" s="61">
        <f t="shared" si="20"/>
        <v>114</v>
      </c>
      <c r="U89" s="61">
        <f t="shared" si="20"/>
        <v>81</v>
      </c>
      <c r="V89" s="61">
        <f t="shared" si="20"/>
        <v>85</v>
      </c>
      <c r="W89" s="61">
        <f t="shared" si="20"/>
        <v>20</v>
      </c>
      <c r="X89" s="61">
        <f t="shared" si="20"/>
        <v>0</v>
      </c>
      <c r="Y89" s="61">
        <f t="shared" si="20"/>
        <v>0</v>
      </c>
      <c r="Z89" s="61">
        <f t="shared" si="20"/>
        <v>35</v>
      </c>
      <c r="AA89" s="61">
        <f t="shared" si="20"/>
        <v>60</v>
      </c>
      <c r="AB89" s="61">
        <f t="shared" si="20"/>
        <v>108</v>
      </c>
      <c r="AC89" s="61">
        <f t="shared" si="20"/>
        <v>114.9</v>
      </c>
      <c r="AD89" s="61">
        <f t="shared" si="20"/>
        <v>163.69999999999999</v>
      </c>
      <c r="AE89" s="61">
        <f t="shared" si="20"/>
        <v>142.4</v>
      </c>
      <c r="AF89" s="61">
        <f t="shared" si="20"/>
        <v>117</v>
      </c>
      <c r="AG89" s="81"/>
      <c r="AH89" s="48">
        <f t="shared" si="10"/>
        <v>171</v>
      </c>
      <c r="AI89" s="49">
        <f t="shared" si="11"/>
        <v>0</v>
      </c>
      <c r="AK89" s="50"/>
    </row>
    <row r="90" spans="1:37" ht="15.75" thickBot="1" x14ac:dyDescent="0.3">
      <c r="A90" s="74" t="s">
        <v>95</v>
      </c>
      <c r="B90" s="61">
        <f t="shared" ref="B90:AF90" si="21">B74-B89</f>
        <v>-147</v>
      </c>
      <c r="C90" s="61">
        <f t="shared" si="21"/>
        <v>-149</v>
      </c>
      <c r="D90" s="61">
        <f t="shared" si="21"/>
        <v>-156</v>
      </c>
      <c r="E90" s="61">
        <f t="shared" si="21"/>
        <v>-170</v>
      </c>
      <c r="F90" s="61">
        <f t="shared" si="21"/>
        <v>-171</v>
      </c>
      <c r="G90" s="61">
        <f t="shared" si="21"/>
        <v>-158.4</v>
      </c>
      <c r="H90" s="61">
        <f t="shared" si="21"/>
        <v>-152</v>
      </c>
      <c r="I90" s="61">
        <f t="shared" si="21"/>
        <v>-162.30000000000001</v>
      </c>
      <c r="J90" s="61">
        <f t="shared" si="21"/>
        <v>-110</v>
      </c>
      <c r="K90" s="61">
        <f t="shared" si="21"/>
        <v>-99.1</v>
      </c>
      <c r="L90" s="61">
        <f t="shared" si="21"/>
        <v>-83</v>
      </c>
      <c r="M90" s="61">
        <f t="shared" si="21"/>
        <v>-77.8</v>
      </c>
      <c r="N90" s="61">
        <f t="shared" si="21"/>
        <v>-104.2</v>
      </c>
      <c r="O90" s="61">
        <f t="shared" si="21"/>
        <v>-135</v>
      </c>
      <c r="P90" s="61">
        <f t="shared" si="21"/>
        <v>-130</v>
      </c>
      <c r="Q90" s="61">
        <f t="shared" si="21"/>
        <v>-144</v>
      </c>
      <c r="R90" s="61">
        <f t="shared" si="21"/>
        <v>-126</v>
      </c>
      <c r="S90" s="61">
        <f t="shared" si="21"/>
        <v>-132</v>
      </c>
      <c r="T90" s="61">
        <f t="shared" si="21"/>
        <v>-114</v>
      </c>
      <c r="U90" s="61">
        <f t="shared" si="21"/>
        <v>-81</v>
      </c>
      <c r="V90" s="61">
        <f t="shared" si="21"/>
        <v>-85</v>
      </c>
      <c r="W90" s="61">
        <f t="shared" si="21"/>
        <v>-20</v>
      </c>
      <c r="X90" s="61">
        <f t="shared" si="21"/>
        <v>59.1</v>
      </c>
      <c r="Y90" s="61">
        <f t="shared" si="21"/>
        <v>20</v>
      </c>
      <c r="Z90" s="61">
        <f t="shared" si="21"/>
        <v>-35</v>
      </c>
      <c r="AA90" s="61">
        <f t="shared" si="21"/>
        <v>-60</v>
      </c>
      <c r="AB90" s="61">
        <f t="shared" si="21"/>
        <v>-108</v>
      </c>
      <c r="AC90" s="61">
        <f t="shared" si="21"/>
        <v>-114.9</v>
      </c>
      <c r="AD90" s="61">
        <f t="shared" si="21"/>
        <v>-163.69999999999999</v>
      </c>
      <c r="AE90" s="61">
        <f t="shared" si="21"/>
        <v>-142.4</v>
      </c>
      <c r="AF90" s="61">
        <f t="shared" si="21"/>
        <v>-117</v>
      </c>
      <c r="AG90" s="81"/>
      <c r="AH90" s="48">
        <f t="shared" si="10"/>
        <v>59.1</v>
      </c>
      <c r="AI90" s="49">
        <f t="shared" si="11"/>
        <v>-171</v>
      </c>
    </row>
    <row r="91" spans="1:37" x14ac:dyDescent="0.25">
      <c r="A91" s="88" t="s">
        <v>96</v>
      </c>
      <c r="B91" s="89">
        <v>50.01</v>
      </c>
      <c r="C91" s="89">
        <v>49.975000000000001</v>
      </c>
      <c r="D91" s="89">
        <v>49.938000000000002</v>
      </c>
      <c r="E91" s="89">
        <v>49.97</v>
      </c>
      <c r="F91" s="89">
        <v>49.97</v>
      </c>
      <c r="G91" s="89">
        <v>49.98</v>
      </c>
      <c r="H91" s="89">
        <v>50.029000000000003</v>
      </c>
      <c r="I91" s="89">
        <v>49.98</v>
      </c>
      <c r="J91" s="89">
        <v>50.015999999999998</v>
      </c>
      <c r="K91" s="89">
        <v>49.860999999999997</v>
      </c>
      <c r="L91" s="89">
        <v>49.918999999999997</v>
      </c>
      <c r="M91" s="89">
        <f>49.92</f>
        <v>49.92</v>
      </c>
      <c r="N91" s="89">
        <v>49.95</v>
      </c>
      <c r="O91" s="89">
        <v>49.95</v>
      </c>
      <c r="P91" s="89">
        <v>49.96</v>
      </c>
      <c r="Q91" s="89">
        <v>49.97</v>
      </c>
      <c r="R91" s="89">
        <v>49.95</v>
      </c>
      <c r="S91" s="89">
        <v>50.012999999999998</v>
      </c>
      <c r="T91" s="89">
        <v>49.988999999999997</v>
      </c>
      <c r="U91" s="89">
        <v>49.965000000000003</v>
      </c>
      <c r="V91" s="89">
        <v>49.912999999999997</v>
      </c>
      <c r="W91" s="89">
        <v>49.957000000000001</v>
      </c>
      <c r="X91" s="89">
        <v>49.905999999999999</v>
      </c>
      <c r="Y91" s="89">
        <v>50.113999999999997</v>
      </c>
      <c r="Z91" s="89">
        <v>50.018999999999998</v>
      </c>
      <c r="AA91" s="89">
        <v>50.01</v>
      </c>
      <c r="AB91" s="89">
        <v>50.026000000000003</v>
      </c>
      <c r="AC91" s="89">
        <v>50.02</v>
      </c>
      <c r="AD91" s="89">
        <v>50.057000000000002</v>
      </c>
      <c r="AE91" s="89">
        <v>50.054000000000002</v>
      </c>
      <c r="AF91" s="89">
        <v>49.963999999999999</v>
      </c>
      <c r="AG91" s="90"/>
      <c r="AH91" s="48">
        <f t="shared" si="10"/>
        <v>50.113999999999997</v>
      </c>
      <c r="AI91" s="49">
        <f t="shared" si="11"/>
        <v>49.860999999999997</v>
      </c>
    </row>
    <row r="92" spans="1:37" x14ac:dyDescent="0.25">
      <c r="A92" s="91" t="s">
        <v>97</v>
      </c>
      <c r="B92" s="65">
        <v>127.1</v>
      </c>
      <c r="C92" s="65">
        <v>127.5</v>
      </c>
      <c r="D92" s="65">
        <v>126.9</v>
      </c>
      <c r="E92" s="65">
        <v>127.1</v>
      </c>
      <c r="F92" s="65">
        <v>127</v>
      </c>
      <c r="G92" s="65">
        <v>125.9</v>
      </c>
      <c r="H92" s="65">
        <v>126.6</v>
      </c>
      <c r="I92" s="65">
        <v>124.9</v>
      </c>
      <c r="J92" s="65">
        <v>123.4</v>
      </c>
      <c r="K92" s="65">
        <v>123.1</v>
      </c>
      <c r="L92" s="65">
        <v>122.9</v>
      </c>
      <c r="M92" s="65">
        <v>122.1</v>
      </c>
      <c r="N92" s="65">
        <v>123.3</v>
      </c>
      <c r="O92" s="65">
        <v>122.3</v>
      </c>
      <c r="P92" s="65">
        <v>123.2</v>
      </c>
      <c r="Q92" s="65">
        <v>123.9</v>
      </c>
      <c r="R92" s="65">
        <v>122.3</v>
      </c>
      <c r="S92" s="65">
        <v>123.5</v>
      </c>
      <c r="T92" s="65">
        <v>123.3</v>
      </c>
      <c r="U92" s="65">
        <v>124.9</v>
      </c>
      <c r="V92" s="65">
        <v>125.8</v>
      </c>
      <c r="W92" s="65">
        <v>125.1</v>
      </c>
      <c r="X92" s="65">
        <v>126.3</v>
      </c>
      <c r="Y92" s="65">
        <v>127</v>
      </c>
      <c r="Z92" s="65">
        <v>125.7</v>
      </c>
      <c r="AA92" s="65">
        <v>125.9</v>
      </c>
      <c r="AB92" s="65">
        <v>126</v>
      </c>
      <c r="AC92" s="65">
        <v>127.6</v>
      </c>
      <c r="AD92" s="65">
        <v>127.6</v>
      </c>
      <c r="AE92" s="65">
        <v>127.6</v>
      </c>
      <c r="AF92" s="65">
        <v>127.6</v>
      </c>
      <c r="AG92" s="92"/>
      <c r="AH92" s="48">
        <f t="shared" si="10"/>
        <v>127.6</v>
      </c>
      <c r="AI92" s="49">
        <f t="shared" si="11"/>
        <v>122.1</v>
      </c>
    </row>
    <row r="93" spans="1:37" x14ac:dyDescent="0.25">
      <c r="A93" s="91" t="s">
        <v>98</v>
      </c>
      <c r="B93" s="65">
        <v>131.1</v>
      </c>
      <c r="C93" s="65">
        <v>131.4</v>
      </c>
      <c r="D93" s="65">
        <v>130.69999999999999</v>
      </c>
      <c r="E93" s="65">
        <v>130.9</v>
      </c>
      <c r="F93" s="65">
        <v>131.1</v>
      </c>
      <c r="G93" s="65">
        <v>130.1</v>
      </c>
      <c r="H93" s="65">
        <v>130.6</v>
      </c>
      <c r="I93" s="65">
        <v>128.9</v>
      </c>
      <c r="J93" s="65">
        <v>127.3</v>
      </c>
      <c r="K93" s="65">
        <v>126.9</v>
      </c>
      <c r="L93" s="65">
        <v>126</v>
      </c>
      <c r="M93" s="65">
        <v>1261</v>
      </c>
      <c r="N93" s="65">
        <v>126.9</v>
      </c>
      <c r="O93" s="65">
        <v>126.5</v>
      </c>
      <c r="P93" s="65">
        <v>127.2</v>
      </c>
      <c r="Q93" s="65">
        <v>127.6</v>
      </c>
      <c r="R93" s="65">
        <v>126.5</v>
      </c>
      <c r="S93" s="65">
        <v>127.7</v>
      </c>
      <c r="T93" s="65">
        <v>127.3</v>
      </c>
      <c r="U93" s="65">
        <v>128.4</v>
      </c>
      <c r="V93" s="65">
        <v>129.1</v>
      </c>
      <c r="W93" s="65">
        <v>128</v>
      </c>
      <c r="X93" s="65">
        <v>129.1</v>
      </c>
      <c r="Y93" s="65">
        <v>129.4</v>
      </c>
      <c r="Z93" s="65">
        <v>128.4</v>
      </c>
      <c r="AA93" s="65">
        <v>128.9</v>
      </c>
      <c r="AB93" s="65">
        <v>129.69999999999999</v>
      </c>
      <c r="AC93" s="65">
        <v>130.69999999999999</v>
      </c>
      <c r="AD93" s="65">
        <v>130.69999999999999</v>
      </c>
      <c r="AE93" s="65">
        <v>130.69999999999999</v>
      </c>
      <c r="AF93" s="65">
        <v>130.69999999999999</v>
      </c>
      <c r="AG93" s="92"/>
      <c r="AH93" s="48">
        <f t="shared" si="10"/>
        <v>1261</v>
      </c>
      <c r="AI93" s="49">
        <f t="shared" si="11"/>
        <v>126</v>
      </c>
    </row>
    <row r="94" spans="1:37" x14ac:dyDescent="0.25">
      <c r="A94" s="91" t="s">
        <v>99</v>
      </c>
      <c r="B94" s="65">
        <v>132.4</v>
      </c>
      <c r="C94" s="65">
        <v>133.19999999999999</v>
      </c>
      <c r="D94" s="65">
        <v>132.19999999999999</v>
      </c>
      <c r="E94" s="65">
        <v>133.19999999999999</v>
      </c>
      <c r="F94" s="65">
        <v>133.5</v>
      </c>
      <c r="G94" s="65">
        <v>132.19999999999999</v>
      </c>
      <c r="H94" s="65">
        <v>132.4</v>
      </c>
      <c r="I94" s="65">
        <v>131.4</v>
      </c>
      <c r="J94" s="65">
        <v>128.6</v>
      </c>
      <c r="K94" s="65">
        <v>127.9</v>
      </c>
      <c r="L94" s="65">
        <v>127.6</v>
      </c>
      <c r="M94" s="65">
        <v>128.80000000000001</v>
      </c>
      <c r="N94" s="65">
        <v>128.30000000000001</v>
      </c>
      <c r="O94" s="65">
        <v>129.1</v>
      </c>
      <c r="P94" s="65">
        <v>130.4</v>
      </c>
      <c r="Q94" s="65">
        <v>129.1</v>
      </c>
      <c r="R94" s="65">
        <v>129.1</v>
      </c>
      <c r="S94" s="65">
        <v>130.69999999999999</v>
      </c>
      <c r="T94" s="65">
        <v>129.19999999999999</v>
      </c>
      <c r="U94" s="65">
        <v>128.9</v>
      </c>
      <c r="V94" s="65">
        <v>130.1</v>
      </c>
      <c r="W94" s="65">
        <v>129.1</v>
      </c>
      <c r="X94" s="65">
        <v>128.9</v>
      </c>
      <c r="Y94" s="65">
        <v>133.19999999999999</v>
      </c>
      <c r="Z94" s="65">
        <v>130.5</v>
      </c>
      <c r="AA94" s="65">
        <v>131.6</v>
      </c>
      <c r="AB94" s="65">
        <v>130.9</v>
      </c>
      <c r="AC94" s="65">
        <v>132.30000000000001</v>
      </c>
      <c r="AD94" s="65">
        <v>132.30000000000001</v>
      </c>
      <c r="AE94" s="65">
        <v>132.30000000000001</v>
      </c>
      <c r="AF94" s="65">
        <v>132.30000000000001</v>
      </c>
      <c r="AG94" s="92"/>
      <c r="AH94" s="48">
        <f t="shared" si="10"/>
        <v>133.5</v>
      </c>
      <c r="AI94" s="49">
        <f t="shared" si="11"/>
        <v>127.6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10"/>
        <v>0</v>
      </c>
      <c r="AI95" s="49">
        <f t="shared" si="11"/>
        <v>0</v>
      </c>
    </row>
    <row r="96" spans="1:37" x14ac:dyDescent="0.25">
      <c r="A96" s="93" t="s">
        <v>101</v>
      </c>
      <c r="B96" s="94">
        <v>132.69999999999999</v>
      </c>
      <c r="C96" s="94" t="s">
        <v>249</v>
      </c>
      <c r="D96" s="94">
        <v>133.30000000000001</v>
      </c>
      <c r="E96" s="94">
        <v>134.5</v>
      </c>
      <c r="F96" s="94">
        <v>133.5</v>
      </c>
      <c r="G96" s="94">
        <v>133.19999999999999</v>
      </c>
      <c r="H96" s="94">
        <v>133.80000000000001</v>
      </c>
      <c r="I96" s="94">
        <v>134.19999999999999</v>
      </c>
      <c r="J96" s="94">
        <v>129.4</v>
      </c>
      <c r="K96" s="94">
        <v>133.80000000000001</v>
      </c>
      <c r="L96" s="94">
        <v>132.30000000000001</v>
      </c>
      <c r="M96" s="94">
        <v>133.6</v>
      </c>
      <c r="N96" s="94">
        <v>130.69999999999999</v>
      </c>
      <c r="O96" s="94">
        <v>134.69999999999999</v>
      </c>
      <c r="P96" s="94">
        <v>134.69999999999999</v>
      </c>
      <c r="Q96" s="94">
        <v>134.69999999999999</v>
      </c>
      <c r="R96" s="94">
        <v>134.69999999999999</v>
      </c>
      <c r="S96" s="94">
        <v>132.6</v>
      </c>
      <c r="T96" s="94">
        <v>133</v>
      </c>
      <c r="U96" s="94">
        <v>133.30000000000001</v>
      </c>
      <c r="V96" s="94">
        <v>133.4</v>
      </c>
      <c r="W96" s="94">
        <v>133.69999999999999</v>
      </c>
      <c r="X96" s="94">
        <v>131.80000000000001</v>
      </c>
      <c r="Y96" s="94">
        <v>131.9</v>
      </c>
      <c r="Z96" s="94">
        <v>130.30000000000001</v>
      </c>
      <c r="AA96" s="94">
        <v>133.9</v>
      </c>
      <c r="AB96" s="94">
        <v>131</v>
      </c>
      <c r="AC96" s="94">
        <v>135</v>
      </c>
      <c r="AD96" s="94">
        <v>135</v>
      </c>
      <c r="AE96" s="94">
        <v>135</v>
      </c>
      <c r="AF96" s="94">
        <v>135</v>
      </c>
      <c r="AG96" s="95"/>
      <c r="AH96" s="48">
        <f t="shared" si="10"/>
        <v>135</v>
      </c>
      <c r="AI96" s="49">
        <f t="shared" si="11"/>
        <v>129.4</v>
      </c>
    </row>
    <row r="97" spans="1:37" x14ac:dyDescent="0.25">
      <c r="A97" s="91" t="s">
        <v>102</v>
      </c>
      <c r="B97" s="65">
        <v>130.4</v>
      </c>
      <c r="C97" s="65">
        <v>129.5</v>
      </c>
      <c r="D97" s="65">
        <v>130</v>
      </c>
      <c r="E97" s="65">
        <v>131.6</v>
      </c>
      <c r="F97" s="65">
        <v>130.6</v>
      </c>
      <c r="G97" s="65">
        <v>130</v>
      </c>
      <c r="H97" s="65">
        <v>128.5</v>
      </c>
      <c r="I97" s="65">
        <v>129.6</v>
      </c>
      <c r="J97" s="65">
        <v>125.6</v>
      </c>
      <c r="K97" s="65">
        <v>133.4</v>
      </c>
      <c r="L97" s="65">
        <v>127.8</v>
      </c>
      <c r="M97" s="65">
        <v>130</v>
      </c>
      <c r="N97" s="65">
        <v>128.69999999999999</v>
      </c>
      <c r="O97" s="65">
        <v>135.5</v>
      </c>
      <c r="P97" s="65">
        <v>135.5</v>
      </c>
      <c r="Q97" s="65">
        <v>135.5</v>
      </c>
      <c r="R97" s="65">
        <v>135.5</v>
      </c>
      <c r="S97" s="65">
        <v>130.4</v>
      </c>
      <c r="T97" s="65">
        <v>129.9</v>
      </c>
      <c r="U97" s="65">
        <v>130.9</v>
      </c>
      <c r="V97" s="65">
        <v>129.6</v>
      </c>
      <c r="W97" s="65">
        <v>128.6</v>
      </c>
      <c r="X97" s="65">
        <v>129.80000000000001</v>
      </c>
      <c r="Y97" s="65">
        <v>128.4</v>
      </c>
      <c r="Z97" s="65">
        <v>128.5</v>
      </c>
      <c r="AA97" s="65">
        <v>133.1</v>
      </c>
      <c r="AB97" s="65">
        <v>127.5</v>
      </c>
      <c r="AC97" s="65">
        <v>132.80000000000001</v>
      </c>
      <c r="AD97" s="65">
        <v>132.80000000000001</v>
      </c>
      <c r="AE97" s="65">
        <v>132.80000000000001</v>
      </c>
      <c r="AF97" s="65">
        <v>132.80000000000001</v>
      </c>
      <c r="AG97" s="92"/>
      <c r="AH97" s="48">
        <f t="shared" si="10"/>
        <v>135.5</v>
      </c>
      <c r="AI97" s="49">
        <f t="shared" si="11"/>
        <v>125.6</v>
      </c>
    </row>
    <row r="98" spans="1:37" ht="15.75" thickBot="1" x14ac:dyDescent="0.3">
      <c r="A98" s="91" t="s">
        <v>103</v>
      </c>
      <c r="B98" s="96">
        <v>66.2</v>
      </c>
      <c r="C98" s="96">
        <v>66.099999999999994</v>
      </c>
      <c r="D98" s="96">
        <v>65.900000000000006</v>
      </c>
      <c r="E98" s="96">
        <v>66</v>
      </c>
      <c r="F98" s="96">
        <v>66.099999999999994</v>
      </c>
      <c r="G98" s="96">
        <v>65.5</v>
      </c>
      <c r="H98" s="96">
        <v>65.900000000000006</v>
      </c>
      <c r="I98" s="96">
        <v>65.099999999999994</v>
      </c>
      <c r="J98" s="96">
        <v>63.9</v>
      </c>
      <c r="K98" s="96">
        <v>63.7</v>
      </c>
      <c r="L98" s="96">
        <v>63.3</v>
      </c>
      <c r="M98" s="96">
        <v>63.6</v>
      </c>
      <c r="N98" s="96">
        <v>64</v>
      </c>
      <c r="O98" s="96">
        <v>63.7</v>
      </c>
      <c r="P98" s="96">
        <v>63.7</v>
      </c>
      <c r="Q98" s="96">
        <v>64.400000000000006</v>
      </c>
      <c r="R98" s="96">
        <v>64.599999999999994</v>
      </c>
      <c r="S98" s="96">
        <v>64.3</v>
      </c>
      <c r="T98" s="96">
        <v>63.6</v>
      </c>
      <c r="U98" s="96">
        <v>64.7</v>
      </c>
      <c r="V98" s="96">
        <v>65.400000000000006</v>
      </c>
      <c r="W98" s="96">
        <v>64.3</v>
      </c>
      <c r="X98" s="96">
        <v>64.900000000000006</v>
      </c>
      <c r="Y98" s="96">
        <v>65.2</v>
      </c>
      <c r="Z98" s="96">
        <v>64.7</v>
      </c>
      <c r="AA98" s="96">
        <v>64.8</v>
      </c>
      <c r="AB98" s="96">
        <v>65.3</v>
      </c>
      <c r="AC98" s="96">
        <v>65.7</v>
      </c>
      <c r="AD98" s="96">
        <v>65.7</v>
      </c>
      <c r="AE98" s="96">
        <v>65.7</v>
      </c>
      <c r="AF98" s="96">
        <v>65.7</v>
      </c>
      <c r="AG98" s="97"/>
      <c r="AH98" s="48">
        <f t="shared" si="10"/>
        <v>66.2</v>
      </c>
      <c r="AI98" s="49">
        <f t="shared" si="11"/>
        <v>63.3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10"/>
        <v>0</v>
      </c>
      <c r="AI99" s="49">
        <f t="shared" si="11"/>
        <v>0</v>
      </c>
    </row>
    <row r="100" spans="1:37" ht="15.75" thickBot="1" x14ac:dyDescent="0.3">
      <c r="A100" s="99" t="s">
        <v>104</v>
      </c>
      <c r="B100" s="100">
        <f t="shared" ref="B100:AF100" si="22">SUM(B15,B20,B22:B23,B48,B50:B51,B53,B55,B101:B105,B127,B133,B139,B148,B150,B162,B169,B172:B173,B180,B182,B184,B188:B190,B192:B194,B199,B205:B206,B208:B210,B218,B223)</f>
        <v>46.400000000000013</v>
      </c>
      <c r="C100" s="100">
        <f t="shared" si="22"/>
        <v>40.94000000000004</v>
      </c>
      <c r="D100" s="100">
        <f t="shared" si="22"/>
        <v>38.239999999999995</v>
      </c>
      <c r="E100" s="100">
        <f t="shared" si="22"/>
        <v>38.739999999999988</v>
      </c>
      <c r="F100" s="100">
        <f t="shared" si="22"/>
        <v>39.14</v>
      </c>
      <c r="G100" s="100">
        <f t="shared" si="22"/>
        <v>66.240000000000009</v>
      </c>
      <c r="H100" s="100">
        <f t="shared" si="22"/>
        <v>91.740000000000009</v>
      </c>
      <c r="I100" s="100">
        <f t="shared" si="22"/>
        <v>94.64</v>
      </c>
      <c r="J100" s="100">
        <f t="shared" si="22"/>
        <v>157.63999999999999</v>
      </c>
      <c r="K100" s="100">
        <f t="shared" si="22"/>
        <v>206.03999999999996</v>
      </c>
      <c r="L100" s="100">
        <f t="shared" si="22"/>
        <v>230.44</v>
      </c>
      <c r="M100" s="100">
        <f t="shared" si="22"/>
        <v>225.94</v>
      </c>
      <c r="N100" s="100">
        <f t="shared" si="22"/>
        <v>189.04000000000002</v>
      </c>
      <c r="O100" s="100">
        <f t="shared" si="22"/>
        <v>166.34</v>
      </c>
      <c r="P100" s="100">
        <f t="shared" si="22"/>
        <v>166.34</v>
      </c>
      <c r="Q100" s="100">
        <f t="shared" si="22"/>
        <v>165.4</v>
      </c>
      <c r="R100" s="100">
        <f t="shared" si="22"/>
        <v>151.80000000000001</v>
      </c>
      <c r="S100" s="100">
        <f t="shared" si="22"/>
        <v>148.9</v>
      </c>
      <c r="T100" s="100">
        <f t="shared" si="22"/>
        <v>152.69999999999999</v>
      </c>
      <c r="U100" s="100">
        <f t="shared" si="22"/>
        <v>165.5</v>
      </c>
      <c r="V100" s="100">
        <f t="shared" si="22"/>
        <v>218.49999999999994</v>
      </c>
      <c r="W100" s="100">
        <f t="shared" si="22"/>
        <v>258.39999999999998</v>
      </c>
      <c r="X100" s="100">
        <f t="shared" si="22"/>
        <v>299.89999999999998</v>
      </c>
      <c r="Y100" s="100">
        <f t="shared" si="22"/>
        <v>293.39999999999998</v>
      </c>
      <c r="Z100" s="100">
        <f t="shared" si="22"/>
        <v>268.10000000000002</v>
      </c>
      <c r="AA100" s="100">
        <f t="shared" si="22"/>
        <v>242.80000000000004</v>
      </c>
      <c r="AB100" s="100">
        <f t="shared" si="22"/>
        <v>220.80000000000004</v>
      </c>
      <c r="AC100" s="100">
        <f t="shared" si="22"/>
        <v>153.19999999999999</v>
      </c>
      <c r="AD100" s="100">
        <f t="shared" si="22"/>
        <v>134</v>
      </c>
      <c r="AE100" s="100">
        <f t="shared" si="22"/>
        <v>94.699999999999989</v>
      </c>
      <c r="AF100" s="100">
        <f t="shared" si="22"/>
        <v>68</v>
      </c>
      <c r="AG100" s="101"/>
      <c r="AH100" s="48">
        <f t="shared" si="10"/>
        <v>299.89999999999998</v>
      </c>
      <c r="AI100" s="49">
        <f t="shared" si="11"/>
        <v>38.239999999999995</v>
      </c>
    </row>
    <row r="101" spans="1:37" x14ac:dyDescent="0.25">
      <c r="A101" s="88" t="s">
        <v>105</v>
      </c>
      <c r="B101" s="102">
        <v>28.9</v>
      </c>
      <c r="C101" s="102">
        <v>26.8</v>
      </c>
      <c r="D101" s="102">
        <v>26.1</v>
      </c>
      <c r="E101" s="102">
        <v>26.8</v>
      </c>
      <c r="F101" s="102">
        <v>27.3</v>
      </c>
      <c r="G101" s="102">
        <v>32.5</v>
      </c>
      <c r="H101" s="102">
        <v>31.5</v>
      </c>
      <c r="I101" s="102">
        <v>40</v>
      </c>
      <c r="J101" s="102">
        <v>40.1</v>
      </c>
      <c r="K101" s="102">
        <v>49.7</v>
      </c>
      <c r="L101" s="102">
        <v>51.5</v>
      </c>
      <c r="M101" s="102">
        <v>56.5</v>
      </c>
      <c r="N101" s="102">
        <v>47.8</v>
      </c>
      <c r="O101" s="102">
        <v>52.8</v>
      </c>
      <c r="P101" s="102">
        <v>52.8</v>
      </c>
      <c r="Q101" s="102">
        <v>52.8</v>
      </c>
      <c r="R101" s="102">
        <v>45.6</v>
      </c>
      <c r="S101" s="102">
        <v>47.5</v>
      </c>
      <c r="T101" s="102">
        <v>45.2</v>
      </c>
      <c r="U101" s="102">
        <v>42.9</v>
      </c>
      <c r="V101" s="102">
        <v>52.5</v>
      </c>
      <c r="W101" s="102">
        <v>52.8</v>
      </c>
      <c r="X101" s="102">
        <v>43.4</v>
      </c>
      <c r="Y101" s="102">
        <v>47.5</v>
      </c>
      <c r="Z101" s="102">
        <v>54.3</v>
      </c>
      <c r="AA101" s="102">
        <v>54</v>
      </c>
      <c r="AB101" s="102">
        <v>50.4</v>
      </c>
      <c r="AC101" s="102">
        <v>45.7</v>
      </c>
      <c r="AD101" s="102">
        <v>48.7</v>
      </c>
      <c r="AE101" s="102">
        <v>40.9</v>
      </c>
      <c r="AF101" s="102">
        <v>34</v>
      </c>
      <c r="AG101" s="103">
        <v>75</v>
      </c>
      <c r="AH101" s="48">
        <f t="shared" si="10"/>
        <v>56.5</v>
      </c>
      <c r="AI101" s="49">
        <f t="shared" si="11"/>
        <v>26.1</v>
      </c>
    </row>
    <row r="102" spans="1:37" x14ac:dyDescent="0.25">
      <c r="A102" s="91" t="s">
        <v>106</v>
      </c>
      <c r="B102" s="104">
        <v>48.2</v>
      </c>
      <c r="C102" s="104">
        <v>47.8</v>
      </c>
      <c r="D102" s="104">
        <v>45.6</v>
      </c>
      <c r="E102" s="104">
        <v>47.1</v>
      </c>
      <c r="F102" s="104">
        <v>47.6</v>
      </c>
      <c r="G102" s="104">
        <v>52.6</v>
      </c>
      <c r="H102" s="104">
        <v>52.1</v>
      </c>
      <c r="I102" s="104">
        <v>63.3</v>
      </c>
      <c r="J102" s="104">
        <v>63.8</v>
      </c>
      <c r="K102" s="104">
        <v>78.099999999999994</v>
      </c>
      <c r="L102" s="104">
        <v>80.400000000000006</v>
      </c>
      <c r="M102" s="104">
        <v>83.7</v>
      </c>
      <c r="N102" s="104">
        <v>69.5</v>
      </c>
      <c r="O102" s="104">
        <v>75.2</v>
      </c>
      <c r="P102" s="104">
        <v>75.2</v>
      </c>
      <c r="Q102" s="104">
        <v>75.2</v>
      </c>
      <c r="R102" s="104">
        <v>66.900000000000006</v>
      </c>
      <c r="S102" s="104">
        <v>69.5</v>
      </c>
      <c r="T102" s="104">
        <v>66.2</v>
      </c>
      <c r="U102" s="104">
        <v>62</v>
      </c>
      <c r="V102" s="104">
        <v>80</v>
      </c>
      <c r="W102" s="104">
        <v>79.8</v>
      </c>
      <c r="X102" s="104">
        <v>65.599999999999994</v>
      </c>
      <c r="Y102" s="104">
        <v>71</v>
      </c>
      <c r="Z102" s="104">
        <v>80.5</v>
      </c>
      <c r="AA102" s="104">
        <v>81</v>
      </c>
      <c r="AB102" s="104">
        <v>74</v>
      </c>
      <c r="AC102" s="104">
        <v>65.3</v>
      </c>
      <c r="AD102" s="104">
        <v>70.5</v>
      </c>
      <c r="AE102" s="104">
        <v>60.2</v>
      </c>
      <c r="AF102" s="104">
        <v>53.4</v>
      </c>
      <c r="AG102" s="103">
        <v>240</v>
      </c>
      <c r="AH102" s="48">
        <f t="shared" si="10"/>
        <v>83.7</v>
      </c>
      <c r="AI102" s="49">
        <f t="shared" si="11"/>
        <v>45.6</v>
      </c>
    </row>
    <row r="103" spans="1:37" x14ac:dyDescent="0.25">
      <c r="A103" s="91" t="s">
        <v>107</v>
      </c>
      <c r="B103" s="104">
        <f>-67-71.3</f>
        <v>-138.30000000000001</v>
      </c>
      <c r="C103" s="104">
        <f>-68.6-72.3</f>
        <v>-140.89999999999998</v>
      </c>
      <c r="D103" s="104">
        <f>-66.2-71</f>
        <v>-137.19999999999999</v>
      </c>
      <c r="E103" s="104">
        <f>-67.9-71.6</f>
        <v>-139.5</v>
      </c>
      <c r="F103" s="104">
        <f>-66.9-70.8</f>
        <v>-137.69999999999999</v>
      </c>
      <c r="G103" s="104">
        <f>-65.2-68.8</f>
        <v>-134</v>
      </c>
      <c r="H103" s="104">
        <f>-63.3-67.8</f>
        <v>-131.1</v>
      </c>
      <c r="I103" s="104">
        <f>-71.7-76.1</f>
        <v>-147.80000000000001</v>
      </c>
      <c r="J103" s="104">
        <f>-68.6-72.4</f>
        <v>-141</v>
      </c>
      <c r="K103" s="104">
        <f>-64.5-68</f>
        <v>-132.5</v>
      </c>
      <c r="L103" s="104">
        <f>-58.8-63.7</f>
        <v>-122.5</v>
      </c>
      <c r="M103" s="104">
        <f>-61.8-66.1</f>
        <v>-127.89999999999999</v>
      </c>
      <c r="N103" s="104">
        <f>-67.9-71.6</f>
        <v>-139.5</v>
      </c>
      <c r="O103" s="104">
        <f>-73.3-77.7</f>
        <v>-151</v>
      </c>
      <c r="P103" s="104">
        <f t="shared" ref="P103:Q103" si="23">-73.3-77.7</f>
        <v>-151</v>
      </c>
      <c r="Q103" s="104">
        <f t="shared" si="23"/>
        <v>-151</v>
      </c>
      <c r="R103" s="104">
        <f>-72.7-72.8</f>
        <v>-145.5</v>
      </c>
      <c r="S103" s="104">
        <v>-145</v>
      </c>
      <c r="T103" s="104">
        <v>-140</v>
      </c>
      <c r="U103" s="104">
        <v>-128</v>
      </c>
      <c r="V103" s="104">
        <v>-130</v>
      </c>
      <c r="W103" s="104">
        <f>-50.1-53.1</f>
        <v>-103.2</v>
      </c>
      <c r="X103" s="104">
        <f>-35.7-44.6</f>
        <v>-80.300000000000011</v>
      </c>
      <c r="Y103" s="104">
        <f>-30.7-37.7</f>
        <v>-68.400000000000006</v>
      </c>
      <c r="Z103" s="104">
        <f>-46.2-52.1</f>
        <v>-98.300000000000011</v>
      </c>
      <c r="AA103" s="104">
        <v>-120</v>
      </c>
      <c r="AB103" s="104">
        <v>-125</v>
      </c>
      <c r="AC103" s="104">
        <f>-55.2-59.1</f>
        <v>-114.30000000000001</v>
      </c>
      <c r="AD103" s="104">
        <v>-136</v>
      </c>
      <c r="AE103" s="104">
        <v>-140</v>
      </c>
      <c r="AF103" s="104">
        <v>-127</v>
      </c>
      <c r="AG103" s="103">
        <v>240</v>
      </c>
      <c r="AH103" s="48">
        <f t="shared" si="10"/>
        <v>-68.400000000000006</v>
      </c>
      <c r="AI103" s="49">
        <f t="shared" si="11"/>
        <v>-151</v>
      </c>
    </row>
    <row r="104" spans="1:37" x14ac:dyDescent="0.25">
      <c r="A104" s="91" t="s">
        <v>108</v>
      </c>
      <c r="B104" s="104">
        <v>-5.9</v>
      </c>
      <c r="C104" s="104">
        <v>-7.2</v>
      </c>
      <c r="D104" s="104">
        <v>-10.7</v>
      </c>
      <c r="E104" s="104">
        <v>-10.4</v>
      </c>
      <c r="F104" s="104">
        <v>-7.3</v>
      </c>
      <c r="G104" s="104">
        <v>-9.1</v>
      </c>
      <c r="H104" s="104">
        <v>-5</v>
      </c>
      <c r="I104" s="104">
        <v>-5.3</v>
      </c>
      <c r="J104" s="104">
        <v>-1.3</v>
      </c>
      <c r="K104" s="104">
        <v>0</v>
      </c>
      <c r="L104" s="104">
        <v>1.3</v>
      </c>
      <c r="M104" s="104">
        <v>1.5</v>
      </c>
      <c r="N104" s="104">
        <v>-0.3</v>
      </c>
      <c r="O104" s="104">
        <v>1.7</v>
      </c>
      <c r="P104" s="104">
        <v>1.7</v>
      </c>
      <c r="Q104" s="104">
        <v>1.7</v>
      </c>
      <c r="R104" s="104">
        <v>1.1000000000000001</v>
      </c>
      <c r="S104" s="104">
        <v>2.7</v>
      </c>
      <c r="T104" s="104">
        <v>7</v>
      </c>
      <c r="U104" s="104">
        <v>4.9000000000000004</v>
      </c>
      <c r="V104" s="104">
        <v>10</v>
      </c>
      <c r="W104" s="104">
        <v>14</v>
      </c>
      <c r="X104" s="104">
        <v>54</v>
      </c>
      <c r="Y104" s="104">
        <v>26.2</v>
      </c>
      <c r="Z104" s="104">
        <v>16.100000000000001</v>
      </c>
      <c r="AA104" s="104">
        <v>12.3</v>
      </c>
      <c r="AB104" s="104">
        <v>9.6</v>
      </c>
      <c r="AC104" s="104">
        <v>9.6999999999999993</v>
      </c>
      <c r="AD104" s="104">
        <v>5</v>
      </c>
      <c r="AE104" s="104">
        <v>-3.5</v>
      </c>
      <c r="AF104" s="104">
        <v>-7.5</v>
      </c>
      <c r="AG104" s="103">
        <v>60</v>
      </c>
      <c r="AH104" s="48">
        <f t="shared" si="10"/>
        <v>54</v>
      </c>
      <c r="AI104" s="49">
        <f t="shared" si="11"/>
        <v>-10.7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42.3</v>
      </c>
      <c r="K105" s="106">
        <v>42.3</v>
      </c>
      <c r="L105" s="106">
        <v>42.2</v>
      </c>
      <c r="M105" s="106">
        <v>42.3</v>
      </c>
      <c r="N105" s="106">
        <v>42.3</v>
      </c>
      <c r="O105" s="106">
        <v>40.700000000000003</v>
      </c>
      <c r="P105" s="106">
        <v>40.700000000000003</v>
      </c>
      <c r="Q105" s="106">
        <v>40.700000000000003</v>
      </c>
      <c r="R105" s="106">
        <v>37.700000000000003</v>
      </c>
      <c r="S105" s="106">
        <v>38.1</v>
      </c>
      <c r="T105" s="106">
        <v>38.200000000000003</v>
      </c>
      <c r="U105" s="106">
        <v>38.200000000000003</v>
      </c>
      <c r="V105" s="106">
        <v>40.200000000000003</v>
      </c>
      <c r="W105" s="106">
        <v>40.200000000000003</v>
      </c>
      <c r="X105" s="106">
        <v>40.200000000000003</v>
      </c>
      <c r="Y105" s="106">
        <v>40.1</v>
      </c>
      <c r="Z105" s="106">
        <v>40.1</v>
      </c>
      <c r="AA105" s="106">
        <v>40.1</v>
      </c>
      <c r="AB105" s="106">
        <v>40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10"/>
        <v>42.3</v>
      </c>
      <c r="AI105" s="49">
        <f t="shared" si="11"/>
        <v>0</v>
      </c>
    </row>
    <row r="106" spans="1:37" x14ac:dyDescent="0.25">
      <c r="A106" s="105" t="s">
        <v>110</v>
      </c>
      <c r="B106" s="106">
        <v>-23.4</v>
      </c>
      <c r="C106" s="106">
        <v>-20.7</v>
      </c>
      <c r="D106" s="106">
        <v>-23</v>
      </c>
      <c r="E106" s="106">
        <v>-29.6</v>
      </c>
      <c r="F106" s="106">
        <v>-26.6</v>
      </c>
      <c r="G106" s="106">
        <v>-17.100000000000001</v>
      </c>
      <c r="H106" s="106">
        <v>-21.1</v>
      </c>
      <c r="I106" s="106">
        <v>-22.7</v>
      </c>
      <c r="J106" s="106">
        <v>-18</v>
      </c>
      <c r="K106" s="106">
        <v>-18.100000000000001</v>
      </c>
      <c r="L106" s="106">
        <v>-6.1</v>
      </c>
      <c r="M106" s="106">
        <v>-7.3</v>
      </c>
      <c r="N106" s="106">
        <v>-18</v>
      </c>
      <c r="O106" s="106">
        <v>-24</v>
      </c>
      <c r="P106" s="106">
        <v>-24</v>
      </c>
      <c r="Q106" s="106">
        <v>-24</v>
      </c>
      <c r="R106" s="106">
        <v>-53.2</v>
      </c>
      <c r="S106" s="106">
        <v>-54.8</v>
      </c>
      <c r="T106" s="106">
        <v>-47.9</v>
      </c>
      <c r="U106" s="106">
        <v>-24.9</v>
      </c>
      <c r="V106" s="106">
        <v>-26</v>
      </c>
      <c r="W106" s="106">
        <v>-4.0999999999999996</v>
      </c>
      <c r="X106" s="106">
        <v>-5.0999999999999996</v>
      </c>
      <c r="Y106" s="106">
        <v>8.4</v>
      </c>
      <c r="Z106" s="106">
        <v>-10.8</v>
      </c>
      <c r="AA106" s="106">
        <v>-23</v>
      </c>
      <c r="AB106" s="106">
        <v>-33.6</v>
      </c>
      <c r="AC106" s="106">
        <v>-26.1</v>
      </c>
      <c r="AD106" s="106">
        <v>-47.6</v>
      </c>
      <c r="AE106" s="106">
        <v>-36.700000000000003</v>
      </c>
      <c r="AF106" s="106">
        <v>-10.3</v>
      </c>
      <c r="AG106" s="107"/>
      <c r="AH106" s="48">
        <f t="shared" si="10"/>
        <v>8.4</v>
      </c>
      <c r="AI106" s="49">
        <f t="shared" si="11"/>
        <v>-54.8</v>
      </c>
    </row>
    <row r="107" spans="1:37" x14ac:dyDescent="0.25">
      <c r="A107" s="105" t="s">
        <v>111</v>
      </c>
      <c r="B107" s="106">
        <v>-55</v>
      </c>
      <c r="C107" s="106">
        <v>-56</v>
      </c>
      <c r="D107" s="106">
        <v>-54</v>
      </c>
      <c r="E107" s="106">
        <v>-53.5</v>
      </c>
      <c r="F107" s="106">
        <v>-53.3</v>
      </c>
      <c r="G107" s="106">
        <v>-50</v>
      </c>
      <c r="H107" s="106">
        <v>-48.7</v>
      </c>
      <c r="I107" s="106">
        <v>-47.9</v>
      </c>
      <c r="J107" s="106">
        <v>-51.5</v>
      </c>
      <c r="K107" s="106">
        <v>-49.3</v>
      </c>
      <c r="L107" s="106">
        <v>-52.9</v>
      </c>
      <c r="M107" s="106">
        <v>-48.3</v>
      </c>
      <c r="N107" s="106">
        <v>-43.1</v>
      </c>
      <c r="O107" s="106">
        <v>-32.1</v>
      </c>
      <c r="P107" s="106">
        <v>-32.1</v>
      </c>
      <c r="Q107" s="106">
        <v>-32.1</v>
      </c>
      <c r="R107" s="106">
        <v>-39.700000000000003</v>
      </c>
      <c r="S107" s="106">
        <v>-40.299999999999997</v>
      </c>
      <c r="T107" s="106">
        <v>-43.5</v>
      </c>
      <c r="U107" s="106">
        <v>-48.1</v>
      </c>
      <c r="V107" s="106">
        <v>-49</v>
      </c>
      <c r="W107" s="106">
        <v>-58.1</v>
      </c>
      <c r="X107" s="106">
        <v>28</v>
      </c>
      <c r="Y107" s="106">
        <v>20</v>
      </c>
      <c r="Z107" s="106">
        <v>3</v>
      </c>
      <c r="AA107" s="106">
        <v>10</v>
      </c>
      <c r="AB107" s="106">
        <v>-51</v>
      </c>
      <c r="AC107" s="106">
        <v>-50.2</v>
      </c>
      <c r="AD107" s="106">
        <v>-44.6</v>
      </c>
      <c r="AE107" s="106">
        <v>-50.7</v>
      </c>
      <c r="AF107" s="106">
        <v>-55.3</v>
      </c>
      <c r="AG107" s="108"/>
      <c r="AH107" s="48">
        <f t="shared" si="10"/>
        <v>28</v>
      </c>
      <c r="AI107" s="49">
        <f t="shared" si="11"/>
        <v>-58.1</v>
      </c>
    </row>
    <row r="108" spans="1:37" x14ac:dyDescent="0.25">
      <c r="A108" s="109" t="s">
        <v>112</v>
      </c>
      <c r="B108" s="94">
        <v>109</v>
      </c>
      <c r="C108" s="94">
        <v>103</v>
      </c>
      <c r="D108" s="94">
        <v>100.4</v>
      </c>
      <c r="E108" s="94">
        <v>133.4</v>
      </c>
      <c r="F108" s="94">
        <v>102.5</v>
      </c>
      <c r="G108" s="94">
        <v>101.4</v>
      </c>
      <c r="H108" s="94">
        <v>99.7</v>
      </c>
      <c r="I108" s="94">
        <v>96.2</v>
      </c>
      <c r="J108" s="94">
        <v>89.3</v>
      </c>
      <c r="K108" s="94">
        <v>92.8</v>
      </c>
      <c r="L108" s="94">
        <v>86.8</v>
      </c>
      <c r="M108" s="94">
        <v>81</v>
      </c>
      <c r="N108" s="94">
        <v>88.3</v>
      </c>
      <c r="O108" s="94">
        <v>86.5</v>
      </c>
      <c r="P108" s="94">
        <v>86.5</v>
      </c>
      <c r="Q108" s="94">
        <v>86.5</v>
      </c>
      <c r="R108" s="94">
        <v>89.2</v>
      </c>
      <c r="S108" s="94">
        <v>82.8</v>
      </c>
      <c r="T108" s="94">
        <v>83.7</v>
      </c>
      <c r="U108" s="94">
        <v>80.3</v>
      </c>
      <c r="V108" s="94">
        <v>73</v>
      </c>
      <c r="W108" s="94">
        <v>63</v>
      </c>
      <c r="X108" s="94">
        <v>58.1</v>
      </c>
      <c r="Y108" s="94">
        <v>62.9</v>
      </c>
      <c r="Z108" s="94">
        <v>69.900000000000006</v>
      </c>
      <c r="AA108" s="94">
        <v>75</v>
      </c>
      <c r="AB108" s="94">
        <v>81.3</v>
      </c>
      <c r="AC108" s="94">
        <v>70.7</v>
      </c>
      <c r="AD108" s="94">
        <v>90.7</v>
      </c>
      <c r="AE108" s="94">
        <v>82.7</v>
      </c>
      <c r="AF108" s="94">
        <v>99.5</v>
      </c>
      <c r="AG108" s="108"/>
      <c r="AH108" s="48">
        <f t="shared" si="10"/>
        <v>133.4</v>
      </c>
      <c r="AI108" s="49">
        <f t="shared" si="11"/>
        <v>58.1</v>
      </c>
    </row>
    <row r="109" spans="1:37" ht="15.75" thickBot="1" x14ac:dyDescent="0.3">
      <c r="A109" s="109" t="s">
        <v>113</v>
      </c>
      <c r="B109" s="94">
        <v>98.9</v>
      </c>
      <c r="C109" s="94">
        <v>97</v>
      </c>
      <c r="D109" s="94">
        <v>98.9</v>
      </c>
      <c r="E109" s="94">
        <v>100.1</v>
      </c>
      <c r="F109" s="94">
        <v>100.4</v>
      </c>
      <c r="G109" s="94">
        <v>100.6</v>
      </c>
      <c r="H109" s="94">
        <v>99.9</v>
      </c>
      <c r="I109" s="94">
        <v>105.7</v>
      </c>
      <c r="J109" s="94">
        <v>99.4</v>
      </c>
      <c r="K109" s="94">
        <v>98.3</v>
      </c>
      <c r="L109" s="94">
        <v>99.9</v>
      </c>
      <c r="M109" s="94">
        <v>95.8</v>
      </c>
      <c r="N109" s="94">
        <v>100.8</v>
      </c>
      <c r="O109" s="94">
        <v>109</v>
      </c>
      <c r="P109" s="94">
        <v>98</v>
      </c>
      <c r="Q109" s="94">
        <v>100.2</v>
      </c>
      <c r="R109" s="94">
        <v>100.8</v>
      </c>
      <c r="S109" s="94">
        <v>103.9</v>
      </c>
      <c r="T109" s="94">
        <v>102.7</v>
      </c>
      <c r="U109" s="94">
        <v>94.7</v>
      </c>
      <c r="V109" s="94">
        <v>96</v>
      </c>
      <c r="W109" s="94">
        <v>74.599999999999994</v>
      </c>
      <c r="X109" s="94">
        <v>77.2</v>
      </c>
      <c r="Y109" s="94">
        <v>60.7</v>
      </c>
      <c r="Z109" s="94">
        <v>79.2</v>
      </c>
      <c r="AA109" s="94">
        <v>88</v>
      </c>
      <c r="AB109" s="94">
        <v>96</v>
      </c>
      <c r="AC109" s="94">
        <v>89.1</v>
      </c>
      <c r="AD109" s="94">
        <v>102</v>
      </c>
      <c r="AE109" s="94">
        <v>104</v>
      </c>
      <c r="AF109" s="94">
        <v>97</v>
      </c>
      <c r="AG109" s="108"/>
      <c r="AH109" s="48">
        <f t="shared" si="10"/>
        <v>109</v>
      </c>
      <c r="AI109" s="49">
        <f t="shared" si="11"/>
        <v>60.7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73" t="s">
        <v>248</v>
      </c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24">SUM(B111:B215)</f>
        <v>0</v>
      </c>
      <c r="C216" s="125">
        <f t="shared" si="24"/>
        <v>0</v>
      </c>
      <c r="D216" s="125">
        <f t="shared" si="24"/>
        <v>0</v>
      </c>
      <c r="E216" s="125">
        <f t="shared" si="24"/>
        <v>0</v>
      </c>
      <c r="F216" s="125">
        <f t="shared" si="24"/>
        <v>0</v>
      </c>
      <c r="G216" s="125">
        <f t="shared" si="24"/>
        <v>0</v>
      </c>
      <c r="H216" s="125">
        <f t="shared" si="24"/>
        <v>0</v>
      </c>
      <c r="I216" s="125">
        <f t="shared" si="24"/>
        <v>0</v>
      </c>
      <c r="J216" s="125">
        <f t="shared" si="24"/>
        <v>0</v>
      </c>
      <c r="K216" s="125">
        <f t="shared" si="24"/>
        <v>0</v>
      </c>
      <c r="L216" s="125">
        <f t="shared" si="24"/>
        <v>0</v>
      </c>
      <c r="M216" s="125">
        <f t="shared" si="24"/>
        <v>0</v>
      </c>
      <c r="N216" s="125">
        <f t="shared" si="24"/>
        <v>0</v>
      </c>
      <c r="O216" s="125">
        <f t="shared" si="24"/>
        <v>0</v>
      </c>
      <c r="P216" s="125">
        <f t="shared" si="24"/>
        <v>0</v>
      </c>
      <c r="Q216" s="125">
        <f t="shared" si="24"/>
        <v>0</v>
      </c>
      <c r="R216" s="125">
        <f t="shared" si="24"/>
        <v>0</v>
      </c>
      <c r="S216" s="125">
        <f t="shared" si="24"/>
        <v>0</v>
      </c>
      <c r="T216" s="125">
        <f t="shared" si="24"/>
        <v>0</v>
      </c>
      <c r="U216" s="125">
        <f t="shared" si="24"/>
        <v>0</v>
      </c>
      <c r="V216" s="125">
        <f t="shared" si="24"/>
        <v>0</v>
      </c>
      <c r="W216" s="125">
        <f t="shared" si="24"/>
        <v>0</v>
      </c>
      <c r="X216" s="125">
        <f t="shared" si="24"/>
        <v>0</v>
      </c>
      <c r="Y216" s="125">
        <f t="shared" si="24"/>
        <v>0</v>
      </c>
      <c r="Z216" s="125">
        <f t="shared" si="24"/>
        <v>0</v>
      </c>
      <c r="AA216" s="125">
        <f t="shared" si="24"/>
        <v>0</v>
      </c>
      <c r="AB216" s="125">
        <f t="shared" si="24"/>
        <v>0</v>
      </c>
      <c r="AC216" s="125">
        <f t="shared" si="24"/>
        <v>0</v>
      </c>
      <c r="AD216" s="125">
        <f t="shared" si="24"/>
        <v>0</v>
      </c>
      <c r="AE216" s="125">
        <f t="shared" si="24"/>
        <v>0</v>
      </c>
      <c r="AF216" s="126">
        <f t="shared" si="24"/>
        <v>0</v>
      </c>
      <c r="AG216" s="127">
        <f t="shared" si="24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25">AF218</f>
        <v>0</v>
      </c>
      <c r="C218" s="129">
        <v>0.3</v>
      </c>
      <c r="D218" s="129">
        <f t="shared" ref="D218:P223" si="26">C218</f>
        <v>0.3</v>
      </c>
      <c r="E218" s="129">
        <f t="shared" si="26"/>
        <v>0.3</v>
      </c>
      <c r="F218" s="129">
        <f t="shared" si="26"/>
        <v>0.3</v>
      </c>
      <c r="G218" s="129">
        <f t="shared" si="26"/>
        <v>0.3</v>
      </c>
      <c r="H218" s="129">
        <f t="shared" si="26"/>
        <v>0.3</v>
      </c>
      <c r="I218" s="129">
        <f t="shared" si="26"/>
        <v>0.3</v>
      </c>
      <c r="J218" s="129">
        <f t="shared" si="26"/>
        <v>0.3</v>
      </c>
      <c r="K218" s="129">
        <f t="shared" si="26"/>
        <v>0.3</v>
      </c>
      <c r="L218" s="129">
        <f t="shared" si="26"/>
        <v>0.3</v>
      </c>
      <c r="M218" s="129">
        <f t="shared" si="26"/>
        <v>0.3</v>
      </c>
      <c r="N218" s="129">
        <f t="shared" si="26"/>
        <v>0.3</v>
      </c>
      <c r="O218" s="129">
        <f t="shared" si="26"/>
        <v>0.3</v>
      </c>
      <c r="P218" s="129">
        <f t="shared" si="26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25"/>
        <v>0</v>
      </c>
      <c r="C219" s="117">
        <v>0.4</v>
      </c>
      <c r="D219" s="117">
        <f t="shared" si="26"/>
        <v>0.4</v>
      </c>
      <c r="E219" s="117">
        <f t="shared" si="26"/>
        <v>0.4</v>
      </c>
      <c r="F219" s="117">
        <f t="shared" si="26"/>
        <v>0.4</v>
      </c>
      <c r="G219" s="117">
        <f t="shared" si="26"/>
        <v>0.4</v>
      </c>
      <c r="H219" s="117">
        <f t="shared" si="26"/>
        <v>0.4</v>
      </c>
      <c r="I219" s="117">
        <f t="shared" si="26"/>
        <v>0.4</v>
      </c>
      <c r="J219" s="117">
        <f t="shared" si="26"/>
        <v>0.4</v>
      </c>
      <c r="K219" s="117">
        <f t="shared" si="26"/>
        <v>0.4</v>
      </c>
      <c r="L219" s="117">
        <f t="shared" si="26"/>
        <v>0.4</v>
      </c>
      <c r="M219" s="117">
        <f t="shared" si="26"/>
        <v>0.4</v>
      </c>
      <c r="N219" s="117">
        <f t="shared" si="26"/>
        <v>0.4</v>
      </c>
      <c r="O219" s="117">
        <f t="shared" si="26"/>
        <v>0.4</v>
      </c>
      <c r="P219" s="117">
        <f t="shared" si="26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25"/>
        <v>0</v>
      </c>
      <c r="C220" s="117">
        <v>1.5</v>
      </c>
      <c r="D220" s="117">
        <f t="shared" si="26"/>
        <v>1.5</v>
      </c>
      <c r="E220" s="117">
        <f t="shared" si="26"/>
        <v>1.5</v>
      </c>
      <c r="F220" s="117">
        <f t="shared" si="26"/>
        <v>1.5</v>
      </c>
      <c r="G220" s="117">
        <f t="shared" si="26"/>
        <v>1.5</v>
      </c>
      <c r="H220" s="117">
        <f t="shared" si="26"/>
        <v>1.5</v>
      </c>
      <c r="I220" s="117">
        <f t="shared" si="26"/>
        <v>1.5</v>
      </c>
      <c r="J220" s="117">
        <f t="shared" si="26"/>
        <v>1.5</v>
      </c>
      <c r="K220" s="117">
        <f t="shared" si="26"/>
        <v>1.5</v>
      </c>
      <c r="L220" s="117">
        <f t="shared" si="26"/>
        <v>1.5</v>
      </c>
      <c r="M220" s="117">
        <f t="shared" si="26"/>
        <v>1.5</v>
      </c>
      <c r="N220" s="117">
        <f t="shared" si="26"/>
        <v>1.5</v>
      </c>
      <c r="O220" s="117">
        <f t="shared" si="26"/>
        <v>1.5</v>
      </c>
      <c r="P220" s="117">
        <f t="shared" si="26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25"/>
        <v>0</v>
      </c>
      <c r="C221" s="117">
        <v>0.3</v>
      </c>
      <c r="D221" s="117">
        <f t="shared" si="26"/>
        <v>0.3</v>
      </c>
      <c r="E221" s="117">
        <f t="shared" si="26"/>
        <v>0.3</v>
      </c>
      <c r="F221" s="117">
        <f t="shared" si="26"/>
        <v>0.3</v>
      </c>
      <c r="G221" s="117">
        <f t="shared" si="26"/>
        <v>0.3</v>
      </c>
      <c r="H221" s="117">
        <f t="shared" si="26"/>
        <v>0.3</v>
      </c>
      <c r="I221" s="117">
        <f t="shared" si="26"/>
        <v>0.3</v>
      </c>
      <c r="J221" s="117">
        <f t="shared" si="26"/>
        <v>0.3</v>
      </c>
      <c r="K221" s="117">
        <f t="shared" si="26"/>
        <v>0.3</v>
      </c>
      <c r="L221" s="117">
        <f t="shared" si="26"/>
        <v>0.3</v>
      </c>
      <c r="M221" s="117">
        <f t="shared" si="26"/>
        <v>0.3</v>
      </c>
      <c r="N221" s="117">
        <f t="shared" si="26"/>
        <v>0.3</v>
      </c>
      <c r="O221" s="117">
        <f t="shared" si="26"/>
        <v>0.3</v>
      </c>
      <c r="P221" s="117">
        <f t="shared" si="26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25"/>
        <v>0</v>
      </c>
      <c r="C222" s="117">
        <v>0.4</v>
      </c>
      <c r="D222" s="117">
        <f t="shared" si="26"/>
        <v>0.4</v>
      </c>
      <c r="E222" s="117">
        <f t="shared" si="26"/>
        <v>0.4</v>
      </c>
      <c r="F222" s="117">
        <f t="shared" si="26"/>
        <v>0.4</v>
      </c>
      <c r="G222" s="117">
        <f t="shared" si="26"/>
        <v>0.4</v>
      </c>
      <c r="H222" s="117">
        <f t="shared" si="26"/>
        <v>0.4</v>
      </c>
      <c r="I222" s="117">
        <f t="shared" si="26"/>
        <v>0.4</v>
      </c>
      <c r="J222" s="117">
        <f t="shared" si="26"/>
        <v>0.4</v>
      </c>
      <c r="K222" s="117">
        <f t="shared" si="26"/>
        <v>0.4</v>
      </c>
      <c r="L222" s="117">
        <f t="shared" si="26"/>
        <v>0.4</v>
      </c>
      <c r="M222" s="117">
        <f t="shared" si="26"/>
        <v>0.4</v>
      </c>
      <c r="N222" s="117">
        <f t="shared" si="26"/>
        <v>0.4</v>
      </c>
      <c r="O222" s="117">
        <f t="shared" si="26"/>
        <v>0.4</v>
      </c>
      <c r="P222" s="117">
        <f t="shared" si="26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25"/>
        <v>0</v>
      </c>
      <c r="C223" s="121">
        <v>0.64</v>
      </c>
      <c r="D223" s="121">
        <f t="shared" si="26"/>
        <v>0.64</v>
      </c>
      <c r="E223" s="121">
        <f t="shared" si="26"/>
        <v>0.64</v>
      </c>
      <c r="F223" s="121">
        <f t="shared" si="26"/>
        <v>0.64</v>
      </c>
      <c r="G223" s="121">
        <f t="shared" si="26"/>
        <v>0.64</v>
      </c>
      <c r="H223" s="121">
        <f t="shared" si="26"/>
        <v>0.64</v>
      </c>
      <c r="I223" s="121">
        <f t="shared" si="26"/>
        <v>0.64</v>
      </c>
      <c r="J223" s="121">
        <f t="shared" si="26"/>
        <v>0.64</v>
      </c>
      <c r="K223" s="121">
        <f t="shared" si="26"/>
        <v>0.64</v>
      </c>
      <c r="L223" s="121">
        <f t="shared" si="26"/>
        <v>0.64</v>
      </c>
      <c r="M223" s="121">
        <f t="shared" si="26"/>
        <v>0.64</v>
      </c>
      <c r="N223" s="121">
        <f t="shared" si="26"/>
        <v>0.64</v>
      </c>
      <c r="O223" s="121">
        <f t="shared" si="26"/>
        <v>0.64</v>
      </c>
      <c r="P223" s="121">
        <f t="shared" si="26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7">SUM(B218:B223)</f>
        <v>0</v>
      </c>
      <c r="C224" s="125">
        <f t="shared" si="27"/>
        <v>3.54</v>
      </c>
      <c r="D224" s="125">
        <f t="shared" si="27"/>
        <v>3.54</v>
      </c>
      <c r="E224" s="125">
        <f t="shared" si="27"/>
        <v>3.54</v>
      </c>
      <c r="F224" s="125">
        <f t="shared" si="27"/>
        <v>3.54</v>
      </c>
      <c r="G224" s="125">
        <f t="shared" si="27"/>
        <v>3.54</v>
      </c>
      <c r="H224" s="125">
        <f t="shared" si="27"/>
        <v>3.54</v>
      </c>
      <c r="I224" s="125">
        <f t="shared" si="27"/>
        <v>3.54</v>
      </c>
      <c r="J224" s="125">
        <f t="shared" si="27"/>
        <v>3.54</v>
      </c>
      <c r="K224" s="125">
        <f t="shared" si="27"/>
        <v>3.54</v>
      </c>
      <c r="L224" s="125">
        <f t="shared" si="27"/>
        <v>3.54</v>
      </c>
      <c r="M224" s="125">
        <f t="shared" si="27"/>
        <v>3.54</v>
      </c>
      <c r="N224" s="125">
        <f t="shared" si="27"/>
        <v>3.54</v>
      </c>
      <c r="O224" s="125">
        <f t="shared" si="27"/>
        <v>3.54</v>
      </c>
      <c r="P224" s="125">
        <f t="shared" si="27"/>
        <v>3.54</v>
      </c>
      <c r="Q224" s="125">
        <f t="shared" si="27"/>
        <v>0</v>
      </c>
      <c r="R224" s="125">
        <f t="shared" si="27"/>
        <v>0</v>
      </c>
      <c r="S224" s="125">
        <f t="shared" si="27"/>
        <v>0</v>
      </c>
      <c r="T224" s="125">
        <f t="shared" si="27"/>
        <v>0</v>
      </c>
      <c r="U224" s="125">
        <f t="shared" si="27"/>
        <v>0</v>
      </c>
      <c r="V224" s="125">
        <f t="shared" si="27"/>
        <v>0</v>
      </c>
      <c r="W224" s="125">
        <f t="shared" si="27"/>
        <v>0</v>
      </c>
      <c r="X224" s="125">
        <f t="shared" si="27"/>
        <v>0</v>
      </c>
      <c r="Y224" s="125">
        <f t="shared" si="27"/>
        <v>0</v>
      </c>
      <c r="Z224" s="125">
        <f t="shared" si="27"/>
        <v>0</v>
      </c>
      <c r="AA224" s="125">
        <f t="shared" si="27"/>
        <v>0</v>
      </c>
      <c r="AB224" s="125">
        <f t="shared" si="27"/>
        <v>0</v>
      </c>
      <c r="AC224" s="125">
        <f t="shared" si="27"/>
        <v>0</v>
      </c>
      <c r="AD224" s="125">
        <f t="shared" si="27"/>
        <v>0</v>
      </c>
      <c r="AE224" s="125">
        <f t="shared" si="27"/>
        <v>0</v>
      </c>
      <c r="AF224" s="125">
        <f t="shared" si="27"/>
        <v>0</v>
      </c>
      <c r="AG224" s="134">
        <f t="shared" si="27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1343.74</v>
      </c>
      <c r="C233" s="150">
        <f>INDEX(G9:N9,1,MATCH(MAX(G81:N81),G81:N81,0))</f>
        <v>0.3125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17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2079/06/17)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2079/06/17)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28">B81</f>
        <v>1044.74</v>
      </c>
      <c r="U238" s="159">
        <f t="shared" si="28"/>
        <v>1048.6399999999999</v>
      </c>
      <c r="V238" s="159">
        <f t="shared" si="28"/>
        <v>1041.74</v>
      </c>
      <c r="W238" s="159">
        <f t="shared" si="28"/>
        <v>1044.3399999999999</v>
      </c>
      <c r="X238" s="159">
        <f t="shared" si="28"/>
        <v>1038.8399999999999</v>
      </c>
      <c r="Y238" s="159">
        <f t="shared" si="28"/>
        <v>1099.24</v>
      </c>
      <c r="Z238" s="159">
        <f t="shared" si="28"/>
        <v>1138.44</v>
      </c>
      <c r="AA238" s="159">
        <f t="shared" si="28"/>
        <v>1177.04</v>
      </c>
      <c r="AB238" s="159">
        <f t="shared" si="28"/>
        <v>1252.04</v>
      </c>
      <c r="AC238" s="159">
        <f t="shared" si="28"/>
        <v>1300.8399999999999</v>
      </c>
      <c r="AD238" s="159">
        <f t="shared" si="28"/>
        <v>1343.74</v>
      </c>
      <c r="AE238" s="159">
        <f t="shared" si="28"/>
        <v>1332.6399999999999</v>
      </c>
      <c r="AF238" s="159">
        <f t="shared" si="28"/>
        <v>1313.1399999999999</v>
      </c>
      <c r="AG238" s="159">
        <f t="shared" si="28"/>
        <v>1289.1399999999999</v>
      </c>
      <c r="AH238" s="159">
        <f t="shared" si="28"/>
        <v>1274.54</v>
      </c>
      <c r="AI238" s="159">
        <f t="shared" si="28"/>
        <v>1262.4399999999998</v>
      </c>
      <c r="AJ238" s="159">
        <f t="shared" si="28"/>
        <v>1257.9399999999998</v>
      </c>
      <c r="AK238" s="159">
        <f t="shared" si="28"/>
        <v>1249.1399999999999</v>
      </c>
      <c r="AL238" s="159">
        <f t="shared" si="28"/>
        <v>1251.74</v>
      </c>
      <c r="AM238" s="159">
        <f t="shared" si="28"/>
        <v>1268.24</v>
      </c>
      <c r="AN238" s="159">
        <f t="shared" si="28"/>
        <v>1309.1400000000001</v>
      </c>
      <c r="AO238" s="159">
        <f t="shared" si="28"/>
        <v>1340.94</v>
      </c>
      <c r="AP238" s="159">
        <f t="shared" si="28"/>
        <v>1442.04</v>
      </c>
      <c r="AQ238" s="159">
        <f t="shared" si="28"/>
        <v>1373.94</v>
      </c>
      <c r="AR238" s="159">
        <f t="shared" si="28"/>
        <v>1335.7399999999998</v>
      </c>
      <c r="AS238" s="159">
        <f t="shared" si="28"/>
        <v>1320.44</v>
      </c>
      <c r="AT238" s="159">
        <f t="shared" si="28"/>
        <v>1310.54</v>
      </c>
      <c r="AU238" s="159">
        <f t="shared" si="28"/>
        <v>1264.6399999999999</v>
      </c>
      <c r="AV238" s="159">
        <f t="shared" si="28"/>
        <v>1213.74</v>
      </c>
      <c r="AW238" s="159">
        <f t="shared" si="28"/>
        <v>1157.74</v>
      </c>
      <c r="AX238" s="159">
        <f t="shared" si="28"/>
        <v>1088.44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29">C223</f>
        <v>0.64</v>
      </c>
      <c r="C259" s="162">
        <f t="shared" si="29"/>
        <v>0.64</v>
      </c>
      <c r="D259" s="162">
        <f t="shared" si="29"/>
        <v>0.64</v>
      </c>
      <c r="E259" s="162">
        <f t="shared" si="29"/>
        <v>0.64</v>
      </c>
      <c r="F259" s="162">
        <f t="shared" si="29"/>
        <v>0.64</v>
      </c>
      <c r="G259" s="162">
        <f t="shared" si="29"/>
        <v>0.64</v>
      </c>
      <c r="H259" s="162">
        <f t="shared" si="29"/>
        <v>0.64</v>
      </c>
      <c r="I259" s="162">
        <f t="shared" si="29"/>
        <v>0.64</v>
      </c>
      <c r="J259" s="162">
        <f t="shared" si="29"/>
        <v>0.64</v>
      </c>
      <c r="K259" s="162">
        <f t="shared" si="29"/>
        <v>0.64</v>
      </c>
      <c r="L259" s="162">
        <f t="shared" si="29"/>
        <v>0.64</v>
      </c>
      <c r="M259" s="162">
        <f t="shared" si="29"/>
        <v>0.64</v>
      </c>
      <c r="N259" s="162">
        <f t="shared" si="29"/>
        <v>0.64</v>
      </c>
      <c r="O259" s="162">
        <f t="shared" si="29"/>
        <v>0.64</v>
      </c>
      <c r="P259" s="162">
        <f t="shared" si="29"/>
        <v>0</v>
      </c>
      <c r="Q259" s="162">
        <f t="shared" si="29"/>
        <v>0</v>
      </c>
      <c r="R259" s="162">
        <f t="shared" si="29"/>
        <v>0</v>
      </c>
      <c r="S259" s="162">
        <f t="shared" si="29"/>
        <v>0</v>
      </c>
      <c r="T259" s="162">
        <f t="shared" si="29"/>
        <v>0</v>
      </c>
      <c r="U259" s="162">
        <f t="shared" si="29"/>
        <v>0</v>
      </c>
      <c r="V259" s="162">
        <f t="shared" si="29"/>
        <v>0</v>
      </c>
      <c r="W259" s="162">
        <f t="shared" si="29"/>
        <v>0</v>
      </c>
      <c r="X259" s="162">
        <f t="shared" si="29"/>
        <v>0</v>
      </c>
      <c r="Y259" s="162">
        <f t="shared" si="29"/>
        <v>0</v>
      </c>
      <c r="Z259" s="162">
        <f t="shared" si="29"/>
        <v>0</v>
      </c>
      <c r="AA259" s="162">
        <f t="shared" si="29"/>
        <v>0</v>
      </c>
      <c r="AB259" s="162">
        <f t="shared" si="29"/>
        <v>0</v>
      </c>
      <c r="AC259" s="162">
        <f t="shared" si="29"/>
        <v>0</v>
      </c>
      <c r="AD259" s="162">
        <f t="shared" si="29"/>
        <v>0</v>
      </c>
      <c r="AE259" s="162">
        <f t="shared" si="29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30">IF(B227&lt;100,"",B227-520)</f>
        <v/>
      </c>
      <c r="C260" s="163" t="str">
        <f t="shared" si="30"/>
        <v/>
      </c>
      <c r="D260" s="163" t="str">
        <f t="shared" si="30"/>
        <v/>
      </c>
      <c r="E260" s="163" t="str">
        <f t="shared" si="30"/>
        <v/>
      </c>
      <c r="F260" s="163" t="str">
        <f t="shared" si="30"/>
        <v/>
      </c>
      <c r="G260" s="163" t="str">
        <f t="shared" si="30"/>
        <v/>
      </c>
      <c r="H260" s="163" t="str">
        <f t="shared" si="30"/>
        <v/>
      </c>
      <c r="I260" s="163" t="str">
        <f t="shared" si="30"/>
        <v/>
      </c>
      <c r="J260" s="163" t="str">
        <f t="shared" si="30"/>
        <v/>
      </c>
      <c r="K260" s="163" t="str">
        <f t="shared" si="30"/>
        <v/>
      </c>
      <c r="L260" s="163" t="str">
        <f t="shared" si="30"/>
        <v/>
      </c>
      <c r="M260" s="163" t="str">
        <f t="shared" si="30"/>
        <v/>
      </c>
      <c r="N260" s="163" t="str">
        <f t="shared" si="30"/>
        <v/>
      </c>
      <c r="O260" s="163" t="str">
        <f t="shared" si="30"/>
        <v/>
      </c>
      <c r="P260" s="163" t="str">
        <f t="shared" si="30"/>
        <v/>
      </c>
      <c r="Q260" s="163" t="str">
        <f t="shared" si="30"/>
        <v/>
      </c>
      <c r="R260" s="163" t="str">
        <f t="shared" si="30"/>
        <v/>
      </c>
      <c r="S260" s="163" t="str">
        <f t="shared" si="30"/>
        <v/>
      </c>
      <c r="T260" s="163" t="str">
        <f t="shared" si="30"/>
        <v/>
      </c>
      <c r="U260" s="163" t="str">
        <f t="shared" si="30"/>
        <v/>
      </c>
      <c r="V260" s="163" t="str">
        <f t="shared" si="30"/>
        <v/>
      </c>
      <c r="W260" s="163" t="str">
        <f t="shared" si="30"/>
        <v/>
      </c>
      <c r="X260" s="163" t="str">
        <f t="shared" si="30"/>
        <v/>
      </c>
      <c r="Y260" s="163" t="str">
        <f t="shared" si="30"/>
        <v/>
      </c>
      <c r="Z260" s="163" t="str">
        <f t="shared" si="30"/>
        <v/>
      </c>
      <c r="AA260" s="163" t="str">
        <f t="shared" si="30"/>
        <v/>
      </c>
      <c r="AB260" s="163" t="str">
        <f t="shared" si="30"/>
        <v/>
      </c>
      <c r="AC260" s="163" t="str">
        <f t="shared" si="30"/>
        <v/>
      </c>
      <c r="AD260" s="163" t="str">
        <f t="shared" si="30"/>
        <v/>
      </c>
      <c r="AE260" s="163" t="str">
        <f t="shared" si="30"/>
        <v/>
      </c>
      <c r="AF260" s="163" t="str">
        <f t="shared" si="30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31">IF(B228&lt;100,"",B228-620)</f>
        <v/>
      </c>
      <c r="C261" s="163" t="str">
        <f t="shared" si="31"/>
        <v/>
      </c>
      <c r="D261" s="163" t="str">
        <f t="shared" si="31"/>
        <v/>
      </c>
      <c r="E261" s="163" t="str">
        <f t="shared" si="31"/>
        <v/>
      </c>
      <c r="F261" s="163" t="str">
        <f t="shared" si="31"/>
        <v/>
      </c>
      <c r="G261" s="163" t="str">
        <f t="shared" si="31"/>
        <v/>
      </c>
      <c r="H261" s="163" t="str">
        <f t="shared" si="31"/>
        <v/>
      </c>
      <c r="I261" s="163" t="str">
        <f t="shared" si="31"/>
        <v/>
      </c>
      <c r="J261" s="163" t="str">
        <f t="shared" si="31"/>
        <v/>
      </c>
      <c r="K261" s="163" t="str">
        <f t="shared" si="31"/>
        <v/>
      </c>
      <c r="L261" s="163" t="str">
        <f t="shared" si="31"/>
        <v/>
      </c>
      <c r="M261" s="163" t="str">
        <f t="shared" si="31"/>
        <v/>
      </c>
      <c r="N261" s="163" t="str">
        <f t="shared" si="31"/>
        <v/>
      </c>
      <c r="O261" s="163" t="str">
        <f t="shared" si="31"/>
        <v/>
      </c>
      <c r="P261" s="163" t="str">
        <f t="shared" si="31"/>
        <v/>
      </c>
      <c r="Q261" s="163" t="str">
        <f t="shared" si="31"/>
        <v/>
      </c>
      <c r="R261" s="163" t="str">
        <f t="shared" si="31"/>
        <v/>
      </c>
      <c r="S261" s="163" t="str">
        <f t="shared" si="31"/>
        <v/>
      </c>
      <c r="T261" s="163" t="str">
        <f t="shared" si="31"/>
        <v/>
      </c>
      <c r="U261" s="163" t="str">
        <f t="shared" si="31"/>
        <v/>
      </c>
      <c r="V261" s="163" t="str">
        <f t="shared" si="31"/>
        <v/>
      </c>
      <c r="W261" s="163" t="str">
        <f t="shared" si="31"/>
        <v/>
      </c>
      <c r="X261" s="163" t="str">
        <f t="shared" si="31"/>
        <v/>
      </c>
      <c r="Y261" s="163" t="str">
        <f t="shared" si="31"/>
        <v/>
      </c>
      <c r="Z261" s="163" t="str">
        <f t="shared" si="31"/>
        <v/>
      </c>
      <c r="AA261" s="163" t="str">
        <f t="shared" si="31"/>
        <v/>
      </c>
      <c r="AB261" s="163" t="str">
        <f t="shared" si="31"/>
        <v/>
      </c>
      <c r="AC261" s="163" t="str">
        <f t="shared" si="31"/>
        <v/>
      </c>
      <c r="AD261" s="163" t="str">
        <f t="shared" si="31"/>
        <v/>
      </c>
      <c r="AE261" s="163" t="str">
        <f t="shared" si="31"/>
        <v/>
      </c>
      <c r="AF261" s="163" t="str">
        <f t="shared" si="31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2">IF(B229&lt;100,"",B229-330)</f>
        <v/>
      </c>
      <c r="C262" s="163" t="str">
        <f t="shared" si="32"/>
        <v/>
      </c>
      <c r="D262" s="163" t="str">
        <f t="shared" si="32"/>
        <v/>
      </c>
      <c r="E262" s="163" t="str">
        <f t="shared" si="32"/>
        <v/>
      </c>
      <c r="F262" s="163" t="str">
        <f t="shared" si="32"/>
        <v/>
      </c>
      <c r="G262" s="163" t="str">
        <f t="shared" si="32"/>
        <v/>
      </c>
      <c r="H262" s="163" t="str">
        <f t="shared" si="32"/>
        <v/>
      </c>
      <c r="I262" s="163" t="str">
        <f t="shared" si="32"/>
        <v/>
      </c>
      <c r="J262" s="163" t="str">
        <f t="shared" si="32"/>
        <v/>
      </c>
      <c r="K262" s="163" t="str">
        <f t="shared" si="32"/>
        <v/>
      </c>
      <c r="L262" s="163" t="str">
        <f t="shared" si="32"/>
        <v/>
      </c>
      <c r="M262" s="163" t="str">
        <f t="shared" si="32"/>
        <v/>
      </c>
      <c r="N262" s="163" t="str">
        <f t="shared" si="32"/>
        <v/>
      </c>
      <c r="O262" s="163" t="str">
        <f t="shared" si="32"/>
        <v/>
      </c>
      <c r="P262" s="163" t="str">
        <f t="shared" si="32"/>
        <v/>
      </c>
      <c r="Q262" s="163" t="str">
        <f t="shared" si="32"/>
        <v/>
      </c>
      <c r="R262" s="163" t="str">
        <f t="shared" si="32"/>
        <v/>
      </c>
      <c r="S262" s="163" t="str">
        <f t="shared" si="32"/>
        <v/>
      </c>
      <c r="T262" s="163" t="str">
        <f t="shared" si="32"/>
        <v/>
      </c>
      <c r="U262" s="163" t="str">
        <f t="shared" si="32"/>
        <v/>
      </c>
      <c r="V262" s="163" t="str">
        <f t="shared" si="32"/>
        <v/>
      </c>
      <c r="W262" s="163" t="str">
        <f t="shared" si="32"/>
        <v/>
      </c>
      <c r="X262" s="163" t="str">
        <f t="shared" si="32"/>
        <v/>
      </c>
      <c r="Y262" s="163" t="str">
        <f t="shared" si="32"/>
        <v/>
      </c>
      <c r="Z262" s="163" t="str">
        <f t="shared" si="32"/>
        <v/>
      </c>
      <c r="AA262" s="163" t="str">
        <f t="shared" si="32"/>
        <v/>
      </c>
      <c r="AB262" s="163" t="str">
        <f t="shared" si="32"/>
        <v/>
      </c>
      <c r="AC262" s="163" t="str">
        <f t="shared" si="32"/>
        <v/>
      </c>
      <c r="AD262" s="163" t="str">
        <f t="shared" si="32"/>
        <v/>
      </c>
      <c r="AE262" s="163" t="str">
        <f t="shared" si="32"/>
        <v/>
      </c>
      <c r="AF262" s="163" t="str">
        <f t="shared" si="32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3">IF(B230&lt;100,"",B230-1500)</f>
        <v/>
      </c>
      <c r="C263" s="163" t="str">
        <f t="shared" si="33"/>
        <v/>
      </c>
      <c r="D263" s="163" t="str">
        <f t="shared" si="33"/>
        <v/>
      </c>
      <c r="E263" s="163" t="str">
        <f t="shared" si="33"/>
        <v/>
      </c>
      <c r="F263" s="163" t="str">
        <f t="shared" si="33"/>
        <v/>
      </c>
      <c r="G263" s="163" t="str">
        <f t="shared" si="33"/>
        <v/>
      </c>
      <c r="H263" s="163" t="str">
        <f t="shared" si="33"/>
        <v/>
      </c>
      <c r="I263" s="163" t="str">
        <f t="shared" si="33"/>
        <v/>
      </c>
      <c r="J263" s="163" t="str">
        <f t="shared" si="33"/>
        <v/>
      </c>
      <c r="K263" s="163" t="str">
        <f t="shared" si="33"/>
        <v/>
      </c>
      <c r="L263" s="163" t="str">
        <f t="shared" si="33"/>
        <v/>
      </c>
      <c r="M263" s="163" t="str">
        <f t="shared" si="33"/>
        <v/>
      </c>
      <c r="N263" s="163" t="str">
        <f t="shared" si="33"/>
        <v/>
      </c>
      <c r="O263" s="163" t="str">
        <f t="shared" si="33"/>
        <v/>
      </c>
      <c r="P263" s="163" t="str">
        <f t="shared" si="33"/>
        <v/>
      </c>
      <c r="Q263" s="163" t="str">
        <f t="shared" si="33"/>
        <v/>
      </c>
      <c r="R263" s="163" t="str">
        <f t="shared" si="33"/>
        <v/>
      </c>
      <c r="S263" s="163" t="str">
        <f t="shared" si="33"/>
        <v/>
      </c>
      <c r="T263" s="163" t="str">
        <f t="shared" si="33"/>
        <v/>
      </c>
      <c r="U263" s="163" t="str">
        <f t="shared" si="33"/>
        <v/>
      </c>
      <c r="V263" s="163" t="str">
        <f t="shared" si="33"/>
        <v/>
      </c>
      <c r="W263" s="163" t="str">
        <f t="shared" si="33"/>
        <v/>
      </c>
      <c r="X263" s="163" t="str">
        <f t="shared" si="33"/>
        <v/>
      </c>
      <c r="Y263" s="163" t="str">
        <f t="shared" si="33"/>
        <v/>
      </c>
      <c r="Z263" s="163" t="str">
        <f t="shared" si="33"/>
        <v/>
      </c>
      <c r="AA263" s="163" t="str">
        <f t="shared" si="33"/>
        <v/>
      </c>
      <c r="AB263" s="163" t="str">
        <f t="shared" si="33"/>
        <v/>
      </c>
      <c r="AC263" s="163" t="str">
        <f t="shared" si="33"/>
        <v/>
      </c>
      <c r="AD263" s="163" t="str">
        <f t="shared" si="33"/>
        <v/>
      </c>
      <c r="AE263" s="163" t="str">
        <f t="shared" si="33"/>
        <v/>
      </c>
      <c r="AF263" s="163" t="str">
        <f t="shared" si="33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B20:AF23 B16:AF16 T11:AF11">
    <cfRule type="expression" dxfId="6033" priority="239">
      <formula>B$9&gt;=20/24</formula>
    </cfRule>
    <cfRule type="expression" dxfId="6032" priority="240">
      <formula>AND(B$9&gt;=14/24,B$9&lt;20/24)</formula>
    </cfRule>
    <cfRule type="expression" dxfId="6031" priority="241">
      <formula>AND(B$9&gt;=8/24,B$9&lt;14/24)</formula>
    </cfRule>
    <cfRule type="expression" dxfId="6030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6029" priority="234">
      <formula>S$9&gt;=20/24</formula>
    </cfRule>
    <cfRule type="expression" dxfId="6028" priority="235">
      <formula>AND(S$9&gt;=14/24,S$9&lt;20/24)</formula>
    </cfRule>
    <cfRule type="expression" dxfId="6027" priority="236">
      <formula>AND(S$9&gt;=8/24,S$9&lt;14/24)</formula>
    </cfRule>
    <cfRule type="expression" dxfId="6026" priority="237">
      <formula>S$9&lt;8/24</formula>
    </cfRule>
  </conditionalFormatting>
  <conditionalFormatting sqref="AG57 B12:R16 S39:AF39 B18:AF18 B20:AF23 S11:AF16 B37:AF37">
    <cfRule type="expression" dxfId="6025" priority="233">
      <formula>B11&gt;$AG11</formula>
    </cfRule>
  </conditionalFormatting>
  <conditionalFormatting sqref="A91:A101 A11:A14 A51:A78 A87:A89 A194:A224 A38:A49 A110:A181 A34:A35 A83:A85 A80:A81 A103:A105 A31:A32 A18:A29 A16">
    <cfRule type="expression" dxfId="6024" priority="232">
      <formula>$AH11=0</formula>
    </cfRule>
  </conditionalFormatting>
  <conditionalFormatting sqref="A106">
    <cfRule type="expression" dxfId="6023" priority="231">
      <formula>$AH106=0</formula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6022" priority="229">
      <formula>$AH37=0</formula>
    </cfRule>
  </conditionalFormatting>
  <conditionalFormatting sqref="A90">
    <cfRule type="expression" dxfId="6021" priority="228">
      <formula>$AH90=0</formula>
    </cfRule>
  </conditionalFormatting>
  <conditionalFormatting sqref="A15">
    <cfRule type="expression" dxfId="6020" priority="227">
      <formula>$AH15=0</formula>
    </cfRule>
  </conditionalFormatting>
  <conditionalFormatting sqref="A188:A193">
    <cfRule type="expression" dxfId="6019" priority="226">
      <formula>$AH188=0</formula>
    </cfRule>
  </conditionalFormatting>
  <conditionalFormatting sqref="A182:A187">
    <cfRule type="expression" dxfId="6018" priority="225">
      <formula>$AH182=0</formula>
    </cfRule>
  </conditionalFormatting>
  <conditionalFormatting sqref="A50">
    <cfRule type="expression" dxfId="6017" priority="224">
      <formula>$AH50=0</formula>
    </cfRule>
  </conditionalFormatting>
  <conditionalFormatting sqref="A86">
    <cfRule type="expression" dxfId="6016" priority="223">
      <formula>$AH86=0</formula>
    </cfRule>
  </conditionalFormatting>
  <conditionalFormatting sqref="C91:AF91">
    <cfRule type="expression" dxfId="6015" priority="219">
      <formula>C$9&gt;=20/24</formula>
    </cfRule>
    <cfRule type="expression" dxfId="6014" priority="220">
      <formula>AND(C$9&gt;=14/24,C$9&lt;20/24)</formula>
    </cfRule>
    <cfRule type="expression" dxfId="6013" priority="221">
      <formula>AND(C$9&gt;=8/24,C$9&lt;14/24)</formula>
    </cfRule>
    <cfRule type="expression" dxfId="6012" priority="222">
      <formula>C$9&lt;8/24</formula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011" priority="245">
      <formula>C$9&gt;=20/24</formula>
    </cfRule>
    <cfRule type="expression" dxfId="6010" priority="246">
      <formula>AND(C$9&gt;=14/24,C$9&lt;20/24)</formula>
    </cfRule>
    <cfRule type="expression" dxfId="6009" priority="247">
      <formula>AND(C$9&gt;=8/24,C$9&lt;14/24)</formula>
    </cfRule>
    <cfRule type="expression" dxfId="6008" priority="248">
      <formula>C$9&lt;8/24</formula>
    </cfRule>
  </conditionalFormatting>
  <conditionalFormatting sqref="A225">
    <cfRule type="expression" dxfId="6007" priority="249">
      <formula>$AH225=0</formula>
    </cfRule>
  </conditionalFormatting>
  <conditionalFormatting sqref="AG237">
    <cfRule type="expression" dxfId="6006" priority="250">
      <formula>B$9&gt;=20/24</formula>
    </cfRule>
    <cfRule type="expression" dxfId="6005" priority="251">
      <formula>AND(B$9&gt;=14/24,B$9&lt;20/24)</formula>
    </cfRule>
    <cfRule type="expression" dxfId="6004" priority="252">
      <formula>AND(B$9&gt;=8/24,B$9&lt;14/24)</formula>
    </cfRule>
    <cfRule type="expression" dxfId="6003" priority="253">
      <formula>B$9&lt;8/24</formula>
    </cfRule>
  </conditionalFormatting>
  <conditionalFormatting sqref="S8">
    <cfRule type="expression" dxfId="6002" priority="214">
      <formula>U$9&gt;=20/24</formula>
    </cfRule>
    <cfRule type="expression" dxfId="6001" priority="215">
      <formula>AND(U$9&gt;=14/24,U$9&lt;20/24)</formula>
    </cfRule>
    <cfRule type="expression" dxfId="6000" priority="216">
      <formula>AND(U$9&gt;=8/24,U$9&lt;14/24)</formula>
    </cfRule>
    <cfRule type="expression" dxfId="5999" priority="217">
      <formula>U$9&lt;8/24</formula>
    </cfRule>
  </conditionalFormatting>
  <conditionalFormatting sqref="AB8">
    <cfRule type="expression" dxfId="5998" priority="210">
      <formula>AD$9&gt;=20/24</formula>
    </cfRule>
    <cfRule type="expression" dxfId="5997" priority="211">
      <formula>AND(AD$9&gt;=14/24,AD$9&lt;20/24)</formula>
    </cfRule>
    <cfRule type="expression" dxfId="5996" priority="212">
      <formula>AND(AD$9&gt;=8/24,AD$9&lt;14/24)</formula>
    </cfRule>
    <cfRule type="expression" dxfId="5995" priority="213">
      <formula>AD$9&lt;8/24</formula>
    </cfRule>
  </conditionalFormatting>
  <conditionalFormatting sqref="AH237:AX237">
    <cfRule type="expression" dxfId="5994" priority="254">
      <formula>AG$9&gt;=20/24</formula>
    </cfRule>
    <cfRule type="expression" dxfId="5993" priority="255">
      <formula>AND(AG$9&gt;=14/24,AG$9&lt;20/24)</formula>
    </cfRule>
    <cfRule type="expression" dxfId="5992" priority="256">
      <formula>AND(AG$9&gt;=8/24,AG$9&lt;14/24)</formula>
    </cfRule>
    <cfRule type="expression" dxfId="5991" priority="257">
      <formula>AG$9&lt;8/24</formula>
    </cfRule>
  </conditionalFormatting>
  <conditionalFormatting sqref="T237">
    <cfRule type="expression" dxfId="5990" priority="258">
      <formula>AX$9&gt;=20/24</formula>
    </cfRule>
    <cfRule type="expression" dxfId="5989" priority="259">
      <formula>AND(AX$9&gt;=14/24,AX$9&lt;20/24)</formula>
    </cfRule>
    <cfRule type="expression" dxfId="5988" priority="260">
      <formula>AND(AX$9&gt;=8/24,AX$9&lt;14/24)</formula>
    </cfRule>
    <cfRule type="expression" dxfId="5987" priority="261">
      <formula>AX$9&lt;8/24</formula>
    </cfRule>
  </conditionalFormatting>
  <conditionalFormatting sqref="A107:A108">
    <cfRule type="expression" dxfId="5986" priority="209">
      <formula>$AH107=0</formula>
    </cfRule>
  </conditionalFormatting>
  <conditionalFormatting sqref="S46:W47 E46:M47 Z46:AF47 E63:AF63 AB38:AF38">
    <cfRule type="expression" dxfId="5985" priority="205">
      <formula>E$9&gt;=20/24</formula>
    </cfRule>
    <cfRule type="expression" dxfId="5984" priority="206">
      <formula>AND(E$9&gt;=14/24,E$9&lt;20/24)</formula>
    </cfRule>
    <cfRule type="expression" dxfId="5983" priority="207">
      <formula>AND(E$9&gt;=8/24,E$9&lt;14/24)</formula>
    </cfRule>
    <cfRule type="expression" dxfId="5982" priority="208">
      <formula>E$9&lt;8/24</formula>
    </cfRule>
  </conditionalFormatting>
  <conditionalFormatting sqref="S45:W45 E45:M45 Z45:AF45">
    <cfRule type="expression" dxfId="5981" priority="201">
      <formula>E$9&gt;=20/24</formula>
    </cfRule>
    <cfRule type="expression" dxfId="5980" priority="202">
      <formula>AND(E$9&gt;=14/24,E$9&lt;20/24)</formula>
    </cfRule>
    <cfRule type="expression" dxfId="5979" priority="203">
      <formula>AND(E$9&gt;=8/24,E$9&lt;14/24)</formula>
    </cfRule>
    <cfRule type="expression" dxfId="5978" priority="204">
      <formula>E$9&lt;8/24</formula>
    </cfRule>
  </conditionalFormatting>
  <conditionalFormatting sqref="S45:W47 E45:M47 Z45:AF47 AB38:AF38">
    <cfRule type="expression" dxfId="5977" priority="200">
      <formula>E38&gt;$AG38</formula>
    </cfRule>
  </conditionalFormatting>
  <conditionalFormatting sqref="C88:AF88 C75:AF78 S11:S14 T38:AA38 L39:R39 E64:U65 S59:AF61 V64:AF73 W18:AF18 T12:AF14 W29:AF29 W31:AF34 W25:AF27 D92:AF98">
    <cfRule type="expression" dxfId="5976" priority="196">
      <formula>C$9&gt;=20/24</formula>
    </cfRule>
    <cfRule type="expression" dxfId="5975" priority="197">
      <formula>AND(C$9&gt;=14/24,C$9&lt;20/24)</formula>
    </cfRule>
    <cfRule type="expression" dxfId="5974" priority="198">
      <formula>AND(C$9&gt;=8/24,C$9&lt;14/24)</formula>
    </cfRule>
    <cfRule type="expression" dxfId="5973" priority="199">
      <formula>C$9&lt;8/24</formula>
    </cfRule>
  </conditionalFormatting>
  <conditionalFormatting sqref="W35:AF35">
    <cfRule type="expression" dxfId="5972" priority="192">
      <formula>W$9&gt;=20/24</formula>
    </cfRule>
    <cfRule type="expression" dxfId="5971" priority="193">
      <formula>AND(W$9&gt;=14/24,W$9&lt;20/24)</formula>
    </cfRule>
    <cfRule type="expression" dxfId="5970" priority="194">
      <formula>AND(W$9&gt;=8/24,W$9&lt;14/24)</formula>
    </cfRule>
    <cfRule type="expression" dxfId="5969" priority="195">
      <formula>W$9&lt;8/24</formula>
    </cfRule>
  </conditionalFormatting>
  <conditionalFormatting sqref="C57:AF57 S11 T38:AA38 E48:M48 L39:R39 S59:AF61 W31:AF35 W25:AF29 AB48:AF49">
    <cfRule type="expression" dxfId="5968" priority="191">
      <formula>C11&gt;$AG11</formula>
    </cfRule>
  </conditionalFormatting>
  <conditionalFormatting sqref="W37:AF37">
    <cfRule type="expression" dxfId="5967" priority="187">
      <formula>W$9&gt;=20/24</formula>
    </cfRule>
    <cfRule type="expression" dxfId="5966" priority="188">
      <formula>AND(W$9&gt;=14/24,W$9&lt;20/24)</formula>
    </cfRule>
    <cfRule type="expression" dxfId="5965" priority="189">
      <formula>AND(W$9&gt;=8/24,W$9&lt;14/24)</formula>
    </cfRule>
    <cfRule type="expression" dxfId="5964" priority="190">
      <formula>W$9&lt;8/24</formula>
    </cfRule>
  </conditionalFormatting>
  <conditionalFormatting sqref="W15:AF15">
    <cfRule type="expression" dxfId="5963" priority="183">
      <formula>W$9&gt;=20/24</formula>
    </cfRule>
    <cfRule type="expression" dxfId="5962" priority="184">
      <formula>AND(W$9&gt;=14/24,W$9&lt;20/24)</formula>
    </cfRule>
    <cfRule type="expression" dxfId="5961" priority="185">
      <formula>AND(W$9&gt;=8/24,W$9&lt;14/24)</formula>
    </cfRule>
    <cfRule type="expression" dxfId="5960" priority="186">
      <formula>W$9&lt;8/24</formula>
    </cfRule>
  </conditionalFormatting>
  <conditionalFormatting sqref="W36:AF36">
    <cfRule type="expression" dxfId="5959" priority="179">
      <formula>W$9&gt;=20/24</formula>
    </cfRule>
    <cfRule type="expression" dxfId="5958" priority="180">
      <formula>AND(W$9&gt;=14/24,W$9&lt;20/24)</formula>
    </cfRule>
    <cfRule type="expression" dxfId="5957" priority="181">
      <formula>AND(W$9&gt;=8/24,W$9&lt;14/24)</formula>
    </cfRule>
    <cfRule type="expression" dxfId="5956" priority="182">
      <formula>W$9&lt;8/24</formula>
    </cfRule>
  </conditionalFormatting>
  <conditionalFormatting sqref="W36:AF36">
    <cfRule type="expression" dxfId="5955" priority="178">
      <formula>W36&gt;$AG36</formula>
    </cfRule>
  </conditionalFormatting>
  <conditionalFormatting sqref="W48:AA49 AB50:AF56">
    <cfRule type="expression" dxfId="5954" priority="174">
      <formula>W$9&gt;=20/24</formula>
    </cfRule>
    <cfRule type="expression" dxfId="5953" priority="175">
      <formula>AND(W$9&gt;=14/24,W$9&lt;20/24)</formula>
    </cfRule>
    <cfRule type="expression" dxfId="5952" priority="176">
      <formula>AND(W$9&gt;=8/24,W$9&lt;14/24)</formula>
    </cfRule>
    <cfRule type="expression" dxfId="5951" priority="177">
      <formula>W$9&lt;8/24</formula>
    </cfRule>
  </conditionalFormatting>
  <conditionalFormatting sqref="W48:AA49 AB50:AF56">
    <cfRule type="expression" dxfId="5950" priority="173">
      <formula>W48&gt;$AG48</formula>
    </cfRule>
  </conditionalFormatting>
  <conditionalFormatting sqref="N45:R49 S48:V49 X50:AA50">
    <cfRule type="expression" dxfId="5949" priority="169">
      <formula>N$9&gt;=20/24</formula>
    </cfRule>
    <cfRule type="expression" dxfId="5948" priority="170">
      <formula>AND(N$9&gt;=14/24,N$9&lt;20/24)</formula>
    </cfRule>
    <cfRule type="expression" dxfId="5947" priority="171">
      <formula>AND(N$9&gt;=8/24,N$9&lt;14/24)</formula>
    </cfRule>
    <cfRule type="expression" dxfId="5946" priority="172">
      <formula>N$9&lt;8/24</formula>
    </cfRule>
  </conditionalFormatting>
  <conditionalFormatting sqref="N45:R49 S48:V49 X50:AA50">
    <cfRule type="expression" dxfId="5945" priority="168">
      <formula>N45&gt;$AG45</formula>
    </cfRule>
  </conditionalFormatting>
  <conditionalFormatting sqref="W28:AF28">
    <cfRule type="expression" dxfId="5944" priority="164">
      <formula>W$9&gt;=20/24</formula>
    </cfRule>
    <cfRule type="expression" dxfId="5943" priority="165">
      <formula>AND(W$9&gt;=14/24,W$9&lt;20/24)</formula>
    </cfRule>
    <cfRule type="expression" dxfId="5942" priority="166">
      <formula>AND(W$9&gt;=8/24,W$9&lt;14/24)</formula>
    </cfRule>
    <cfRule type="expression" dxfId="5941" priority="167">
      <formula>W$9&lt;8/24</formula>
    </cfRule>
  </conditionalFormatting>
  <conditionalFormatting sqref="K31:V31 W24:AF24 W19:AF19">
    <cfRule type="expression" dxfId="5940" priority="160">
      <formula>K$9&gt;=20/24</formula>
    </cfRule>
    <cfRule type="expression" dxfId="5939" priority="161">
      <formula>AND(K$9&gt;=14/24,K$9&lt;20/24)</formula>
    </cfRule>
    <cfRule type="expression" dxfId="5938" priority="162">
      <formula>AND(K$9&gt;=8/24,K$9&lt;14/24)</formula>
    </cfRule>
    <cfRule type="expression" dxfId="5937" priority="163">
      <formula>K$9&lt;8/24</formula>
    </cfRule>
  </conditionalFormatting>
  <conditionalFormatting sqref="K31:V31 W24:AF24 W19:AF19">
    <cfRule type="expression" dxfId="5936" priority="159">
      <formula>K19&gt;$AG19</formula>
    </cfRule>
  </conditionalFormatting>
  <conditionalFormatting sqref="X46:Y47">
    <cfRule type="expression" dxfId="5935" priority="150">
      <formula>X$9&gt;=20/24</formula>
    </cfRule>
    <cfRule type="expression" dxfId="5934" priority="151">
      <formula>AND(X$9&gt;=14/24,X$9&lt;20/24)</formula>
    </cfRule>
    <cfRule type="expression" dxfId="5933" priority="152">
      <formula>AND(X$9&gt;=8/24,X$9&lt;14/24)</formula>
    </cfRule>
    <cfRule type="expression" dxfId="5932" priority="153">
      <formula>X$9&lt;8/24</formula>
    </cfRule>
  </conditionalFormatting>
  <conditionalFormatting sqref="X45:Y45">
    <cfRule type="expression" dxfId="5931" priority="146">
      <formula>X$9&gt;=20/24</formula>
    </cfRule>
    <cfRule type="expression" dxfId="5930" priority="147">
      <formula>AND(X$9&gt;=14/24,X$9&lt;20/24)</formula>
    </cfRule>
    <cfRule type="expression" dxfId="5929" priority="148">
      <formula>AND(X$9&gt;=8/24,X$9&lt;14/24)</formula>
    </cfRule>
    <cfRule type="expression" dxfId="5928" priority="149">
      <formula>X$9&lt;8/24</formula>
    </cfRule>
  </conditionalFormatting>
  <conditionalFormatting sqref="X45:Y47">
    <cfRule type="expression" dxfId="5927" priority="145">
      <formula>X45&gt;$AG45</formula>
    </cfRule>
  </conditionalFormatting>
  <conditionalFormatting sqref="B101 B80:AF80 B89:AF89 B103:B108 B11:R11">
    <cfRule type="expression" dxfId="5926" priority="141">
      <formula>B$9&gt;=20/24</formula>
    </cfRule>
    <cfRule type="expression" dxfId="5925" priority="142">
      <formula>AND(B$9&gt;=14/24,B$9&lt;20/24)</formula>
    </cfRule>
    <cfRule type="expression" dxfId="5924" priority="143">
      <formula>AND(B$9&gt;=8/24,B$9&lt;14/24)</formula>
    </cfRule>
    <cfRule type="expression" dxfId="5923" priority="144">
      <formula>B$9&lt;8/24</formula>
    </cfRule>
  </conditionalFormatting>
  <conditionalFormatting sqref="B39:K39">
    <cfRule type="expression" dxfId="5922" priority="137">
      <formula>B$9&gt;=20/24</formula>
    </cfRule>
    <cfRule type="expression" dxfId="5921" priority="138">
      <formula>AND(B$9&gt;=14/24,B$9&lt;20/24)</formula>
    </cfRule>
    <cfRule type="expression" dxfId="5920" priority="139">
      <formula>AND(B$9&gt;=8/24,B$9&lt;14/24)</formula>
    </cfRule>
    <cfRule type="expression" dxfId="5919" priority="140">
      <formula>B$9&lt;8/24</formula>
    </cfRule>
  </conditionalFormatting>
  <conditionalFormatting sqref="B39:K39 B11:R11">
    <cfRule type="expression" dxfId="5918" priority="136">
      <formula>B11&gt;$AG11</formula>
    </cfRule>
  </conditionalFormatting>
  <conditionalFormatting sqref="B91">
    <cfRule type="expression" dxfId="5917" priority="132">
      <formula>B$9&gt;=20/24</formula>
    </cfRule>
    <cfRule type="expression" dxfId="5916" priority="133">
      <formula>AND(B$9&gt;=14/24,B$9&lt;20/24)</formula>
    </cfRule>
    <cfRule type="expression" dxfId="5915" priority="134">
      <formula>AND(B$9&gt;=8/24,B$9&lt;14/24)</formula>
    </cfRule>
    <cfRule type="expression" dxfId="5914" priority="135">
      <formula>B$9&lt;8/24</formula>
    </cfRule>
  </conditionalFormatting>
  <conditionalFormatting sqref="B46:D47 B63:D63 B38:S38">
    <cfRule type="expression" dxfId="5913" priority="128">
      <formula>B$9&gt;=20/24</formula>
    </cfRule>
    <cfRule type="expression" dxfId="5912" priority="129">
      <formula>AND(B$9&gt;=14/24,B$9&lt;20/24)</formula>
    </cfRule>
    <cfRule type="expression" dxfId="5911" priority="130">
      <formula>AND(B$9&gt;=8/24,B$9&lt;14/24)</formula>
    </cfRule>
    <cfRule type="expression" dxfId="5910" priority="131">
      <formula>B$9&lt;8/24</formula>
    </cfRule>
  </conditionalFormatting>
  <conditionalFormatting sqref="B45:D45">
    <cfRule type="expression" dxfId="5909" priority="124">
      <formula>B$9&gt;=20/24</formula>
    </cfRule>
    <cfRule type="expression" dxfId="5908" priority="125">
      <formula>AND(B$9&gt;=14/24,B$9&lt;20/24)</formula>
    </cfRule>
    <cfRule type="expression" dxfId="5907" priority="126">
      <formula>AND(B$9&gt;=8/24,B$9&lt;14/24)</formula>
    </cfRule>
    <cfRule type="expression" dxfId="5906" priority="127">
      <formula>B$9&lt;8/24</formula>
    </cfRule>
  </conditionalFormatting>
  <conditionalFormatting sqref="B45:D47 B38:S38">
    <cfRule type="expression" dxfId="5905" priority="123">
      <formula>B38&gt;$AG38</formula>
    </cfRule>
  </conditionalFormatting>
  <conditionalFormatting sqref="B59:B62 B75:B79 B81:AF81 B88 C62:AG62 C79:AG79 B90:AF90 B92:C98 C59:R61 B64:D73 B31:J34 B12:R14 E66:U73 B18:V18 B25:V27 B29:V29 K32:V34">
    <cfRule type="expression" dxfId="5904" priority="119">
      <formula>B$9&gt;=20/24</formula>
    </cfRule>
    <cfRule type="expression" dxfId="5903" priority="120">
      <formula>AND(B$9&gt;=14/24,B$9&lt;20/24)</formula>
    </cfRule>
    <cfRule type="expression" dxfId="5902" priority="121">
      <formula>AND(B$9&gt;=8/24,B$9&lt;14/24)</formula>
    </cfRule>
    <cfRule type="expression" dxfId="5901" priority="122">
      <formula>B$9&lt;8/24</formula>
    </cfRule>
  </conditionalFormatting>
  <conditionalFormatting sqref="B35:V35">
    <cfRule type="expression" dxfId="5900" priority="115">
      <formula>B$9&gt;=20/24</formula>
    </cfRule>
    <cfRule type="expression" dxfId="5899" priority="116">
      <formula>AND(B$9&gt;=14/24,B$9&lt;20/24)</formula>
    </cfRule>
    <cfRule type="expression" dxfId="5898" priority="117">
      <formula>AND(B$9&gt;=8/24,B$9&lt;14/24)</formula>
    </cfRule>
    <cfRule type="expression" dxfId="5897" priority="118">
      <formula>B$9&lt;8/24</formula>
    </cfRule>
  </conditionalFormatting>
  <conditionalFormatting sqref="B57:B62 B40:AG40 C58:AG58 C62:AG62 C59:R61 B48:D49 B31:J35 E49:M49 B25:V29 K32:V35">
    <cfRule type="expression" dxfId="5896" priority="114">
      <formula>B25&gt;$AG25</formula>
    </cfRule>
  </conditionalFormatting>
  <conditionalFormatting sqref="B37:V37">
    <cfRule type="expression" dxfId="5895" priority="110">
      <formula>B$9&gt;=20/24</formula>
    </cfRule>
    <cfRule type="expression" dxfId="5894" priority="111">
      <formula>AND(B$9&gt;=14/24,B$9&lt;20/24)</formula>
    </cfRule>
    <cfRule type="expression" dxfId="5893" priority="112">
      <formula>AND(B$9&gt;=8/24,B$9&lt;14/24)</formula>
    </cfRule>
    <cfRule type="expression" dxfId="5892" priority="113">
      <formula>B$9&lt;8/24</formula>
    </cfRule>
  </conditionalFormatting>
  <conditionalFormatting sqref="B15:V15">
    <cfRule type="expression" dxfId="5891" priority="106">
      <formula>B$9&gt;=20/24</formula>
    </cfRule>
    <cfRule type="expression" dxfId="5890" priority="107">
      <formula>AND(B$9&gt;=14/24,B$9&lt;20/24)</formula>
    </cfRule>
    <cfRule type="expression" dxfId="5889" priority="108">
      <formula>AND(B$9&gt;=8/24,B$9&lt;14/24)</formula>
    </cfRule>
    <cfRule type="expression" dxfId="5888" priority="109">
      <formula>B$9&lt;8/24</formula>
    </cfRule>
  </conditionalFormatting>
  <conditionalFormatting sqref="B36:V36">
    <cfRule type="expression" dxfId="5887" priority="102">
      <formula>B$9&gt;=20/24</formula>
    </cfRule>
    <cfRule type="expression" dxfId="5886" priority="103">
      <formula>AND(B$9&gt;=14/24,B$9&lt;20/24)</formula>
    </cfRule>
    <cfRule type="expression" dxfId="5885" priority="104">
      <formula>AND(B$9&gt;=8/24,B$9&lt;14/24)</formula>
    </cfRule>
    <cfRule type="expression" dxfId="5884" priority="105">
      <formula>B$9&lt;8/24</formula>
    </cfRule>
  </conditionalFormatting>
  <conditionalFormatting sqref="B36:V36">
    <cfRule type="expression" dxfId="5883" priority="101">
      <formula>B36&gt;$AG36</formula>
    </cfRule>
  </conditionalFormatting>
  <conditionalFormatting sqref="B50:W56 X51:AA56">
    <cfRule type="expression" dxfId="5882" priority="97">
      <formula>B$9&gt;=20/24</formula>
    </cfRule>
    <cfRule type="expression" dxfId="5881" priority="98">
      <formula>AND(B$9&gt;=14/24,B$9&lt;20/24)</formula>
    </cfRule>
    <cfRule type="expression" dxfId="5880" priority="99">
      <formula>AND(B$9&gt;=8/24,B$9&lt;14/24)</formula>
    </cfRule>
    <cfRule type="expression" dxfId="5879" priority="100">
      <formula>B$9&lt;8/24</formula>
    </cfRule>
  </conditionalFormatting>
  <conditionalFormatting sqref="B50:W56 X51:AA56">
    <cfRule type="expression" dxfId="5878" priority="96">
      <formula>B50&gt;$AG50</formula>
    </cfRule>
  </conditionalFormatting>
  <conditionalFormatting sqref="B28:V28">
    <cfRule type="expression" dxfId="5877" priority="92">
      <formula>B$9&gt;=20/24</formula>
    </cfRule>
    <cfRule type="expression" dxfId="5876" priority="93">
      <formula>AND(B$9&gt;=14/24,B$9&lt;20/24)</formula>
    </cfRule>
    <cfRule type="expression" dxfId="5875" priority="94">
      <formula>AND(B$9&gt;=8/24,B$9&lt;14/24)</formula>
    </cfRule>
    <cfRule type="expression" dxfId="5874" priority="95">
      <formula>B$9&lt;8/24</formula>
    </cfRule>
  </conditionalFormatting>
  <conditionalFormatting sqref="B19:V19 B24:V24">
    <cfRule type="expression" dxfId="5873" priority="88">
      <formula>B$9&gt;=20/24</formula>
    </cfRule>
    <cfRule type="expression" dxfId="5872" priority="89">
      <formula>AND(B$9&gt;=14/24,B$9&lt;20/24)</formula>
    </cfRule>
    <cfRule type="expression" dxfId="5871" priority="90">
      <formula>AND(B$9&gt;=8/24,B$9&lt;14/24)</formula>
    </cfRule>
    <cfRule type="expression" dxfId="5870" priority="91">
      <formula>B$9&lt;8/24</formula>
    </cfRule>
  </conditionalFormatting>
  <conditionalFormatting sqref="B19:V19 B24:V24">
    <cfRule type="expression" dxfId="5869" priority="87">
      <formula>B19&gt;$AG19</formula>
    </cfRule>
  </conditionalFormatting>
  <conditionalFormatting sqref="A36">
    <cfRule type="expression" dxfId="5868" priority="86">
      <formula>$AH36=0</formula>
    </cfRule>
  </conditionalFormatting>
  <conditionalFormatting sqref="B74:AF74">
    <cfRule type="expression" dxfId="5867" priority="82">
      <formula>B$9&gt;=20/24</formula>
    </cfRule>
    <cfRule type="expression" dxfId="5866" priority="83">
      <formula>AND(B$9&gt;=14/24,B$9&lt;20/24)</formula>
    </cfRule>
    <cfRule type="expression" dxfId="5865" priority="84">
      <formula>AND(B$9&gt;=8/24,B$9&lt;14/24)</formula>
    </cfRule>
    <cfRule type="expression" dxfId="5864" priority="85">
      <formula>B$9&lt;8/24</formula>
    </cfRule>
  </conditionalFormatting>
  <conditionalFormatting sqref="B83:AF87">
    <cfRule type="expression" dxfId="5863" priority="78">
      <formula>B$9&gt;=20/24</formula>
    </cfRule>
    <cfRule type="expression" dxfId="5862" priority="79">
      <formula>AND(B$9&gt;=14/24,B$9&lt;20/24)</formula>
    </cfRule>
    <cfRule type="expression" dxfId="5861" priority="80">
      <formula>AND(B$9&gt;=8/24,B$9&lt;14/24)</formula>
    </cfRule>
    <cfRule type="expression" dxfId="5860" priority="81">
      <formula>B$9&lt;8/24</formula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E41:AF43">
    <cfRule type="expression" dxfId="5859" priority="74">
      <formula>E$9&gt;=20/24</formula>
    </cfRule>
    <cfRule type="expression" dxfId="5858" priority="75">
      <formula>AND(E$9&gt;=14/24,E$9&lt;20/24)</formula>
    </cfRule>
    <cfRule type="expression" dxfId="5857" priority="76">
      <formula>AND(E$9&gt;=8/24,E$9&lt;14/24)</formula>
    </cfRule>
    <cfRule type="expression" dxfId="5856" priority="77">
      <formula>E$9&lt;8/24</formula>
    </cfRule>
  </conditionalFormatting>
  <conditionalFormatting sqref="E41:AF43">
    <cfRule type="expression" dxfId="5855" priority="73">
      <formula>E41&gt;$AG41</formula>
    </cfRule>
  </conditionalFormatting>
  <conditionalFormatting sqref="B41:B44 C44:AG44 C41:D43">
    <cfRule type="expression" dxfId="5854" priority="69">
      <formula>B$9&gt;=20/24</formula>
    </cfRule>
    <cfRule type="expression" dxfId="5853" priority="70">
      <formula>AND(B$9&gt;=14/24,B$9&lt;20/24)</formula>
    </cfRule>
    <cfRule type="expression" dxfId="5852" priority="71">
      <formula>AND(B$9&gt;=8/24,B$9&lt;14/24)</formula>
    </cfRule>
    <cfRule type="expression" dxfId="5851" priority="72">
      <formula>B$9&lt;8/24</formula>
    </cfRule>
  </conditionalFormatting>
  <conditionalFormatting sqref="B41:B44 C44:AG44 C41:D43">
    <cfRule type="expression" dxfId="5850" priority="68">
      <formula>B41&gt;$AG41</formula>
    </cfRule>
  </conditionalFormatting>
  <conditionalFormatting sqref="C99:AF99">
    <cfRule type="expression" dxfId="5849" priority="64">
      <formula>C$9&gt;=20/24</formula>
    </cfRule>
    <cfRule type="expression" dxfId="5848" priority="65">
      <formula>AND(C$9&gt;=14/24,C$9&lt;20/24)</formula>
    </cfRule>
    <cfRule type="expression" dxfId="5847" priority="66">
      <formula>AND(C$9&gt;=8/24,C$9&lt;14/24)</formula>
    </cfRule>
    <cfRule type="expression" dxfId="5846" priority="67">
      <formula>C$9&lt;8/24</formula>
    </cfRule>
  </conditionalFormatting>
  <conditionalFormatting sqref="B99">
    <cfRule type="expression" dxfId="5845" priority="60">
      <formula>B$9&gt;=20/24</formula>
    </cfRule>
    <cfRule type="expression" dxfId="5844" priority="61">
      <formula>AND(B$9&gt;=14/24,B$9&lt;20/24)</formula>
    </cfRule>
    <cfRule type="expression" dxfId="5843" priority="62">
      <formula>AND(B$9&gt;=8/24,B$9&lt;14/24)</formula>
    </cfRule>
    <cfRule type="expression" dxfId="5842" priority="63">
      <formula>B$9&lt;8/24</formula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5841" priority="54">
      <formula>$AH33=0</formula>
    </cfRule>
  </conditionalFormatting>
  <conditionalFormatting sqref="A82">
    <cfRule type="expression" dxfId="5840" priority="52">
      <formula>$AH82=0</formula>
    </cfRule>
  </conditionalFormatting>
  <conditionalFormatting sqref="A79">
    <cfRule type="expression" dxfId="5839" priority="53">
      <formula>$AH79=0</formula>
    </cfRule>
  </conditionalFormatting>
  <conditionalFormatting sqref="A109">
    <cfRule type="expression" dxfId="5838" priority="43">
      <formula>$AH109=0</formula>
    </cfRule>
  </conditionalFormatting>
  <conditionalFormatting sqref="C102:AF102">
    <cfRule type="expression" dxfId="5837" priority="39">
      <formula>C$9&gt;=20/24</formula>
    </cfRule>
    <cfRule type="expression" dxfId="5836" priority="40">
      <formula>AND(C$9&gt;=14/24,C$9&lt;20/24)</formula>
    </cfRule>
    <cfRule type="expression" dxfId="5835" priority="41">
      <formula>AND(C$9&gt;=8/24,C$9&lt;14/24)</formula>
    </cfRule>
    <cfRule type="expression" dxfId="5834" priority="42">
      <formula>C$9&lt;8/24</formula>
    </cfRule>
  </conditionalFormatting>
  <conditionalFormatting sqref="A102">
    <cfRule type="expression" dxfId="5833" priority="38">
      <formula>$AH102=0</formula>
    </cfRule>
  </conditionalFormatting>
  <conditionalFormatting sqref="B102">
    <cfRule type="expression" dxfId="5832" priority="34">
      <formula>B$9&gt;=20/24</formula>
    </cfRule>
    <cfRule type="expression" dxfId="5831" priority="35">
      <formula>AND(B$9&gt;=14/24,B$9&lt;20/24)</formula>
    </cfRule>
    <cfRule type="expression" dxfId="5830" priority="36">
      <formula>AND(B$9&gt;=8/24,B$9&lt;14/24)</formula>
    </cfRule>
    <cfRule type="expression" dxfId="5829" priority="37">
      <formula>B$9&lt;8/24</formula>
    </cfRule>
  </conditionalFormatting>
  <conditionalFormatting sqref="B17:AF17">
    <cfRule type="expression" dxfId="5828" priority="27">
      <formula>B17&gt;$AG17</formula>
    </cfRule>
  </conditionalFormatting>
  <conditionalFormatting sqref="A17">
    <cfRule type="expression" dxfId="5827" priority="26">
      <formula>$AH17=0</formula>
    </cfRule>
  </conditionalFormatting>
  <conditionalFormatting sqref="W17:AF17">
    <cfRule type="expression" dxfId="5826" priority="22">
      <formula>W$9&gt;=20/24</formula>
    </cfRule>
    <cfRule type="expression" dxfId="5825" priority="23">
      <formula>AND(W$9&gt;=14/24,W$9&lt;20/24)</formula>
    </cfRule>
    <cfRule type="expression" dxfId="5824" priority="24">
      <formula>AND(W$9&gt;=8/24,W$9&lt;14/24)</formula>
    </cfRule>
    <cfRule type="expression" dxfId="5823" priority="25">
      <formula>W$9&lt;8/24</formula>
    </cfRule>
  </conditionalFormatting>
  <conditionalFormatting sqref="B17:V17">
    <cfRule type="expression" dxfId="5822" priority="18">
      <formula>B$9&gt;=20/24</formula>
    </cfRule>
    <cfRule type="expression" dxfId="5821" priority="19">
      <formula>AND(B$9&gt;=14/24,B$9&lt;20/24)</formula>
    </cfRule>
    <cfRule type="expression" dxfId="5820" priority="20">
      <formula>AND(B$9&gt;=8/24,B$9&lt;14/24)</formula>
    </cfRule>
    <cfRule type="expression" dxfId="5819" priority="21">
      <formula>B$9&lt;8/24</formula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5818" priority="16">
      <formula>$AH30=0</formula>
    </cfRule>
  </conditionalFormatting>
  <conditionalFormatting sqref="W30:AF30">
    <cfRule type="expression" dxfId="5817" priority="12">
      <formula>W$9&gt;=20/24</formula>
    </cfRule>
    <cfRule type="expression" dxfId="5816" priority="13">
      <formula>AND(W$9&gt;=14/24,W$9&lt;20/24)</formula>
    </cfRule>
    <cfRule type="expression" dxfId="5815" priority="14">
      <formula>AND(W$9&gt;=8/24,W$9&lt;14/24)</formula>
    </cfRule>
    <cfRule type="expression" dxfId="5814" priority="15">
      <formula>W$9&lt;8/24</formula>
    </cfRule>
  </conditionalFormatting>
  <conditionalFormatting sqref="W30:AF30">
    <cfRule type="expression" dxfId="5813" priority="11">
      <formula>W30&gt;$AG30</formula>
    </cfRule>
  </conditionalFormatting>
  <conditionalFormatting sqref="K30:V30">
    <cfRule type="expression" dxfId="5812" priority="7">
      <formula>K$9&gt;=20/24</formula>
    </cfRule>
    <cfRule type="expression" dxfId="5811" priority="8">
      <formula>AND(K$9&gt;=14/24,K$9&lt;20/24)</formula>
    </cfRule>
    <cfRule type="expression" dxfId="5810" priority="9">
      <formula>AND(K$9&gt;=8/24,K$9&lt;14/24)</formula>
    </cfRule>
    <cfRule type="expression" dxfId="5809" priority="10">
      <formula>K$9&lt;8/24</formula>
    </cfRule>
  </conditionalFormatting>
  <conditionalFormatting sqref="K30:V30">
    <cfRule type="expression" dxfId="5808" priority="6">
      <formula>K30&gt;$AG30</formula>
    </cfRule>
  </conditionalFormatting>
  <conditionalFormatting sqref="B30:J30">
    <cfRule type="expression" dxfId="5807" priority="2">
      <formula>B$9&gt;=20/24</formula>
    </cfRule>
    <cfRule type="expression" dxfId="5806" priority="3">
      <formula>AND(B$9&gt;=14/24,B$9&lt;20/24)</formula>
    </cfRule>
    <cfRule type="expression" dxfId="5805" priority="4">
      <formula>AND(B$9&gt;=8/24,B$9&lt;14/24)</formula>
    </cfRule>
    <cfRule type="expression" dxfId="5804" priority="5">
      <formula>B$9&lt;8/24</formula>
    </cfRule>
  </conditionalFormatting>
  <conditionalFormatting sqref="B30:J30">
    <cfRule type="expression" dxfId="5803" priority="1">
      <formula>B30&gt;$AG30</formula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9B22C05C-EDB5-405D-B95A-1A3EF724674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A49C4205-83E6-4896-A093-5529622300B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A05EDCE7-17E7-4084-BB6D-737C58FF5FD5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4A546873-C97E-4DFA-9A74-00C18BA578D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8" id="{249B0EA2-DB8A-4E0B-87A7-15F2A866D45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91A3ED09-AB4F-4906-9D27-38F50324E9E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0EDEED91-71AE-493F-9124-34E8D78E8C5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102BB53F-3129-46E0-91BF-F1B103E483A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4" id="{A03DE664-2BB6-485F-A481-EE2F8F6C0DF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2E9206EC-8AAC-4938-B1D9-3DAA0C801B8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DE2A35B2-C6C7-4279-BEA2-790BA3404F1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BD382B83-9BCD-4E37-A5FB-4939149D969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J270"/>
  <sheetViews>
    <sheetView zoomScale="90" zoomScaleNormal="90" workbookViewId="0">
      <pane xSplit="1" ySplit="10" topLeftCell="B44" activePane="bottomRight" state="frozen"/>
      <selection activeCell="AF88" sqref="AF88"/>
      <selection pane="topRight" activeCell="AF88" sqref="AF88"/>
      <selection pane="bottomLeft" activeCell="AF88" sqref="AF88"/>
      <selection pane="bottomRight" activeCell="I55" sqref="I5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2079/06/18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1324MW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Load=1054</v>
      </c>
      <c r="B7" s="35">
        <f t="shared" ref="B7:AF7" si="1">B81</f>
        <v>1070.2399999999998</v>
      </c>
      <c r="C7" s="35">
        <f t="shared" si="1"/>
        <v>1064.94</v>
      </c>
      <c r="D7" s="35">
        <f t="shared" si="1"/>
        <v>1068.8399999999999</v>
      </c>
      <c r="E7" s="35">
        <f t="shared" si="1"/>
        <v>1053.8399999999999</v>
      </c>
      <c r="F7" s="35">
        <f t="shared" si="1"/>
        <v>1063.8399999999999</v>
      </c>
      <c r="G7" s="35">
        <f t="shared" si="1"/>
        <v>1083.8399999999999</v>
      </c>
      <c r="H7" s="35">
        <f t="shared" si="1"/>
        <v>1170.6399999999999</v>
      </c>
      <c r="I7" s="35">
        <f t="shared" si="1"/>
        <v>1223.6399999999999</v>
      </c>
      <c r="J7" s="35">
        <f t="shared" si="1"/>
        <v>1264.6399999999999</v>
      </c>
      <c r="K7" s="35">
        <f t="shared" si="1"/>
        <v>1302.8400000000001</v>
      </c>
      <c r="L7" s="35">
        <f t="shared" si="1"/>
        <v>1323.1399999999999</v>
      </c>
      <c r="M7" s="35">
        <f t="shared" si="1"/>
        <v>1324.1399999999999</v>
      </c>
      <c r="N7" s="35">
        <f t="shared" si="1"/>
        <v>1242.54</v>
      </c>
      <c r="O7" s="35">
        <f t="shared" si="1"/>
        <v>1227.6399999999999</v>
      </c>
      <c r="P7" s="35">
        <f t="shared" si="1"/>
        <v>1225.44</v>
      </c>
      <c r="Q7" s="35">
        <f t="shared" si="1"/>
        <v>1222.44</v>
      </c>
      <c r="R7" s="35">
        <f t="shared" si="1"/>
        <v>1222.54</v>
      </c>
      <c r="S7" s="35">
        <f t="shared" si="1"/>
        <v>1225.1399999999999</v>
      </c>
      <c r="T7" s="35">
        <f t="shared" si="1"/>
        <v>1234.24</v>
      </c>
      <c r="U7" s="35">
        <f t="shared" si="1"/>
        <v>1228.54</v>
      </c>
      <c r="V7" s="35">
        <f t="shared" si="1"/>
        <v>1294.6399999999999</v>
      </c>
      <c r="W7" s="35">
        <f t="shared" si="1"/>
        <v>1371.54</v>
      </c>
      <c r="X7" s="35">
        <f t="shared" si="1"/>
        <v>1498.2399999999998</v>
      </c>
      <c r="Y7" s="35">
        <f t="shared" si="1"/>
        <v>1553.2399999999998</v>
      </c>
      <c r="Z7" s="35">
        <f t="shared" si="1"/>
        <v>1607.74</v>
      </c>
      <c r="AA7" s="35">
        <f t="shared" si="1"/>
        <v>1550.1399999999999</v>
      </c>
      <c r="AB7" s="35">
        <f t="shared" si="1"/>
        <v>1532.8399999999997</v>
      </c>
      <c r="AC7" s="35">
        <f t="shared" si="1"/>
        <v>1529.4399999999998</v>
      </c>
      <c r="AD7" s="35">
        <f t="shared" si="1"/>
        <v>1516.7400000000002</v>
      </c>
      <c r="AE7" s="35">
        <f t="shared" si="1"/>
        <v>1428.84</v>
      </c>
      <c r="AF7" s="35">
        <f t="shared" si="1"/>
        <v>1368.34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45.8</v>
      </c>
      <c r="C11" s="45">
        <v>45.8</v>
      </c>
      <c r="D11" s="45">
        <v>50.5</v>
      </c>
      <c r="E11" s="45">
        <v>50.5</v>
      </c>
      <c r="F11" s="45">
        <v>50.5</v>
      </c>
      <c r="G11" s="45">
        <v>50.5</v>
      </c>
      <c r="H11" s="45">
        <v>50.5</v>
      </c>
      <c r="I11" s="45">
        <v>50.5</v>
      </c>
      <c r="J11" s="45">
        <v>50.5</v>
      </c>
      <c r="K11" s="45">
        <v>50.5</v>
      </c>
      <c r="L11" s="45">
        <v>48.9</v>
      </c>
      <c r="M11" s="45">
        <v>48.9</v>
      </c>
      <c r="N11" s="45">
        <v>44.3</v>
      </c>
      <c r="O11" s="45">
        <v>52.4</v>
      </c>
      <c r="P11" s="45">
        <v>52.4</v>
      </c>
      <c r="Q11" s="45">
        <v>52.4</v>
      </c>
      <c r="R11" s="45">
        <v>49.1</v>
      </c>
      <c r="S11" s="45">
        <v>47.8</v>
      </c>
      <c r="T11" s="46">
        <v>47.7</v>
      </c>
      <c r="U11" s="46">
        <v>47.8</v>
      </c>
      <c r="V11" s="46">
        <v>47.7</v>
      </c>
      <c r="W11" s="46">
        <v>47.7</v>
      </c>
      <c r="X11" s="46">
        <v>44.5</v>
      </c>
      <c r="Y11" s="46">
        <v>44.5</v>
      </c>
      <c r="Z11" s="46">
        <v>44.5</v>
      </c>
      <c r="AA11" s="46">
        <v>44.5</v>
      </c>
      <c r="AB11" s="46">
        <v>52.3</v>
      </c>
      <c r="AC11" s="46">
        <v>52.3</v>
      </c>
      <c r="AD11" s="46">
        <v>52.3</v>
      </c>
      <c r="AE11" s="46">
        <v>52.3</v>
      </c>
      <c r="AF11" s="46">
        <v>32.799999999999997</v>
      </c>
      <c r="AG11" s="47">
        <v>52.4</v>
      </c>
      <c r="AH11" s="48">
        <f>MAX(B11:AF11)</f>
        <v>52.4</v>
      </c>
      <c r="AI11" s="49">
        <f>MIN(B11:AF11)</f>
        <v>32.799999999999997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50.3</v>
      </c>
      <c r="C12" s="45">
        <v>50.3</v>
      </c>
      <c r="D12" s="45">
        <v>50.3</v>
      </c>
      <c r="E12" s="45">
        <v>50.3</v>
      </c>
      <c r="F12" s="45">
        <v>50.3</v>
      </c>
      <c r="G12" s="45">
        <v>50.3</v>
      </c>
      <c r="H12" s="45">
        <v>50.3</v>
      </c>
      <c r="I12" s="45">
        <v>50.3</v>
      </c>
      <c r="J12" s="45">
        <v>50.3</v>
      </c>
      <c r="K12" s="45">
        <v>50.3</v>
      </c>
      <c r="L12" s="45">
        <v>50.3</v>
      </c>
      <c r="M12" s="45">
        <v>50.3</v>
      </c>
      <c r="N12" s="45">
        <v>50.3</v>
      </c>
      <c r="O12" s="45">
        <v>50.3</v>
      </c>
      <c r="P12" s="45">
        <v>50.3</v>
      </c>
      <c r="Q12" s="45">
        <v>50.3</v>
      </c>
      <c r="R12" s="45">
        <v>50.3</v>
      </c>
      <c r="S12" s="45">
        <v>50.5</v>
      </c>
      <c r="T12" s="45">
        <v>50.3</v>
      </c>
      <c r="U12" s="45">
        <v>50.5</v>
      </c>
      <c r="V12" s="45">
        <v>50.5</v>
      </c>
      <c r="W12" s="45">
        <v>50.5</v>
      </c>
      <c r="X12" s="45">
        <v>50.4</v>
      </c>
      <c r="Y12" s="45">
        <v>50.4</v>
      </c>
      <c r="Z12" s="45">
        <v>50.4</v>
      </c>
      <c r="AA12" s="45">
        <v>50.4</v>
      </c>
      <c r="AB12" s="45">
        <v>50.6</v>
      </c>
      <c r="AC12" s="45">
        <v>50.6</v>
      </c>
      <c r="AD12" s="45">
        <v>50.6</v>
      </c>
      <c r="AE12" s="45">
        <v>50.6</v>
      </c>
      <c r="AF12" s="45">
        <v>50.6</v>
      </c>
      <c r="AG12" s="51">
        <v>50</v>
      </c>
      <c r="AH12" s="48">
        <f t="shared" ref="AH12:AH75" si="2">MAX(B12:AF12)</f>
        <v>50.6</v>
      </c>
      <c r="AI12" s="49">
        <f t="shared" ref="AI12:AI75" si="3">MIN(B12:AF12)</f>
        <v>50.3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30.9</v>
      </c>
      <c r="C13" s="45">
        <v>30.9</v>
      </c>
      <c r="D13" s="45">
        <v>30.9</v>
      </c>
      <c r="E13" s="45">
        <v>30.9</v>
      </c>
      <c r="F13" s="45">
        <v>30.9</v>
      </c>
      <c r="G13" s="45">
        <v>30.9</v>
      </c>
      <c r="H13" s="45">
        <v>30.9</v>
      </c>
      <c r="I13" s="45">
        <v>30.9</v>
      </c>
      <c r="J13" s="45">
        <v>30.9</v>
      </c>
      <c r="K13" s="45">
        <v>30.9</v>
      </c>
      <c r="L13" s="45">
        <v>41.8</v>
      </c>
      <c r="M13" s="45">
        <v>41.8</v>
      </c>
      <c r="N13" s="45">
        <v>41.8</v>
      </c>
      <c r="O13" s="45">
        <v>40.4</v>
      </c>
      <c r="P13" s="45">
        <v>40.4</v>
      </c>
      <c r="Q13" s="45">
        <v>40.4</v>
      </c>
      <c r="R13" s="45">
        <v>40.799999999999997</v>
      </c>
      <c r="S13" s="45">
        <v>41.5</v>
      </c>
      <c r="T13" s="45">
        <v>41.7</v>
      </c>
      <c r="U13" s="45">
        <v>43.8</v>
      </c>
      <c r="V13" s="45">
        <v>42.9</v>
      </c>
      <c r="W13" s="45">
        <v>42.9</v>
      </c>
      <c r="X13" s="45">
        <v>42.9</v>
      </c>
      <c r="Y13" s="45">
        <v>42.9</v>
      </c>
      <c r="Z13" s="45">
        <v>42.9</v>
      </c>
      <c r="AA13" s="45">
        <v>42.9</v>
      </c>
      <c r="AB13" s="45">
        <v>43.5</v>
      </c>
      <c r="AC13" s="45">
        <v>43.5</v>
      </c>
      <c r="AD13" s="45">
        <v>43.5</v>
      </c>
      <c r="AE13" s="45">
        <v>36.700000000000003</v>
      </c>
      <c r="AF13" s="45">
        <v>36.700000000000003</v>
      </c>
      <c r="AG13" s="51">
        <v>45</v>
      </c>
      <c r="AH13" s="48">
        <f t="shared" si="2"/>
        <v>43.8</v>
      </c>
      <c r="AI13" s="49">
        <f t="shared" si="3"/>
        <v>30.9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16</v>
      </c>
      <c r="C14" s="45">
        <v>16</v>
      </c>
      <c r="D14" s="45">
        <v>16</v>
      </c>
      <c r="E14" s="45">
        <v>16</v>
      </c>
      <c r="F14" s="45">
        <v>16</v>
      </c>
      <c r="G14" s="45">
        <v>16</v>
      </c>
      <c r="H14" s="45">
        <v>16</v>
      </c>
      <c r="I14" s="45">
        <v>26</v>
      </c>
      <c r="J14" s="45">
        <v>26</v>
      </c>
      <c r="K14" s="45">
        <v>32</v>
      </c>
      <c r="L14" s="45">
        <v>34</v>
      </c>
      <c r="M14" s="45">
        <v>34</v>
      </c>
      <c r="N14" s="45">
        <v>27</v>
      </c>
      <c r="O14" s="45">
        <v>24</v>
      </c>
      <c r="P14" s="45">
        <v>30</v>
      </c>
      <c r="Q14" s="45">
        <v>27</v>
      </c>
      <c r="R14" s="45">
        <v>23.4</v>
      </c>
      <c r="S14" s="45">
        <v>30</v>
      </c>
      <c r="T14" s="45">
        <v>32</v>
      </c>
      <c r="U14" s="45">
        <v>32</v>
      </c>
      <c r="V14" s="45">
        <v>28</v>
      </c>
      <c r="W14" s="45">
        <v>28</v>
      </c>
      <c r="X14" s="45">
        <v>32.6</v>
      </c>
      <c r="Y14" s="45">
        <v>32.6</v>
      </c>
      <c r="Z14" s="45">
        <v>30</v>
      </c>
      <c r="AA14" s="45">
        <v>30</v>
      </c>
      <c r="AB14" s="45">
        <v>27</v>
      </c>
      <c r="AC14" s="45">
        <v>27</v>
      </c>
      <c r="AD14" s="45">
        <v>27</v>
      </c>
      <c r="AE14" s="45">
        <v>21</v>
      </c>
      <c r="AF14" s="45">
        <v>16</v>
      </c>
      <c r="AG14" s="51">
        <v>42</v>
      </c>
      <c r="AH14" s="48">
        <f t="shared" si="2"/>
        <v>34</v>
      </c>
      <c r="AI14" s="49">
        <f t="shared" si="3"/>
        <v>16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15</v>
      </c>
      <c r="J15" s="45">
        <v>30</v>
      </c>
      <c r="K15" s="45">
        <v>30</v>
      </c>
      <c r="L15" s="45">
        <v>30</v>
      </c>
      <c r="M15" s="45">
        <v>30</v>
      </c>
      <c r="N15" s="45">
        <v>10</v>
      </c>
      <c r="O15" s="45">
        <v>10</v>
      </c>
      <c r="P15" s="45">
        <v>5.7</v>
      </c>
      <c r="Q15" s="45">
        <v>5.7</v>
      </c>
      <c r="R15" s="45">
        <v>0</v>
      </c>
      <c r="S15" s="45">
        <v>0</v>
      </c>
      <c r="T15" s="45">
        <v>14.4</v>
      </c>
      <c r="U15" s="45">
        <v>5</v>
      </c>
      <c r="V15" s="45">
        <v>11.7</v>
      </c>
      <c r="W15" s="45">
        <v>11.7</v>
      </c>
      <c r="X15" s="45">
        <v>11.6</v>
      </c>
      <c r="Y15" s="45">
        <v>0</v>
      </c>
      <c r="Z15" s="45">
        <v>30</v>
      </c>
      <c r="AA15" s="45">
        <v>15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52">
        <v>30</v>
      </c>
      <c r="AH15" s="48">
        <f t="shared" si="2"/>
        <v>30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20</v>
      </c>
      <c r="C16" s="45">
        <v>20</v>
      </c>
      <c r="D16" s="45">
        <v>20</v>
      </c>
      <c r="E16" s="45">
        <v>20</v>
      </c>
      <c r="F16" s="45">
        <v>20</v>
      </c>
      <c r="G16" s="45">
        <v>20</v>
      </c>
      <c r="H16" s="45">
        <v>20</v>
      </c>
      <c r="I16" s="45">
        <v>20</v>
      </c>
      <c r="J16" s="45">
        <v>20</v>
      </c>
      <c r="K16" s="45">
        <v>20</v>
      </c>
      <c r="L16" s="45">
        <v>26.5</v>
      </c>
      <c r="M16" s="45">
        <v>26.5</v>
      </c>
      <c r="N16" s="45">
        <v>26.5</v>
      </c>
      <c r="O16" s="45">
        <v>25</v>
      </c>
      <c r="P16" s="45">
        <v>22.8</v>
      </c>
      <c r="Q16" s="45">
        <v>22.8</v>
      </c>
      <c r="R16" s="45">
        <v>22.1</v>
      </c>
      <c r="S16" s="45">
        <v>22.1</v>
      </c>
      <c r="T16" s="45">
        <v>15.4</v>
      </c>
      <c r="U16" s="45">
        <v>15.4</v>
      </c>
      <c r="V16" s="45">
        <v>20.6</v>
      </c>
      <c r="W16" s="45">
        <v>20.6</v>
      </c>
      <c r="X16" s="45">
        <v>17.5</v>
      </c>
      <c r="Y16" s="45">
        <v>17.5</v>
      </c>
      <c r="Z16" s="45">
        <v>17.5</v>
      </c>
      <c r="AA16" s="45">
        <v>17.5</v>
      </c>
      <c r="AB16" s="45">
        <v>22.9</v>
      </c>
      <c r="AC16" s="45">
        <v>22.9</v>
      </c>
      <c r="AD16" s="45">
        <v>10.6</v>
      </c>
      <c r="AE16" s="45">
        <v>10.6</v>
      </c>
      <c r="AF16" s="45">
        <v>10.6</v>
      </c>
      <c r="AG16" s="51">
        <v>24.2</v>
      </c>
      <c r="AH16" s="48">
        <f t="shared" si="2"/>
        <v>26.5</v>
      </c>
      <c r="AI16" s="49">
        <f t="shared" si="3"/>
        <v>10.6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10</v>
      </c>
      <c r="K17" s="45">
        <v>27</v>
      </c>
      <c r="L17" s="45">
        <v>27</v>
      </c>
      <c r="M17" s="45">
        <v>27</v>
      </c>
      <c r="N17" s="45">
        <v>10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12</v>
      </c>
      <c r="W17" s="45">
        <v>12</v>
      </c>
      <c r="X17" s="45">
        <v>12</v>
      </c>
      <c r="Y17" s="45">
        <v>0</v>
      </c>
      <c r="Z17" s="45">
        <v>27</v>
      </c>
      <c r="AA17" s="45">
        <v>9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52">
        <v>30</v>
      </c>
      <c r="AH17" s="48">
        <f t="shared" si="2"/>
        <v>27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15</v>
      </c>
      <c r="C18" s="45">
        <v>15</v>
      </c>
      <c r="D18" s="45">
        <v>15</v>
      </c>
      <c r="E18" s="45">
        <v>15</v>
      </c>
      <c r="F18" s="45">
        <v>15</v>
      </c>
      <c r="G18" s="45">
        <v>15</v>
      </c>
      <c r="H18" s="45">
        <v>15</v>
      </c>
      <c r="I18" s="45">
        <v>15</v>
      </c>
      <c r="J18" s="45">
        <v>15</v>
      </c>
      <c r="K18" s="45">
        <v>25.1</v>
      </c>
      <c r="L18" s="45">
        <v>25.1</v>
      </c>
      <c r="M18" s="45">
        <v>25.1</v>
      </c>
      <c r="N18" s="45">
        <v>25.1</v>
      </c>
      <c r="O18" s="45">
        <v>23</v>
      </c>
      <c r="P18" s="45">
        <v>23</v>
      </c>
      <c r="Q18" s="45">
        <v>23</v>
      </c>
      <c r="R18" s="45">
        <v>23</v>
      </c>
      <c r="S18" s="45">
        <v>23</v>
      </c>
      <c r="T18" s="45">
        <v>22</v>
      </c>
      <c r="U18" s="45">
        <v>22</v>
      </c>
      <c r="V18" s="45">
        <v>22</v>
      </c>
      <c r="W18" s="45">
        <v>22</v>
      </c>
      <c r="X18" s="45">
        <v>26.2</v>
      </c>
      <c r="Y18" s="45">
        <v>26.2</v>
      </c>
      <c r="Z18" s="45">
        <v>26.2</v>
      </c>
      <c r="AA18" s="45">
        <v>26.2</v>
      </c>
      <c r="AB18" s="45">
        <v>25</v>
      </c>
      <c r="AC18" s="45">
        <v>25</v>
      </c>
      <c r="AD18" s="45">
        <v>25</v>
      </c>
      <c r="AE18" s="45">
        <v>20</v>
      </c>
      <c r="AF18" s="45">
        <v>20</v>
      </c>
      <c r="AG18" s="51">
        <v>25</v>
      </c>
      <c r="AH18" s="48">
        <f t="shared" si="2"/>
        <v>26.2</v>
      </c>
      <c r="AI18" s="49">
        <f t="shared" si="3"/>
        <v>15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24</v>
      </c>
      <c r="C19" s="45">
        <v>24</v>
      </c>
      <c r="D19" s="45">
        <v>24</v>
      </c>
      <c r="E19" s="45">
        <v>24</v>
      </c>
      <c r="F19" s="45">
        <v>24</v>
      </c>
      <c r="G19" s="45">
        <v>24</v>
      </c>
      <c r="H19" s="45">
        <v>24</v>
      </c>
      <c r="I19" s="45">
        <v>24</v>
      </c>
      <c r="J19" s="45">
        <v>24</v>
      </c>
      <c r="K19" s="45">
        <v>24</v>
      </c>
      <c r="L19" s="45">
        <v>24</v>
      </c>
      <c r="M19" s="45">
        <v>24</v>
      </c>
      <c r="N19" s="45">
        <v>0</v>
      </c>
      <c r="O19" s="45">
        <v>0</v>
      </c>
      <c r="P19" s="45">
        <v>25</v>
      </c>
      <c r="Q19" s="45">
        <v>25</v>
      </c>
      <c r="R19" s="45">
        <v>25</v>
      </c>
      <c r="S19" s="45">
        <v>25</v>
      </c>
      <c r="T19" s="45">
        <v>25</v>
      </c>
      <c r="U19" s="45">
        <v>25</v>
      </c>
      <c r="V19" s="45">
        <v>25</v>
      </c>
      <c r="W19" s="45">
        <v>25</v>
      </c>
      <c r="X19" s="45">
        <v>25</v>
      </c>
      <c r="Y19" s="45">
        <v>25</v>
      </c>
      <c r="Z19" s="45">
        <v>25</v>
      </c>
      <c r="AA19" s="45">
        <v>25</v>
      </c>
      <c r="AB19" s="45">
        <v>25</v>
      </c>
      <c r="AC19" s="45">
        <v>25</v>
      </c>
      <c r="AD19" s="45">
        <v>25</v>
      </c>
      <c r="AE19" s="45">
        <v>25</v>
      </c>
      <c r="AF19" s="45">
        <v>25</v>
      </c>
      <c r="AG19" s="51">
        <v>25</v>
      </c>
      <c r="AH19" s="48">
        <f t="shared" si="2"/>
        <v>25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15</v>
      </c>
      <c r="C20" s="45">
        <v>15</v>
      </c>
      <c r="D20" s="45">
        <v>15</v>
      </c>
      <c r="E20" s="45">
        <v>15</v>
      </c>
      <c r="F20" s="45">
        <v>15</v>
      </c>
      <c r="G20" s="45">
        <v>15</v>
      </c>
      <c r="H20" s="45">
        <v>21</v>
      </c>
      <c r="I20" s="45">
        <v>21</v>
      </c>
      <c r="J20" s="45">
        <v>21</v>
      </c>
      <c r="K20" s="45">
        <v>21</v>
      </c>
      <c r="L20" s="45">
        <v>21</v>
      </c>
      <c r="M20" s="45">
        <v>21</v>
      </c>
      <c r="N20" s="45">
        <v>21</v>
      </c>
      <c r="O20" s="45">
        <v>21</v>
      </c>
      <c r="P20" s="45">
        <v>21</v>
      </c>
      <c r="Q20" s="45">
        <v>21</v>
      </c>
      <c r="R20" s="45">
        <v>21</v>
      </c>
      <c r="S20" s="45">
        <v>21</v>
      </c>
      <c r="T20" s="45">
        <v>21</v>
      </c>
      <c r="U20" s="45">
        <v>21</v>
      </c>
      <c r="V20" s="45">
        <v>21</v>
      </c>
      <c r="W20" s="45">
        <v>21</v>
      </c>
      <c r="X20" s="45">
        <v>21</v>
      </c>
      <c r="Y20" s="45">
        <v>21</v>
      </c>
      <c r="Z20" s="45">
        <v>21</v>
      </c>
      <c r="AA20" s="45">
        <v>21</v>
      </c>
      <c r="AB20" s="45">
        <v>20</v>
      </c>
      <c r="AC20" s="45">
        <v>20</v>
      </c>
      <c r="AD20" s="45">
        <v>20</v>
      </c>
      <c r="AE20" s="45">
        <v>20</v>
      </c>
      <c r="AF20" s="45">
        <v>20</v>
      </c>
      <c r="AG20" s="51">
        <v>25</v>
      </c>
      <c r="AH20" s="48">
        <f t="shared" si="2"/>
        <v>21</v>
      </c>
      <c r="AI20" s="49">
        <f t="shared" si="3"/>
        <v>15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20.7</v>
      </c>
      <c r="C21" s="45">
        <v>20.7</v>
      </c>
      <c r="D21" s="45">
        <v>20.7</v>
      </c>
      <c r="E21" s="45">
        <v>20.7</v>
      </c>
      <c r="F21" s="45">
        <v>20.7</v>
      </c>
      <c r="G21" s="45">
        <v>20.7</v>
      </c>
      <c r="H21" s="45">
        <v>20.7</v>
      </c>
      <c r="I21" s="45">
        <v>20.7</v>
      </c>
      <c r="J21" s="45">
        <v>20.7</v>
      </c>
      <c r="K21" s="45">
        <v>20.7</v>
      </c>
      <c r="L21" s="45">
        <v>20.7</v>
      </c>
      <c r="M21" s="45">
        <v>20.7</v>
      </c>
      <c r="N21" s="45">
        <v>20.7</v>
      </c>
      <c r="O21" s="45">
        <v>20.7</v>
      </c>
      <c r="P21" s="45">
        <v>20.7</v>
      </c>
      <c r="Q21" s="45">
        <v>20.7</v>
      </c>
      <c r="R21" s="45">
        <v>20.7</v>
      </c>
      <c r="S21" s="45">
        <v>20.7</v>
      </c>
      <c r="T21" s="45">
        <v>20.7</v>
      </c>
      <c r="U21" s="45">
        <v>20.7</v>
      </c>
      <c r="V21" s="45">
        <v>20.7</v>
      </c>
      <c r="W21" s="45">
        <v>20.7</v>
      </c>
      <c r="X21" s="45">
        <v>20.6</v>
      </c>
      <c r="Y21" s="45">
        <v>20.6</v>
      </c>
      <c r="Z21" s="45">
        <v>20.6</v>
      </c>
      <c r="AA21" s="45">
        <v>20.6</v>
      </c>
      <c r="AB21" s="45">
        <v>20.5</v>
      </c>
      <c r="AC21" s="45">
        <v>20.5</v>
      </c>
      <c r="AD21" s="45">
        <v>20.5</v>
      </c>
      <c r="AE21" s="45">
        <v>20.5</v>
      </c>
      <c r="AF21" s="45">
        <v>20.5</v>
      </c>
      <c r="AG21" s="51">
        <v>23.5</v>
      </c>
      <c r="AH21" s="48">
        <f t="shared" si="2"/>
        <v>20.7</v>
      </c>
      <c r="AI21" s="49">
        <f t="shared" si="3"/>
        <v>20.5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13</v>
      </c>
      <c r="C22" s="45">
        <v>13</v>
      </c>
      <c r="D22" s="45">
        <v>13</v>
      </c>
      <c r="E22" s="45">
        <v>13</v>
      </c>
      <c r="F22" s="45">
        <v>13</v>
      </c>
      <c r="G22" s="45">
        <v>13</v>
      </c>
      <c r="H22" s="45">
        <v>13</v>
      </c>
      <c r="I22" s="45">
        <v>13</v>
      </c>
      <c r="J22" s="45">
        <v>13</v>
      </c>
      <c r="K22" s="45">
        <v>13</v>
      </c>
      <c r="L22" s="45">
        <v>13</v>
      </c>
      <c r="M22" s="45">
        <v>13</v>
      </c>
      <c r="N22" s="45">
        <v>13</v>
      </c>
      <c r="O22" s="45">
        <v>13</v>
      </c>
      <c r="P22" s="45">
        <v>13</v>
      </c>
      <c r="Q22" s="45">
        <v>13</v>
      </c>
      <c r="R22" s="45">
        <v>13</v>
      </c>
      <c r="S22" s="45">
        <v>13</v>
      </c>
      <c r="T22" s="45">
        <v>13</v>
      </c>
      <c r="U22" s="45">
        <v>13</v>
      </c>
      <c r="V22" s="45">
        <v>13</v>
      </c>
      <c r="W22" s="45">
        <v>13</v>
      </c>
      <c r="X22" s="45">
        <v>13</v>
      </c>
      <c r="Y22" s="45">
        <v>13</v>
      </c>
      <c r="Z22" s="45">
        <v>13</v>
      </c>
      <c r="AA22" s="45">
        <v>13</v>
      </c>
      <c r="AB22" s="45">
        <v>13</v>
      </c>
      <c r="AC22" s="45">
        <v>13</v>
      </c>
      <c r="AD22" s="45">
        <v>13</v>
      </c>
      <c r="AE22" s="45">
        <v>13</v>
      </c>
      <c r="AF22" s="45">
        <v>13</v>
      </c>
      <c r="AG22" s="51">
        <v>22.2</v>
      </c>
      <c r="AH22" s="48">
        <f t="shared" si="2"/>
        <v>13</v>
      </c>
      <c r="AI22" s="49">
        <f t="shared" si="3"/>
        <v>13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18</v>
      </c>
      <c r="C23" s="45">
        <v>18</v>
      </c>
      <c r="D23" s="45">
        <v>18</v>
      </c>
      <c r="E23" s="45">
        <v>18</v>
      </c>
      <c r="F23" s="45">
        <v>18</v>
      </c>
      <c r="G23" s="45">
        <v>18</v>
      </c>
      <c r="H23" s="45">
        <v>18</v>
      </c>
      <c r="I23" s="45">
        <v>18</v>
      </c>
      <c r="J23" s="45">
        <v>18</v>
      </c>
      <c r="K23" s="45">
        <v>18</v>
      </c>
      <c r="L23" s="45">
        <v>18</v>
      </c>
      <c r="M23" s="45">
        <v>18</v>
      </c>
      <c r="N23" s="45">
        <v>18</v>
      </c>
      <c r="O23" s="45">
        <v>18</v>
      </c>
      <c r="P23" s="45">
        <v>18</v>
      </c>
      <c r="Q23" s="45">
        <v>18</v>
      </c>
      <c r="R23" s="45">
        <v>18</v>
      </c>
      <c r="S23" s="45">
        <v>18</v>
      </c>
      <c r="T23" s="45">
        <v>18</v>
      </c>
      <c r="U23" s="45">
        <v>18</v>
      </c>
      <c r="V23" s="45">
        <v>18</v>
      </c>
      <c r="W23" s="45">
        <v>18</v>
      </c>
      <c r="X23" s="45">
        <v>18</v>
      </c>
      <c r="Y23" s="45">
        <v>18</v>
      </c>
      <c r="Z23" s="45">
        <v>18</v>
      </c>
      <c r="AA23" s="45">
        <v>18</v>
      </c>
      <c r="AB23" s="45">
        <v>18</v>
      </c>
      <c r="AC23" s="45">
        <v>18</v>
      </c>
      <c r="AD23" s="45">
        <v>18</v>
      </c>
      <c r="AE23" s="45">
        <v>18</v>
      </c>
      <c r="AF23" s="45">
        <v>18</v>
      </c>
      <c r="AG23" s="51">
        <v>22.1</v>
      </c>
      <c r="AH23" s="48">
        <f t="shared" si="2"/>
        <v>18</v>
      </c>
      <c r="AI23" s="49">
        <f t="shared" si="3"/>
        <v>18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22</v>
      </c>
      <c r="C24" s="45">
        <v>22</v>
      </c>
      <c r="D24" s="45">
        <v>22</v>
      </c>
      <c r="E24" s="45">
        <v>22</v>
      </c>
      <c r="F24" s="45">
        <v>22</v>
      </c>
      <c r="G24" s="45">
        <v>22</v>
      </c>
      <c r="H24" s="45">
        <v>22</v>
      </c>
      <c r="I24" s="45">
        <v>22</v>
      </c>
      <c r="J24" s="45">
        <v>22</v>
      </c>
      <c r="K24" s="45">
        <v>22</v>
      </c>
      <c r="L24" s="45">
        <v>22</v>
      </c>
      <c r="M24" s="45">
        <v>17</v>
      </c>
      <c r="N24" s="45">
        <v>17</v>
      </c>
      <c r="O24" s="45">
        <v>17</v>
      </c>
      <c r="P24" s="45">
        <v>17</v>
      </c>
      <c r="Q24" s="45">
        <v>17</v>
      </c>
      <c r="R24" s="45">
        <v>17</v>
      </c>
      <c r="S24" s="45">
        <v>17</v>
      </c>
      <c r="T24" s="45">
        <v>17</v>
      </c>
      <c r="U24" s="45">
        <v>17</v>
      </c>
      <c r="V24" s="45">
        <v>17</v>
      </c>
      <c r="W24" s="45">
        <v>17</v>
      </c>
      <c r="X24" s="45">
        <v>20</v>
      </c>
      <c r="Y24" s="45">
        <v>20</v>
      </c>
      <c r="Z24" s="45">
        <v>20</v>
      </c>
      <c r="AA24" s="45">
        <v>20</v>
      </c>
      <c r="AB24" s="45">
        <v>20</v>
      </c>
      <c r="AC24" s="45">
        <v>20</v>
      </c>
      <c r="AD24" s="45">
        <v>20</v>
      </c>
      <c r="AE24" s="45">
        <v>20</v>
      </c>
      <c r="AF24" s="45">
        <v>20</v>
      </c>
      <c r="AG24" s="51">
        <v>22</v>
      </c>
      <c r="AH24" s="48">
        <f t="shared" si="2"/>
        <v>22</v>
      </c>
      <c r="AI24" s="49">
        <f t="shared" si="3"/>
        <v>17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15</v>
      </c>
      <c r="C25" s="45">
        <v>15</v>
      </c>
      <c r="D25" s="45">
        <v>15</v>
      </c>
      <c r="E25" s="45">
        <v>15</v>
      </c>
      <c r="F25" s="45">
        <v>15</v>
      </c>
      <c r="G25" s="45">
        <v>15</v>
      </c>
      <c r="H25" s="45">
        <v>15</v>
      </c>
      <c r="I25" s="45">
        <v>15</v>
      </c>
      <c r="J25" s="45">
        <v>15</v>
      </c>
      <c r="K25" s="45">
        <v>15</v>
      </c>
      <c r="L25" s="45">
        <v>15.5</v>
      </c>
      <c r="M25" s="45">
        <v>15.5</v>
      </c>
      <c r="N25" s="45">
        <v>15.5</v>
      </c>
      <c r="O25" s="45">
        <v>15.5</v>
      </c>
      <c r="P25" s="45">
        <v>15.5</v>
      </c>
      <c r="Q25" s="45">
        <v>15.5</v>
      </c>
      <c r="R25" s="45">
        <v>15.5</v>
      </c>
      <c r="S25" s="45">
        <v>15.5</v>
      </c>
      <c r="T25" s="45">
        <v>15.5</v>
      </c>
      <c r="U25" s="45">
        <v>15.5</v>
      </c>
      <c r="V25" s="45">
        <v>15.5</v>
      </c>
      <c r="W25" s="45">
        <v>15.5</v>
      </c>
      <c r="X25" s="45">
        <v>22</v>
      </c>
      <c r="Y25" s="45">
        <v>22</v>
      </c>
      <c r="Z25" s="45">
        <v>22</v>
      </c>
      <c r="AA25" s="45">
        <v>22</v>
      </c>
      <c r="AB25" s="45">
        <v>22</v>
      </c>
      <c r="AC25" s="45">
        <v>22</v>
      </c>
      <c r="AD25" s="45">
        <v>22</v>
      </c>
      <c r="AE25" s="45">
        <v>22</v>
      </c>
      <c r="AF25" s="45">
        <v>22</v>
      </c>
      <c r="AG25" s="51">
        <v>22</v>
      </c>
      <c r="AH25" s="48">
        <f t="shared" si="2"/>
        <v>22</v>
      </c>
      <c r="AI25" s="49">
        <f t="shared" si="3"/>
        <v>15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10</v>
      </c>
      <c r="K26" s="45">
        <v>10</v>
      </c>
      <c r="L26" s="45">
        <v>10</v>
      </c>
      <c r="M26" s="45">
        <v>10</v>
      </c>
      <c r="N26" s="45">
        <v>5</v>
      </c>
      <c r="O26" s="45">
        <v>5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10</v>
      </c>
      <c r="Z26" s="45">
        <v>10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>
        <v>14</v>
      </c>
      <c r="U27" s="45">
        <v>14</v>
      </c>
      <c r="V27" s="45">
        <v>14</v>
      </c>
      <c r="W27" s="45">
        <v>14</v>
      </c>
      <c r="X27" s="45">
        <v>11</v>
      </c>
      <c r="Y27" s="45">
        <v>11</v>
      </c>
      <c r="Z27" s="45">
        <v>11</v>
      </c>
      <c r="AA27" s="45">
        <v>11</v>
      </c>
      <c r="AB27" s="45">
        <v>11</v>
      </c>
      <c r="AC27" s="45">
        <v>11</v>
      </c>
      <c r="AD27" s="45">
        <v>11</v>
      </c>
      <c r="AE27" s="45">
        <v>11</v>
      </c>
      <c r="AF27" s="45">
        <v>11</v>
      </c>
      <c r="AG27" s="51">
        <v>14.9</v>
      </c>
      <c r="AH27" s="48">
        <f t="shared" si="2"/>
        <v>14</v>
      </c>
      <c r="AI27" s="49">
        <f t="shared" si="3"/>
        <v>11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3</v>
      </c>
      <c r="C28" s="45">
        <v>3</v>
      </c>
      <c r="D28" s="45">
        <v>3</v>
      </c>
      <c r="E28" s="45">
        <v>3</v>
      </c>
      <c r="F28" s="45">
        <v>3</v>
      </c>
      <c r="G28" s="45">
        <v>3</v>
      </c>
      <c r="H28" s="45">
        <v>3</v>
      </c>
      <c r="I28" s="45">
        <v>3</v>
      </c>
      <c r="J28" s="45">
        <v>3</v>
      </c>
      <c r="K28" s="45">
        <v>3</v>
      </c>
      <c r="L28" s="45">
        <v>3</v>
      </c>
      <c r="M28" s="45">
        <v>3</v>
      </c>
      <c r="N28" s="45">
        <v>3</v>
      </c>
      <c r="O28" s="45">
        <v>3</v>
      </c>
      <c r="P28" s="45">
        <v>3</v>
      </c>
      <c r="Q28" s="45">
        <v>3</v>
      </c>
      <c r="R28" s="45">
        <v>3</v>
      </c>
      <c r="S28" s="45">
        <v>3</v>
      </c>
      <c r="T28" s="45">
        <v>3</v>
      </c>
      <c r="U28" s="45">
        <v>3</v>
      </c>
      <c r="V28" s="45">
        <v>3</v>
      </c>
      <c r="W28" s="45">
        <v>3</v>
      </c>
      <c r="X28" s="45">
        <v>4</v>
      </c>
      <c r="Y28" s="45">
        <v>4</v>
      </c>
      <c r="Z28" s="45">
        <v>4</v>
      </c>
      <c r="AA28" s="45">
        <v>4</v>
      </c>
      <c r="AB28" s="45">
        <v>4</v>
      </c>
      <c r="AC28" s="45">
        <v>4</v>
      </c>
      <c r="AD28" s="45">
        <v>4</v>
      </c>
      <c r="AE28" s="45">
        <v>4</v>
      </c>
      <c r="AF28" s="45">
        <v>4</v>
      </c>
      <c r="AG28" s="51">
        <v>13.6</v>
      </c>
      <c r="AH28" s="48">
        <f t="shared" si="2"/>
        <v>4</v>
      </c>
      <c r="AI28" s="49">
        <f t="shared" si="3"/>
        <v>3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12</v>
      </c>
      <c r="C29" s="45">
        <v>12</v>
      </c>
      <c r="D29" s="45">
        <v>12</v>
      </c>
      <c r="E29" s="45">
        <v>12</v>
      </c>
      <c r="F29" s="45">
        <v>12</v>
      </c>
      <c r="G29" s="45">
        <v>12</v>
      </c>
      <c r="H29" s="45">
        <v>12</v>
      </c>
      <c r="I29" s="45">
        <v>12</v>
      </c>
      <c r="J29" s="45">
        <v>12</v>
      </c>
      <c r="K29" s="45">
        <v>12</v>
      </c>
      <c r="L29" s="45">
        <v>12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12</v>
      </c>
      <c r="Y29" s="45">
        <v>12</v>
      </c>
      <c r="Z29" s="45">
        <v>12</v>
      </c>
      <c r="AA29" s="45">
        <v>12</v>
      </c>
      <c r="AB29" s="45">
        <v>12</v>
      </c>
      <c r="AC29" s="45">
        <v>12</v>
      </c>
      <c r="AD29" s="45">
        <v>12</v>
      </c>
      <c r="AE29" s="45">
        <v>12</v>
      </c>
      <c r="AF29" s="45">
        <v>12</v>
      </c>
      <c r="AG29" s="51">
        <v>13</v>
      </c>
      <c r="AH29" s="48">
        <f t="shared" si="2"/>
        <v>12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6</v>
      </c>
      <c r="K30" s="45">
        <v>12</v>
      </c>
      <c r="L30" s="45">
        <v>12</v>
      </c>
      <c r="M30" s="45">
        <v>12</v>
      </c>
      <c r="N30" s="45">
        <v>12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51">
        <v>12</v>
      </c>
      <c r="AH30" s="48">
        <f t="shared" si="2"/>
        <v>12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12</v>
      </c>
      <c r="C31" s="45">
        <v>12</v>
      </c>
      <c r="D31" s="45">
        <v>12</v>
      </c>
      <c r="E31" s="45">
        <v>12</v>
      </c>
      <c r="F31" s="45">
        <v>12</v>
      </c>
      <c r="G31" s="45">
        <v>12</v>
      </c>
      <c r="H31" s="45">
        <v>12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2"/>
        <v>12</v>
      </c>
      <c r="AI31" s="49">
        <f t="shared" si="3"/>
        <v>12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</v>
      </c>
      <c r="C32" s="45">
        <v>2</v>
      </c>
      <c r="D32" s="45">
        <v>2</v>
      </c>
      <c r="E32" s="45">
        <v>2</v>
      </c>
      <c r="F32" s="45">
        <v>2</v>
      </c>
      <c r="G32" s="45">
        <v>2</v>
      </c>
      <c r="H32" s="45">
        <v>2</v>
      </c>
      <c r="I32" s="45">
        <v>2</v>
      </c>
      <c r="J32" s="45">
        <v>2</v>
      </c>
      <c r="K32" s="45">
        <v>2</v>
      </c>
      <c r="L32" s="45">
        <v>2</v>
      </c>
      <c r="M32" s="45">
        <v>2</v>
      </c>
      <c r="N32" s="45">
        <v>2</v>
      </c>
      <c r="O32" s="45">
        <v>2</v>
      </c>
      <c r="P32" s="45">
        <v>2</v>
      </c>
      <c r="Q32" s="45">
        <v>2</v>
      </c>
      <c r="R32" s="45">
        <v>2</v>
      </c>
      <c r="S32" s="45">
        <v>2</v>
      </c>
      <c r="T32" s="45">
        <v>2</v>
      </c>
      <c r="U32" s="45">
        <v>2</v>
      </c>
      <c r="V32" s="45">
        <v>2</v>
      </c>
      <c r="W32" s="45">
        <v>2</v>
      </c>
      <c r="X32" s="45">
        <v>7</v>
      </c>
      <c r="Y32" s="45">
        <v>7</v>
      </c>
      <c r="Z32" s="45">
        <v>7</v>
      </c>
      <c r="AA32" s="45">
        <v>7</v>
      </c>
      <c r="AB32" s="45">
        <v>7</v>
      </c>
      <c r="AC32" s="45">
        <v>7</v>
      </c>
      <c r="AD32" s="45">
        <v>7</v>
      </c>
      <c r="AE32" s="45">
        <v>7</v>
      </c>
      <c r="AF32" s="45">
        <v>7</v>
      </c>
      <c r="AG32" s="51">
        <v>12</v>
      </c>
      <c r="AH32" s="48">
        <f t="shared" si="2"/>
        <v>7</v>
      </c>
      <c r="AI32" s="49">
        <f t="shared" si="3"/>
        <v>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8</v>
      </c>
      <c r="C33" s="45">
        <v>8</v>
      </c>
      <c r="D33" s="45">
        <v>8</v>
      </c>
      <c r="E33" s="45">
        <v>8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3">
        <v>22</v>
      </c>
      <c r="AH33" s="48">
        <f t="shared" si="2"/>
        <v>8</v>
      </c>
      <c r="AI33" s="49">
        <f t="shared" si="3"/>
        <v>8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6</v>
      </c>
      <c r="C34" s="45">
        <v>6</v>
      </c>
      <c r="D34" s="45">
        <v>6</v>
      </c>
      <c r="E34" s="45">
        <v>6</v>
      </c>
      <c r="F34" s="45">
        <v>6</v>
      </c>
      <c r="G34" s="45">
        <v>6</v>
      </c>
      <c r="H34" s="45">
        <v>6</v>
      </c>
      <c r="I34" s="45">
        <v>6</v>
      </c>
      <c r="J34" s="45">
        <v>6</v>
      </c>
      <c r="K34" s="45">
        <v>6</v>
      </c>
      <c r="L34" s="45">
        <v>6</v>
      </c>
      <c r="M34" s="45">
        <v>6</v>
      </c>
      <c r="N34" s="45">
        <v>6</v>
      </c>
      <c r="O34" s="45">
        <v>6</v>
      </c>
      <c r="P34" s="45">
        <v>6</v>
      </c>
      <c r="Q34" s="45">
        <v>6</v>
      </c>
      <c r="R34" s="45">
        <v>6</v>
      </c>
      <c r="S34" s="45">
        <v>6</v>
      </c>
      <c r="T34" s="45">
        <v>6</v>
      </c>
      <c r="U34" s="45">
        <v>6</v>
      </c>
      <c r="V34" s="45">
        <v>6</v>
      </c>
      <c r="W34" s="45">
        <v>6</v>
      </c>
      <c r="X34" s="45">
        <v>11</v>
      </c>
      <c r="Y34" s="45">
        <v>11</v>
      </c>
      <c r="Z34" s="45">
        <v>11</v>
      </c>
      <c r="AA34" s="45">
        <v>11</v>
      </c>
      <c r="AB34" s="45">
        <v>11</v>
      </c>
      <c r="AC34" s="45">
        <v>11</v>
      </c>
      <c r="AD34" s="45">
        <v>11</v>
      </c>
      <c r="AE34" s="45">
        <v>11</v>
      </c>
      <c r="AF34" s="45">
        <v>11</v>
      </c>
      <c r="AG34" s="52">
        <v>11.88</v>
      </c>
      <c r="AH34" s="48">
        <f t="shared" si="2"/>
        <v>11</v>
      </c>
      <c r="AI34" s="49">
        <f t="shared" si="3"/>
        <v>6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9</v>
      </c>
      <c r="C35" s="45">
        <v>9</v>
      </c>
      <c r="D35" s="45">
        <v>9</v>
      </c>
      <c r="E35" s="45">
        <v>9</v>
      </c>
      <c r="F35" s="45">
        <v>9</v>
      </c>
      <c r="G35" s="45">
        <v>9</v>
      </c>
      <c r="H35" s="45">
        <v>9</v>
      </c>
      <c r="I35" s="45">
        <v>9</v>
      </c>
      <c r="J35" s="45">
        <v>9</v>
      </c>
      <c r="K35" s="45">
        <v>9</v>
      </c>
      <c r="L35" s="45">
        <v>9</v>
      </c>
      <c r="M35" s="45">
        <v>9</v>
      </c>
      <c r="N35" s="45">
        <v>9</v>
      </c>
      <c r="O35" s="45">
        <v>9</v>
      </c>
      <c r="P35" s="45">
        <v>9</v>
      </c>
      <c r="Q35" s="45">
        <v>9</v>
      </c>
      <c r="R35" s="45">
        <v>9</v>
      </c>
      <c r="S35" s="45">
        <v>9</v>
      </c>
      <c r="T35" s="45">
        <v>9</v>
      </c>
      <c r="U35" s="45">
        <v>9</v>
      </c>
      <c r="V35" s="45">
        <v>9</v>
      </c>
      <c r="W35" s="45">
        <v>9</v>
      </c>
      <c r="X35" s="45">
        <v>9</v>
      </c>
      <c r="Y35" s="45">
        <v>9</v>
      </c>
      <c r="Z35" s="45">
        <v>9</v>
      </c>
      <c r="AA35" s="45">
        <v>9</v>
      </c>
      <c r="AB35" s="45">
        <v>9</v>
      </c>
      <c r="AC35" s="45">
        <v>9</v>
      </c>
      <c r="AD35" s="45">
        <v>9</v>
      </c>
      <c r="AE35" s="45">
        <v>9</v>
      </c>
      <c r="AF35" s="45">
        <v>9</v>
      </c>
      <c r="AG35" s="55">
        <v>11</v>
      </c>
      <c r="AH35" s="48">
        <f t="shared" si="2"/>
        <v>9</v>
      </c>
      <c r="AI35" s="49">
        <f t="shared" si="3"/>
        <v>9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5">
        <v>10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0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300.89999999999998</v>
      </c>
      <c r="C38" s="57">
        <v>300.89999999999998</v>
      </c>
      <c r="D38" s="57">
        <v>300.89999999999998</v>
      </c>
      <c r="E38" s="57">
        <v>300.89999999999998</v>
      </c>
      <c r="F38" s="57">
        <v>300.89999999999998</v>
      </c>
      <c r="G38" s="57">
        <v>300.89999999999998</v>
      </c>
      <c r="H38" s="57">
        <v>300.89999999999998</v>
      </c>
      <c r="I38" s="57">
        <v>300.89999999999998</v>
      </c>
      <c r="J38" s="57">
        <v>300.89999999999998</v>
      </c>
      <c r="K38" s="57">
        <v>300</v>
      </c>
      <c r="L38" s="57">
        <v>300</v>
      </c>
      <c r="M38" s="57">
        <v>300</v>
      </c>
      <c r="N38" s="57">
        <v>300</v>
      </c>
      <c r="O38" s="57">
        <v>300</v>
      </c>
      <c r="P38" s="57">
        <v>300</v>
      </c>
      <c r="Q38" s="57">
        <v>300</v>
      </c>
      <c r="R38" s="57">
        <v>300</v>
      </c>
      <c r="S38" s="57">
        <v>300</v>
      </c>
      <c r="T38" s="57">
        <v>300</v>
      </c>
      <c r="U38" s="57">
        <v>300</v>
      </c>
      <c r="V38" s="57">
        <v>300</v>
      </c>
      <c r="W38" s="57">
        <v>300</v>
      </c>
      <c r="X38" s="57">
        <v>300</v>
      </c>
      <c r="Y38" s="57">
        <v>300</v>
      </c>
      <c r="Z38" s="57">
        <v>300</v>
      </c>
      <c r="AA38" s="57">
        <v>285</v>
      </c>
      <c r="AB38" s="57">
        <v>285</v>
      </c>
      <c r="AC38" s="57">
        <v>285</v>
      </c>
      <c r="AD38" s="57">
        <v>285</v>
      </c>
      <c r="AE38" s="57">
        <v>285</v>
      </c>
      <c r="AF38" s="57">
        <v>285</v>
      </c>
      <c r="AG38" s="55">
        <v>85</v>
      </c>
      <c r="AH38" s="48">
        <f t="shared" si="2"/>
        <v>300.89999999999998</v>
      </c>
      <c r="AI38" s="49">
        <f t="shared" si="3"/>
        <v>285</v>
      </c>
      <c r="AK38" s="50"/>
    </row>
    <row r="39" spans="1:88" ht="15.75" thickBot="1" x14ac:dyDescent="0.3">
      <c r="A39" s="58" t="s">
        <v>47</v>
      </c>
      <c r="B39" s="59">
        <v>140</v>
      </c>
      <c r="C39" s="59">
        <v>140</v>
      </c>
      <c r="D39" s="59">
        <v>140</v>
      </c>
      <c r="E39" s="59">
        <v>140</v>
      </c>
      <c r="F39" s="59">
        <v>139</v>
      </c>
      <c r="G39" s="59">
        <f>62.5+75</f>
        <v>137.5</v>
      </c>
      <c r="H39" s="59">
        <f>57.1+75</f>
        <v>132.1</v>
      </c>
      <c r="I39" s="59">
        <f>59.5+62.9</f>
        <v>122.4</v>
      </c>
      <c r="J39" s="59">
        <f>47.4+72.2</f>
        <v>119.6</v>
      </c>
      <c r="K39" s="59">
        <f>47.7+74.3</f>
        <v>122</v>
      </c>
      <c r="L39" s="57">
        <v>128</v>
      </c>
      <c r="M39" s="57">
        <f>69.4+64.7</f>
        <v>134.10000000000002</v>
      </c>
      <c r="N39" s="57">
        <f>73+31</f>
        <v>104</v>
      </c>
      <c r="O39" s="57">
        <f>77.2+30.8</f>
        <v>108</v>
      </c>
      <c r="P39" s="57">
        <f>75.4+64.4</f>
        <v>139.80000000000001</v>
      </c>
      <c r="Q39" s="57">
        <f>74.9+64</f>
        <v>138.9</v>
      </c>
      <c r="R39" s="57">
        <f>63+75.4</f>
        <v>138.4</v>
      </c>
      <c r="S39" s="59">
        <f>75.1+51.2</f>
        <v>126.3</v>
      </c>
      <c r="T39" s="59">
        <f>69.1+56.8</f>
        <v>125.89999999999999</v>
      </c>
      <c r="U39" s="59">
        <f>73.3+64.6</f>
        <v>137.89999999999998</v>
      </c>
      <c r="V39" s="59">
        <f>61.3+67.3</f>
        <v>128.6</v>
      </c>
      <c r="W39" s="59">
        <f>60.7+67.6</f>
        <v>128.30000000000001</v>
      </c>
      <c r="X39" s="59">
        <f t="shared" ref="X39" si="4">60.7+67.6</f>
        <v>128.30000000000001</v>
      </c>
      <c r="Y39" s="59">
        <f>60+59.2</f>
        <v>119.2</v>
      </c>
      <c r="Z39" s="59">
        <f>59.7+66.3</f>
        <v>126</v>
      </c>
      <c r="AA39" s="59">
        <f>59.6</f>
        <v>59.6</v>
      </c>
      <c r="AB39" s="59">
        <f>74.2+58.7</f>
        <v>132.9</v>
      </c>
      <c r="AC39" s="59">
        <f>74.2+58.7</f>
        <v>132.9</v>
      </c>
      <c r="AD39" s="59">
        <f>73.2+58.9</f>
        <v>132.1</v>
      </c>
      <c r="AE39" s="59">
        <f>73.2+58.9</f>
        <v>132.1</v>
      </c>
      <c r="AF39" s="59">
        <f>73.2+58.9</f>
        <v>132.1</v>
      </c>
      <c r="AG39" s="55">
        <v>240</v>
      </c>
      <c r="AH39" s="48">
        <f t="shared" si="2"/>
        <v>140</v>
      </c>
      <c r="AI39" s="49">
        <f t="shared" si="3"/>
        <v>59.6</v>
      </c>
      <c r="AK39" s="50"/>
    </row>
    <row r="40" spans="1:88" ht="15.75" thickBot="1" x14ac:dyDescent="0.3">
      <c r="A40" s="60" t="s">
        <v>48</v>
      </c>
      <c r="B40" s="61">
        <f t="shared" ref="B40:AG40" si="5">SUM(B11:B38)</f>
        <v>679.59999999999991</v>
      </c>
      <c r="C40" s="61">
        <f t="shared" si="5"/>
        <v>679.59999999999991</v>
      </c>
      <c r="D40" s="61">
        <f t="shared" si="5"/>
        <v>684.3</v>
      </c>
      <c r="E40" s="61">
        <f t="shared" si="5"/>
        <v>684.3</v>
      </c>
      <c r="F40" s="61">
        <f t="shared" si="5"/>
        <v>684.3</v>
      </c>
      <c r="G40" s="61">
        <f t="shared" si="5"/>
        <v>684.3</v>
      </c>
      <c r="H40" s="61">
        <f t="shared" si="5"/>
        <v>690.3</v>
      </c>
      <c r="I40" s="61">
        <f t="shared" si="5"/>
        <v>715.3</v>
      </c>
      <c r="J40" s="61">
        <f t="shared" si="5"/>
        <v>756.3</v>
      </c>
      <c r="K40" s="61">
        <f t="shared" si="5"/>
        <v>794.5</v>
      </c>
      <c r="L40" s="61">
        <f t="shared" si="5"/>
        <v>812.8</v>
      </c>
      <c r="M40" s="61">
        <f t="shared" si="5"/>
        <v>805.8</v>
      </c>
      <c r="N40" s="61">
        <f t="shared" si="5"/>
        <v>728.2</v>
      </c>
      <c r="O40" s="61">
        <f t="shared" si="5"/>
        <v>706.3</v>
      </c>
      <c r="P40" s="61">
        <f t="shared" si="5"/>
        <v>725.8</v>
      </c>
      <c r="Q40" s="61">
        <f t="shared" si="5"/>
        <v>722.8</v>
      </c>
      <c r="R40" s="61">
        <f t="shared" si="5"/>
        <v>709.9</v>
      </c>
      <c r="S40" s="61">
        <f t="shared" si="5"/>
        <v>716.09999999999991</v>
      </c>
      <c r="T40" s="61">
        <f t="shared" si="5"/>
        <v>724.7</v>
      </c>
      <c r="U40" s="61">
        <f t="shared" si="5"/>
        <v>717.7</v>
      </c>
      <c r="V40" s="61">
        <f t="shared" si="5"/>
        <v>736.59999999999991</v>
      </c>
      <c r="W40" s="61">
        <f t="shared" si="5"/>
        <v>736.59999999999991</v>
      </c>
      <c r="X40" s="61">
        <f t="shared" si="5"/>
        <v>758.3</v>
      </c>
      <c r="Y40" s="61">
        <f t="shared" si="5"/>
        <v>744.7</v>
      </c>
      <c r="Z40" s="61">
        <f t="shared" si="5"/>
        <v>799.1</v>
      </c>
      <c r="AA40" s="61">
        <f t="shared" si="5"/>
        <v>741.1</v>
      </c>
      <c r="AB40" s="61">
        <f t="shared" si="5"/>
        <v>725.8</v>
      </c>
      <c r="AC40" s="61">
        <f t="shared" si="5"/>
        <v>725.8</v>
      </c>
      <c r="AD40" s="61">
        <f t="shared" si="5"/>
        <v>713.5</v>
      </c>
      <c r="AE40" s="61">
        <f t="shared" si="5"/>
        <v>695.7</v>
      </c>
      <c r="AF40" s="61">
        <f t="shared" si="5"/>
        <v>671.2</v>
      </c>
      <c r="AG40" s="62">
        <f t="shared" si="5"/>
        <v>707.78000000000009</v>
      </c>
      <c r="AH40" s="48">
        <f t="shared" si="2"/>
        <v>812.8</v>
      </c>
      <c r="AI40" s="49">
        <f t="shared" si="3"/>
        <v>671.2</v>
      </c>
      <c r="AK40" s="50"/>
    </row>
    <row r="41" spans="1:88" x14ac:dyDescent="0.25">
      <c r="A41" s="6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60</v>
      </c>
      <c r="W41" s="45">
        <v>120</v>
      </c>
      <c r="X41" s="45">
        <v>225</v>
      </c>
      <c r="Y41" s="45">
        <v>305</v>
      </c>
      <c r="Z41" s="45">
        <v>305</v>
      </c>
      <c r="AA41" s="45">
        <v>305</v>
      </c>
      <c r="AB41" s="45">
        <v>305</v>
      </c>
      <c r="AC41" s="45">
        <v>305</v>
      </c>
      <c r="AD41" s="45">
        <v>305</v>
      </c>
      <c r="AE41" s="45">
        <v>270</v>
      </c>
      <c r="AF41" s="45">
        <v>290</v>
      </c>
      <c r="AG41" s="52">
        <v>456</v>
      </c>
      <c r="AH41" s="48">
        <f t="shared" si="2"/>
        <v>305</v>
      </c>
      <c r="AI41" s="49">
        <f t="shared" si="3"/>
        <v>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22</v>
      </c>
      <c r="C43" s="67">
        <v>22</v>
      </c>
      <c r="D43" s="67">
        <v>22</v>
      </c>
      <c r="E43" s="67">
        <v>22</v>
      </c>
      <c r="F43" s="67">
        <v>22</v>
      </c>
      <c r="G43" s="67">
        <v>22</v>
      </c>
      <c r="H43" s="67">
        <v>22</v>
      </c>
      <c r="I43" s="67">
        <v>22</v>
      </c>
      <c r="J43" s="67">
        <v>22</v>
      </c>
      <c r="K43" s="67">
        <v>22</v>
      </c>
      <c r="L43" s="67">
        <v>22</v>
      </c>
      <c r="M43" s="67">
        <v>22</v>
      </c>
      <c r="N43" s="67">
        <v>22</v>
      </c>
      <c r="O43" s="67">
        <v>22</v>
      </c>
      <c r="P43" s="67">
        <v>22</v>
      </c>
      <c r="Q43" s="67">
        <v>22</v>
      </c>
      <c r="R43" s="67">
        <v>22.4</v>
      </c>
      <c r="S43" s="67">
        <v>22.4</v>
      </c>
      <c r="T43" s="67">
        <v>22.5</v>
      </c>
      <c r="U43" s="67">
        <v>22.5</v>
      </c>
      <c r="V43" s="67">
        <v>22.4</v>
      </c>
      <c r="W43" s="67">
        <v>22.4</v>
      </c>
      <c r="X43" s="67">
        <v>22.4</v>
      </c>
      <c r="Y43" s="67">
        <v>22.4</v>
      </c>
      <c r="Z43" s="67">
        <v>22.4</v>
      </c>
      <c r="AA43" s="67">
        <v>22.4</v>
      </c>
      <c r="AB43" s="67">
        <v>22.4</v>
      </c>
      <c r="AC43" s="67">
        <v>22.4</v>
      </c>
      <c r="AD43" s="67">
        <v>22.4</v>
      </c>
      <c r="AE43" s="67">
        <v>22.4</v>
      </c>
      <c r="AF43" s="67">
        <v>22.4</v>
      </c>
      <c r="AG43" s="68">
        <v>22.1</v>
      </c>
      <c r="AH43" s="48">
        <f t="shared" si="2"/>
        <v>22.5</v>
      </c>
      <c r="AI43" s="49">
        <f t="shared" si="3"/>
        <v>22</v>
      </c>
      <c r="AK43" s="50"/>
    </row>
    <row r="44" spans="1:88" ht="15.75" thickBot="1" x14ac:dyDescent="0.3">
      <c r="A44" s="69" t="s">
        <v>52</v>
      </c>
      <c r="B44" s="61">
        <f t="shared" ref="B44:AG44" si="6">SUM(B41:B43)</f>
        <v>82</v>
      </c>
      <c r="C44" s="61">
        <f t="shared" si="6"/>
        <v>82</v>
      </c>
      <c r="D44" s="61">
        <f t="shared" si="6"/>
        <v>82</v>
      </c>
      <c r="E44" s="61">
        <f t="shared" si="6"/>
        <v>82</v>
      </c>
      <c r="F44" s="61">
        <f t="shared" si="6"/>
        <v>82</v>
      </c>
      <c r="G44" s="61">
        <f t="shared" si="6"/>
        <v>82</v>
      </c>
      <c r="H44" s="61">
        <f t="shared" si="6"/>
        <v>82</v>
      </c>
      <c r="I44" s="61">
        <f t="shared" si="6"/>
        <v>82</v>
      </c>
      <c r="J44" s="61">
        <f t="shared" si="6"/>
        <v>82</v>
      </c>
      <c r="K44" s="61">
        <f t="shared" si="6"/>
        <v>82</v>
      </c>
      <c r="L44" s="61">
        <f t="shared" si="6"/>
        <v>82</v>
      </c>
      <c r="M44" s="61">
        <f t="shared" si="6"/>
        <v>82</v>
      </c>
      <c r="N44" s="61">
        <f t="shared" si="6"/>
        <v>82</v>
      </c>
      <c r="O44" s="61">
        <f t="shared" si="6"/>
        <v>82</v>
      </c>
      <c r="P44" s="61">
        <f t="shared" si="6"/>
        <v>82</v>
      </c>
      <c r="Q44" s="61">
        <f t="shared" si="6"/>
        <v>82</v>
      </c>
      <c r="R44" s="61">
        <f t="shared" si="6"/>
        <v>82.4</v>
      </c>
      <c r="S44" s="61">
        <f t="shared" si="6"/>
        <v>82.4</v>
      </c>
      <c r="T44" s="61">
        <f t="shared" si="6"/>
        <v>82.5</v>
      </c>
      <c r="U44" s="61">
        <f t="shared" si="6"/>
        <v>82.5</v>
      </c>
      <c r="V44" s="61">
        <f t="shared" si="6"/>
        <v>142.4</v>
      </c>
      <c r="W44" s="61">
        <f t="shared" si="6"/>
        <v>202.4</v>
      </c>
      <c r="X44" s="61">
        <f t="shared" si="6"/>
        <v>307.39999999999998</v>
      </c>
      <c r="Y44" s="61">
        <f t="shared" si="6"/>
        <v>387.4</v>
      </c>
      <c r="Z44" s="61">
        <f t="shared" si="6"/>
        <v>387.4</v>
      </c>
      <c r="AA44" s="61">
        <f t="shared" si="6"/>
        <v>387.4</v>
      </c>
      <c r="AB44" s="61">
        <f t="shared" si="6"/>
        <v>387.4</v>
      </c>
      <c r="AC44" s="61">
        <f t="shared" si="6"/>
        <v>387.4</v>
      </c>
      <c r="AD44" s="61">
        <f t="shared" si="6"/>
        <v>387.4</v>
      </c>
      <c r="AE44" s="61">
        <f t="shared" si="6"/>
        <v>352.4</v>
      </c>
      <c r="AF44" s="61">
        <f t="shared" si="6"/>
        <v>372.4</v>
      </c>
      <c r="AG44" s="62">
        <f t="shared" si="6"/>
        <v>538.1</v>
      </c>
      <c r="AH44" s="48">
        <f t="shared" si="2"/>
        <v>387.4</v>
      </c>
      <c r="AI44" s="49">
        <f t="shared" si="3"/>
        <v>82</v>
      </c>
      <c r="AK44" s="50"/>
    </row>
    <row r="45" spans="1:88" x14ac:dyDescent="0.25">
      <c r="A45" s="44" t="s">
        <v>53</v>
      </c>
      <c r="B45" s="45">
        <v>111</v>
      </c>
      <c r="C45" s="45">
        <v>112</v>
      </c>
      <c r="D45" s="45">
        <v>112</v>
      </c>
      <c r="E45" s="45">
        <v>100</v>
      </c>
      <c r="F45" s="45">
        <v>110</v>
      </c>
      <c r="G45" s="45">
        <v>130</v>
      </c>
      <c r="H45" s="45">
        <v>130.30000000000001</v>
      </c>
      <c r="I45" s="45">
        <v>143.30000000000001</v>
      </c>
      <c r="J45" s="45">
        <v>143.30000000000001</v>
      </c>
      <c r="K45" s="45">
        <v>143.30000000000001</v>
      </c>
      <c r="L45" s="45">
        <v>144</v>
      </c>
      <c r="M45" s="45">
        <v>144</v>
      </c>
      <c r="N45" s="45">
        <v>140</v>
      </c>
      <c r="O45" s="45">
        <v>140</v>
      </c>
      <c r="P45" s="45">
        <v>143.4</v>
      </c>
      <c r="Q45" s="45">
        <v>143.4</v>
      </c>
      <c r="R45" s="45">
        <v>143.4</v>
      </c>
      <c r="S45" s="45">
        <v>143.30000000000001</v>
      </c>
      <c r="T45" s="45">
        <v>143.4</v>
      </c>
      <c r="U45" s="45">
        <v>143.6</v>
      </c>
      <c r="V45" s="45">
        <v>143.30000000000001</v>
      </c>
      <c r="W45" s="45">
        <v>143.30000000000001</v>
      </c>
      <c r="X45" s="45">
        <v>143.30000000000001</v>
      </c>
      <c r="Y45" s="45">
        <v>143.5</v>
      </c>
      <c r="Z45" s="45">
        <v>143.4</v>
      </c>
      <c r="AA45" s="45">
        <v>143.4</v>
      </c>
      <c r="AB45" s="45">
        <v>143.5</v>
      </c>
      <c r="AC45" s="45">
        <v>143.5</v>
      </c>
      <c r="AD45" s="45">
        <v>143.5</v>
      </c>
      <c r="AE45" s="45">
        <v>132</v>
      </c>
      <c r="AF45" s="45">
        <v>102</v>
      </c>
      <c r="AG45" s="52">
        <v>144</v>
      </c>
      <c r="AH45" s="48">
        <f t="shared" si="2"/>
        <v>144</v>
      </c>
      <c r="AI45" s="49">
        <f t="shared" si="3"/>
        <v>100</v>
      </c>
      <c r="AK45" s="50"/>
    </row>
    <row r="46" spans="1:88" x14ac:dyDescent="0.25">
      <c r="A46" s="54" t="s">
        <v>54</v>
      </c>
      <c r="B46" s="65">
        <v>52</v>
      </c>
      <c r="C46" s="65">
        <v>51.8</v>
      </c>
      <c r="D46" s="65">
        <v>51.5</v>
      </c>
      <c r="E46" s="65">
        <v>51.5</v>
      </c>
      <c r="F46" s="65">
        <v>51.5</v>
      </c>
      <c r="G46" s="65">
        <v>51.5</v>
      </c>
      <c r="H46" s="65">
        <v>72</v>
      </c>
      <c r="I46" s="65">
        <v>72</v>
      </c>
      <c r="J46" s="65">
        <v>72</v>
      </c>
      <c r="K46" s="65">
        <v>72</v>
      </c>
      <c r="L46" s="65">
        <v>71.900000000000006</v>
      </c>
      <c r="M46" s="65">
        <v>71.900000000000006</v>
      </c>
      <c r="N46" s="65">
        <v>71.900000000000006</v>
      </c>
      <c r="O46" s="65">
        <v>71.900000000000006</v>
      </c>
      <c r="P46" s="65">
        <v>71.900000000000006</v>
      </c>
      <c r="Q46" s="65">
        <v>71.900000000000006</v>
      </c>
      <c r="R46" s="65">
        <v>71.900000000000006</v>
      </c>
      <c r="S46" s="65">
        <v>71.400000000000006</v>
      </c>
      <c r="T46" s="65">
        <v>72.099999999999994</v>
      </c>
      <c r="U46" s="65">
        <v>73.099999999999994</v>
      </c>
      <c r="V46" s="65">
        <v>72</v>
      </c>
      <c r="W46" s="65">
        <v>72</v>
      </c>
      <c r="X46" s="65">
        <v>72</v>
      </c>
      <c r="Y46" s="65">
        <v>71.3</v>
      </c>
      <c r="Z46" s="65">
        <v>72.5</v>
      </c>
      <c r="AA46" s="65">
        <v>72.5</v>
      </c>
      <c r="AB46" s="65">
        <v>72.400000000000006</v>
      </c>
      <c r="AC46" s="65">
        <v>72.400000000000006</v>
      </c>
      <c r="AD46" s="65">
        <v>72.400000000000006</v>
      </c>
      <c r="AE46" s="65">
        <v>60</v>
      </c>
      <c r="AF46" s="65">
        <v>60</v>
      </c>
      <c r="AG46" s="55">
        <v>70</v>
      </c>
      <c r="AH46" s="48">
        <f t="shared" si="2"/>
        <v>73.099999999999994</v>
      </c>
      <c r="AI46" s="49">
        <f t="shared" si="3"/>
        <v>51.5</v>
      </c>
      <c r="AK46" s="50"/>
    </row>
    <row r="47" spans="1:88" x14ac:dyDescent="0.25">
      <c r="A47" s="54" t="s">
        <v>55</v>
      </c>
      <c r="B47" s="65">
        <v>46.6</v>
      </c>
      <c r="C47" s="65">
        <v>40.5</v>
      </c>
      <c r="D47" s="65">
        <v>40</v>
      </c>
      <c r="E47" s="65">
        <v>40</v>
      </c>
      <c r="F47" s="65">
        <v>40</v>
      </c>
      <c r="G47" s="65">
        <v>40</v>
      </c>
      <c r="H47" s="65">
        <v>70</v>
      </c>
      <c r="I47" s="65">
        <v>70</v>
      </c>
      <c r="J47" s="65">
        <v>70</v>
      </c>
      <c r="K47" s="65">
        <v>70</v>
      </c>
      <c r="L47" s="65">
        <v>69.8</v>
      </c>
      <c r="M47" s="65">
        <v>69.8</v>
      </c>
      <c r="N47" s="65">
        <v>69.8</v>
      </c>
      <c r="O47" s="65">
        <v>69.8</v>
      </c>
      <c r="P47" s="65">
        <v>69.8</v>
      </c>
      <c r="Q47" s="65">
        <v>69.8</v>
      </c>
      <c r="R47" s="65">
        <v>63.4</v>
      </c>
      <c r="S47" s="65">
        <v>69.3</v>
      </c>
      <c r="T47" s="65">
        <v>70.599999999999994</v>
      </c>
      <c r="U47" s="65">
        <v>70.400000000000006</v>
      </c>
      <c r="V47" s="65">
        <v>60.6</v>
      </c>
      <c r="W47" s="65">
        <v>71.2</v>
      </c>
      <c r="X47" s="65">
        <v>71.2</v>
      </c>
      <c r="Y47" s="65">
        <v>71.099999999999994</v>
      </c>
      <c r="Z47" s="65">
        <v>71</v>
      </c>
      <c r="AA47" s="65">
        <v>71</v>
      </c>
      <c r="AB47" s="65">
        <v>70.2</v>
      </c>
      <c r="AC47" s="65">
        <v>70.2</v>
      </c>
      <c r="AD47" s="65">
        <v>70.2</v>
      </c>
      <c r="AE47" s="65">
        <v>59</v>
      </c>
      <c r="AF47" s="65">
        <v>63</v>
      </c>
      <c r="AG47" s="55">
        <v>69</v>
      </c>
      <c r="AH47" s="48">
        <f t="shared" si="2"/>
        <v>71.2</v>
      </c>
      <c r="AI47" s="49">
        <f t="shared" si="3"/>
        <v>40</v>
      </c>
      <c r="AK47" s="50"/>
    </row>
    <row r="48" spans="1:88" x14ac:dyDescent="0.25">
      <c r="A48" s="54" t="s">
        <v>56</v>
      </c>
      <c r="B48" s="57">
        <v>30</v>
      </c>
      <c r="C48" s="57">
        <v>30</v>
      </c>
      <c r="D48" s="57">
        <v>30</v>
      </c>
      <c r="E48" s="57">
        <v>30</v>
      </c>
      <c r="F48" s="57">
        <v>30</v>
      </c>
      <c r="G48" s="57">
        <v>30</v>
      </c>
      <c r="H48" s="57">
        <v>60</v>
      </c>
      <c r="I48" s="57">
        <v>60</v>
      </c>
      <c r="J48" s="57">
        <v>60</v>
      </c>
      <c r="K48" s="57">
        <v>60</v>
      </c>
      <c r="L48" s="57">
        <v>61.5</v>
      </c>
      <c r="M48" s="57">
        <v>61.5</v>
      </c>
      <c r="N48" s="57">
        <v>61.5</v>
      </c>
      <c r="O48" s="57">
        <v>61.5</v>
      </c>
      <c r="P48" s="57">
        <v>51.4</v>
      </c>
      <c r="Q48" s="57">
        <v>51.4</v>
      </c>
      <c r="R48" s="57">
        <v>60.9</v>
      </c>
      <c r="S48" s="45">
        <v>52.4</v>
      </c>
      <c r="T48" s="45">
        <v>60.4</v>
      </c>
      <c r="U48" s="45">
        <v>60.7</v>
      </c>
      <c r="V48" s="45">
        <v>60.7</v>
      </c>
      <c r="W48" s="45">
        <v>60.7</v>
      </c>
      <c r="X48" s="45">
        <v>60.7</v>
      </c>
      <c r="Y48" s="45">
        <v>60.9</v>
      </c>
      <c r="Z48" s="65">
        <v>60</v>
      </c>
      <c r="AA48" s="65">
        <v>60.4</v>
      </c>
      <c r="AB48" s="57">
        <v>60.4</v>
      </c>
      <c r="AC48" s="57">
        <v>60.4</v>
      </c>
      <c r="AD48" s="57">
        <v>60</v>
      </c>
      <c r="AE48" s="57">
        <v>60</v>
      </c>
      <c r="AF48" s="57">
        <v>30</v>
      </c>
      <c r="AG48" s="55">
        <v>60</v>
      </c>
      <c r="AH48" s="48">
        <f t="shared" si="2"/>
        <v>61.5</v>
      </c>
      <c r="AI48" s="49">
        <f t="shared" si="3"/>
        <v>30</v>
      </c>
      <c r="AK48" s="50"/>
    </row>
    <row r="49" spans="1:41" x14ac:dyDescent="0.25">
      <c r="A49" s="54" t="s">
        <v>57</v>
      </c>
      <c r="B49" s="57">
        <v>15</v>
      </c>
      <c r="C49" s="57">
        <v>15</v>
      </c>
      <c r="D49" s="57">
        <v>15</v>
      </c>
      <c r="E49" s="57">
        <v>15</v>
      </c>
      <c r="F49" s="57">
        <v>15</v>
      </c>
      <c r="G49" s="57">
        <v>15</v>
      </c>
      <c r="H49" s="57">
        <v>15</v>
      </c>
      <c r="I49" s="57">
        <v>30</v>
      </c>
      <c r="J49" s="57">
        <v>30</v>
      </c>
      <c r="K49" s="57">
        <v>30</v>
      </c>
      <c r="L49" s="57">
        <v>30</v>
      </c>
      <c r="M49" s="57">
        <v>30</v>
      </c>
      <c r="N49" s="57">
        <v>30</v>
      </c>
      <c r="O49" s="57">
        <v>30</v>
      </c>
      <c r="P49" s="57">
        <v>15</v>
      </c>
      <c r="Q49" s="57">
        <v>15</v>
      </c>
      <c r="R49" s="57">
        <v>25.3</v>
      </c>
      <c r="S49" s="45">
        <v>24.9</v>
      </c>
      <c r="T49" s="45">
        <v>15.2</v>
      </c>
      <c r="U49" s="45">
        <v>15.2</v>
      </c>
      <c r="V49" s="45">
        <v>26</v>
      </c>
      <c r="W49" s="45">
        <v>26</v>
      </c>
      <c r="X49" s="45">
        <v>26</v>
      </c>
      <c r="Y49" s="45">
        <v>15</v>
      </c>
      <c r="Z49" s="65">
        <v>15</v>
      </c>
      <c r="AA49" s="65">
        <v>15</v>
      </c>
      <c r="AB49" s="57">
        <v>15</v>
      </c>
      <c r="AC49" s="57">
        <v>15</v>
      </c>
      <c r="AD49" s="57">
        <v>15</v>
      </c>
      <c r="AE49" s="57">
        <v>15</v>
      </c>
      <c r="AF49" s="57">
        <v>15</v>
      </c>
      <c r="AG49" s="55">
        <v>30</v>
      </c>
      <c r="AH49" s="48">
        <f t="shared" si="2"/>
        <v>30</v>
      </c>
      <c r="AI49" s="49">
        <f t="shared" si="3"/>
        <v>15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8</v>
      </c>
      <c r="N50" s="65">
        <v>8</v>
      </c>
      <c r="O50" s="65">
        <v>8</v>
      </c>
      <c r="P50" s="65">
        <v>8</v>
      </c>
      <c r="Q50" s="65">
        <v>8</v>
      </c>
      <c r="R50" s="65">
        <v>8</v>
      </c>
      <c r="S50" s="65">
        <v>8</v>
      </c>
      <c r="T50" s="45">
        <v>8</v>
      </c>
      <c r="U50" s="45">
        <v>8</v>
      </c>
      <c r="V50" s="45">
        <v>8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  <c r="AG50" s="55">
        <v>25</v>
      </c>
      <c r="AH50" s="48">
        <f t="shared" si="2"/>
        <v>8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14.3</v>
      </c>
      <c r="C51" s="65">
        <v>14.3</v>
      </c>
      <c r="D51" s="65">
        <v>14.3</v>
      </c>
      <c r="E51" s="65">
        <v>14.3</v>
      </c>
      <c r="F51" s="65">
        <v>14.3</v>
      </c>
      <c r="G51" s="65">
        <v>14.3</v>
      </c>
      <c r="H51" s="65">
        <v>14.3</v>
      </c>
      <c r="I51" s="65">
        <v>14.3</v>
      </c>
      <c r="J51" s="65">
        <v>14.3</v>
      </c>
      <c r="K51" s="65">
        <v>14.3</v>
      </c>
      <c r="L51" s="65">
        <v>14.4</v>
      </c>
      <c r="M51" s="65">
        <v>14.4</v>
      </c>
      <c r="N51" s="65">
        <v>14.4</v>
      </c>
      <c r="O51" s="65">
        <v>14.4</v>
      </c>
      <c r="P51" s="65">
        <v>14.4</v>
      </c>
      <c r="Q51" s="65">
        <v>14.4</v>
      </c>
      <c r="R51" s="65">
        <v>14.3</v>
      </c>
      <c r="S51" s="65">
        <v>14.3</v>
      </c>
      <c r="T51" s="65">
        <v>14.3</v>
      </c>
      <c r="U51" s="65">
        <v>14.3</v>
      </c>
      <c r="V51" s="65">
        <v>14.3</v>
      </c>
      <c r="W51" s="65">
        <v>14.3</v>
      </c>
      <c r="X51" s="65">
        <v>14.3</v>
      </c>
      <c r="Y51" s="65">
        <v>14.3</v>
      </c>
      <c r="Z51" s="65">
        <v>14.3</v>
      </c>
      <c r="AA51" s="65">
        <v>14.3</v>
      </c>
      <c r="AB51" s="65">
        <v>14.1</v>
      </c>
      <c r="AC51" s="65">
        <v>14.1</v>
      </c>
      <c r="AD51" s="65">
        <v>14.1</v>
      </c>
      <c r="AE51" s="65">
        <v>14.1</v>
      </c>
      <c r="AF51" s="65">
        <v>14.1</v>
      </c>
      <c r="AG51" s="55">
        <v>24</v>
      </c>
      <c r="AH51" s="48">
        <f t="shared" si="2"/>
        <v>14.4</v>
      </c>
      <c r="AI51" s="49">
        <f t="shared" si="3"/>
        <v>14.1</v>
      </c>
      <c r="AK51" s="50"/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11</v>
      </c>
      <c r="C53" s="65">
        <v>11</v>
      </c>
      <c r="D53" s="65">
        <v>11</v>
      </c>
      <c r="E53" s="65">
        <v>11</v>
      </c>
      <c r="F53" s="65">
        <v>11</v>
      </c>
      <c r="G53" s="65">
        <v>11</v>
      </c>
      <c r="H53" s="65">
        <v>11</v>
      </c>
      <c r="I53" s="65">
        <v>11</v>
      </c>
      <c r="J53" s="65">
        <v>11</v>
      </c>
      <c r="K53" s="65">
        <v>11</v>
      </c>
      <c r="L53" s="65">
        <v>11</v>
      </c>
      <c r="M53" s="65">
        <v>11</v>
      </c>
      <c r="N53" s="65">
        <v>11</v>
      </c>
      <c r="O53" s="65">
        <v>11</v>
      </c>
      <c r="P53" s="65">
        <v>11</v>
      </c>
      <c r="Q53" s="65">
        <v>11</v>
      </c>
      <c r="R53" s="65">
        <v>12</v>
      </c>
      <c r="S53" s="65">
        <v>12</v>
      </c>
      <c r="T53" s="65">
        <v>12</v>
      </c>
      <c r="U53" s="65">
        <v>12</v>
      </c>
      <c r="V53" s="65">
        <v>12</v>
      </c>
      <c r="W53" s="65">
        <v>12</v>
      </c>
      <c r="X53" s="65">
        <v>12</v>
      </c>
      <c r="Y53" s="65">
        <v>12</v>
      </c>
      <c r="Z53" s="65">
        <v>12</v>
      </c>
      <c r="AA53" s="65">
        <v>12</v>
      </c>
      <c r="AB53" s="65">
        <v>11.4</v>
      </c>
      <c r="AC53" s="65">
        <v>10.4</v>
      </c>
      <c r="AD53" s="65">
        <v>10.4</v>
      </c>
      <c r="AE53" s="65">
        <v>10.4</v>
      </c>
      <c r="AF53" s="65">
        <v>10.4</v>
      </c>
      <c r="AG53" s="55">
        <v>14.1</v>
      </c>
      <c r="AH53" s="48">
        <f t="shared" si="2"/>
        <v>12</v>
      </c>
      <c r="AI53" s="49">
        <f t="shared" si="3"/>
        <v>10.4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10</v>
      </c>
      <c r="C54" s="65">
        <v>10</v>
      </c>
      <c r="D54" s="65">
        <v>10</v>
      </c>
      <c r="E54" s="65">
        <v>7</v>
      </c>
      <c r="F54" s="65">
        <v>7</v>
      </c>
      <c r="G54" s="65">
        <v>7</v>
      </c>
      <c r="H54" s="65">
        <v>7</v>
      </c>
      <c r="I54" s="65">
        <v>7</v>
      </c>
      <c r="J54" s="65">
        <v>7</v>
      </c>
      <c r="K54" s="65">
        <v>7</v>
      </c>
      <c r="L54" s="65">
        <v>7</v>
      </c>
      <c r="M54" s="65">
        <v>7</v>
      </c>
      <c r="N54" s="65">
        <v>7</v>
      </c>
      <c r="O54" s="65">
        <v>14</v>
      </c>
      <c r="P54" s="65">
        <v>14</v>
      </c>
      <c r="Q54" s="65">
        <v>14</v>
      </c>
      <c r="R54" s="65">
        <v>12.3</v>
      </c>
      <c r="S54" s="65">
        <v>12.3</v>
      </c>
      <c r="T54" s="65">
        <v>12.3</v>
      </c>
      <c r="U54" s="65">
        <v>12.3</v>
      </c>
      <c r="V54" s="65">
        <v>0</v>
      </c>
      <c r="W54" s="65">
        <v>14.3</v>
      </c>
      <c r="X54" s="65">
        <v>14.3</v>
      </c>
      <c r="Y54" s="65">
        <v>14.3</v>
      </c>
      <c r="Z54" s="65">
        <v>14.3</v>
      </c>
      <c r="AA54" s="65">
        <v>14.3</v>
      </c>
      <c r="AB54" s="65">
        <v>13.9</v>
      </c>
      <c r="AC54" s="65">
        <v>13.9</v>
      </c>
      <c r="AD54" s="65">
        <v>13.9</v>
      </c>
      <c r="AE54" s="65">
        <v>13.9</v>
      </c>
      <c r="AF54" s="65">
        <v>13.9</v>
      </c>
      <c r="AG54" s="55">
        <v>14</v>
      </c>
      <c r="AH54" s="48">
        <f t="shared" si="2"/>
        <v>14.3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9</v>
      </c>
      <c r="C55" s="65">
        <v>9</v>
      </c>
      <c r="D55" s="65">
        <v>9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9</v>
      </c>
      <c r="S55" s="65">
        <v>9</v>
      </c>
      <c r="T55" s="65">
        <v>9</v>
      </c>
      <c r="U55" s="65">
        <v>9</v>
      </c>
      <c r="V55" s="65">
        <v>9</v>
      </c>
      <c r="W55" s="65">
        <v>9</v>
      </c>
      <c r="X55" s="65">
        <v>9</v>
      </c>
      <c r="Y55" s="65">
        <v>9</v>
      </c>
      <c r="Z55" s="65">
        <v>9</v>
      </c>
      <c r="AA55" s="65">
        <v>9</v>
      </c>
      <c r="AB55" s="65">
        <v>9</v>
      </c>
      <c r="AC55" s="65">
        <v>6.6</v>
      </c>
      <c r="AD55" s="65">
        <v>6.6</v>
      </c>
      <c r="AE55" s="65">
        <v>6.6</v>
      </c>
      <c r="AF55" s="65">
        <v>6.6</v>
      </c>
      <c r="AG55" s="55">
        <v>10.050000000000001</v>
      </c>
      <c r="AH55" s="48">
        <f t="shared" si="2"/>
        <v>9</v>
      </c>
      <c r="AI55" s="49">
        <f t="shared" si="3"/>
        <v>6.6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:AG58" si="7">SUM(B45:B57)</f>
        <v>308.64</v>
      </c>
      <c r="C58" s="61">
        <f t="shared" si="7"/>
        <v>303.34000000000003</v>
      </c>
      <c r="D58" s="61">
        <f t="shared" si="7"/>
        <v>302.54000000000002</v>
      </c>
      <c r="E58" s="61">
        <f t="shared" si="7"/>
        <v>287.54000000000002</v>
      </c>
      <c r="F58" s="61">
        <f t="shared" si="7"/>
        <v>297.54000000000002</v>
      </c>
      <c r="G58" s="61">
        <f t="shared" si="7"/>
        <v>317.54000000000002</v>
      </c>
      <c r="H58" s="61">
        <f t="shared" si="7"/>
        <v>398.34000000000003</v>
      </c>
      <c r="I58" s="61">
        <f t="shared" si="7"/>
        <v>426.34000000000003</v>
      </c>
      <c r="J58" s="61">
        <f t="shared" si="7"/>
        <v>426.34000000000003</v>
      </c>
      <c r="K58" s="61">
        <f t="shared" si="7"/>
        <v>426.34000000000003</v>
      </c>
      <c r="L58" s="61">
        <f t="shared" si="7"/>
        <v>428.34</v>
      </c>
      <c r="M58" s="61">
        <f t="shared" si="7"/>
        <v>436.34</v>
      </c>
      <c r="N58" s="61">
        <f t="shared" si="7"/>
        <v>432.34</v>
      </c>
      <c r="O58" s="61">
        <f t="shared" si="7"/>
        <v>439.34</v>
      </c>
      <c r="P58" s="61">
        <f t="shared" si="7"/>
        <v>417.64</v>
      </c>
      <c r="Q58" s="61">
        <f t="shared" si="7"/>
        <v>417.64</v>
      </c>
      <c r="R58" s="61">
        <f t="shared" si="7"/>
        <v>430.24</v>
      </c>
      <c r="S58" s="61">
        <f t="shared" si="7"/>
        <v>426.64</v>
      </c>
      <c r="T58" s="61">
        <f t="shared" si="7"/>
        <v>427.04</v>
      </c>
      <c r="U58" s="61">
        <f t="shared" si="7"/>
        <v>428.34000000000003</v>
      </c>
      <c r="V58" s="61">
        <f t="shared" si="7"/>
        <v>415.64000000000004</v>
      </c>
      <c r="W58" s="61">
        <f t="shared" si="7"/>
        <v>432.54</v>
      </c>
      <c r="X58" s="61">
        <f t="shared" si="7"/>
        <v>432.54</v>
      </c>
      <c r="Y58" s="61">
        <f t="shared" si="7"/>
        <v>421.14</v>
      </c>
      <c r="Z58" s="61">
        <f t="shared" si="7"/>
        <v>421.24</v>
      </c>
      <c r="AA58" s="61">
        <f t="shared" si="7"/>
        <v>421.64</v>
      </c>
      <c r="AB58" s="61">
        <f t="shared" si="7"/>
        <v>419.64</v>
      </c>
      <c r="AC58" s="61">
        <f t="shared" si="7"/>
        <v>416.24</v>
      </c>
      <c r="AD58" s="61">
        <f t="shared" si="7"/>
        <v>415.84000000000003</v>
      </c>
      <c r="AE58" s="61">
        <f t="shared" si="7"/>
        <v>380.74</v>
      </c>
      <c r="AF58" s="61">
        <f t="shared" si="7"/>
        <v>324.74</v>
      </c>
      <c r="AG58" s="62">
        <f t="shared" si="7"/>
        <v>489.91</v>
      </c>
      <c r="AH58" s="48">
        <f t="shared" si="2"/>
        <v>439.34</v>
      </c>
      <c r="AI58" s="49">
        <f t="shared" si="3"/>
        <v>287.54000000000002</v>
      </c>
      <c r="AK58" s="50"/>
    </row>
    <row r="59" spans="1:41" x14ac:dyDescent="0.25">
      <c r="A59" s="44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AG62" si="8">SUM(B59:B61)</f>
        <v>0</v>
      </c>
      <c r="C62" s="61">
        <f t="shared" si="8"/>
        <v>0</v>
      </c>
      <c r="D62" s="61">
        <f t="shared" si="8"/>
        <v>0</v>
      </c>
      <c r="E62" s="61">
        <f t="shared" si="8"/>
        <v>0</v>
      </c>
      <c r="F62" s="61">
        <f t="shared" si="8"/>
        <v>0</v>
      </c>
      <c r="G62" s="61">
        <f t="shared" si="8"/>
        <v>0</v>
      </c>
      <c r="H62" s="61">
        <f t="shared" si="8"/>
        <v>0</v>
      </c>
      <c r="I62" s="61">
        <f t="shared" si="8"/>
        <v>0</v>
      </c>
      <c r="J62" s="61">
        <f t="shared" si="8"/>
        <v>0</v>
      </c>
      <c r="K62" s="61">
        <f t="shared" si="8"/>
        <v>0</v>
      </c>
      <c r="L62" s="61">
        <f t="shared" si="8"/>
        <v>0</v>
      </c>
      <c r="M62" s="61">
        <f t="shared" si="8"/>
        <v>0</v>
      </c>
      <c r="N62" s="61">
        <f t="shared" si="8"/>
        <v>0</v>
      </c>
      <c r="O62" s="61">
        <f t="shared" si="8"/>
        <v>0</v>
      </c>
      <c r="P62" s="61">
        <f t="shared" si="8"/>
        <v>0</v>
      </c>
      <c r="Q62" s="61">
        <f t="shared" si="8"/>
        <v>0</v>
      </c>
      <c r="R62" s="61">
        <f t="shared" si="8"/>
        <v>0</v>
      </c>
      <c r="S62" s="61">
        <f t="shared" si="8"/>
        <v>0</v>
      </c>
      <c r="T62" s="61">
        <f t="shared" si="8"/>
        <v>0</v>
      </c>
      <c r="U62" s="61">
        <f t="shared" si="8"/>
        <v>0</v>
      </c>
      <c r="V62" s="61">
        <f t="shared" si="8"/>
        <v>0</v>
      </c>
      <c r="W62" s="61">
        <f t="shared" si="8"/>
        <v>0</v>
      </c>
      <c r="X62" s="61">
        <f t="shared" si="8"/>
        <v>0</v>
      </c>
      <c r="Y62" s="61">
        <f t="shared" si="8"/>
        <v>0</v>
      </c>
      <c r="Z62" s="61">
        <f t="shared" si="8"/>
        <v>0</v>
      </c>
      <c r="AA62" s="61">
        <f t="shared" si="8"/>
        <v>0</v>
      </c>
      <c r="AB62" s="61">
        <f t="shared" si="8"/>
        <v>0</v>
      </c>
      <c r="AC62" s="61">
        <f t="shared" si="8"/>
        <v>0</v>
      </c>
      <c r="AD62" s="61">
        <f t="shared" si="8"/>
        <v>0</v>
      </c>
      <c r="AE62" s="61">
        <f t="shared" si="8"/>
        <v>0</v>
      </c>
      <c r="AF62" s="61">
        <f t="shared" si="8"/>
        <v>0</v>
      </c>
      <c r="AG62" s="62">
        <f t="shared" si="8"/>
        <v>106</v>
      </c>
      <c r="AH62" s="48">
        <f t="shared" si="2"/>
        <v>0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-105</v>
      </c>
      <c r="C65" s="65">
        <v>-141</v>
      </c>
      <c r="D65" s="65">
        <v>-121</v>
      </c>
      <c r="E65" s="65">
        <v>-110</v>
      </c>
      <c r="F65" s="65">
        <v>-121</v>
      </c>
      <c r="G65" s="65">
        <v>-116</v>
      </c>
      <c r="H65" s="65">
        <v>-100</v>
      </c>
      <c r="I65" s="65">
        <v>-100</v>
      </c>
      <c r="J65" s="65">
        <v>-110</v>
      </c>
      <c r="K65" s="65">
        <v>-78</v>
      </c>
      <c r="L65" s="65">
        <v>-69.5</v>
      </c>
      <c r="M65" s="65">
        <v>-49</v>
      </c>
      <c r="N65" s="65">
        <v>-39</v>
      </c>
      <c r="O65" s="65">
        <v>-70.5</v>
      </c>
      <c r="P65" s="65">
        <v>-115.4</v>
      </c>
      <c r="Q65" s="65">
        <v>-131</v>
      </c>
      <c r="R65" s="65">
        <v>-126.3</v>
      </c>
      <c r="S65" s="65">
        <v>-123.3</v>
      </c>
      <c r="T65" s="65">
        <v>-126</v>
      </c>
      <c r="U65" s="65">
        <v>-117</v>
      </c>
      <c r="V65" s="65">
        <v>-135</v>
      </c>
      <c r="W65" s="65">
        <v>-123</v>
      </c>
      <c r="X65" s="65">
        <v>-160</v>
      </c>
      <c r="Y65" s="65">
        <v>-200</v>
      </c>
      <c r="Z65" s="65">
        <v>-305</v>
      </c>
      <c r="AA65" s="65">
        <v>-330</v>
      </c>
      <c r="AB65" s="65">
        <v>-350</v>
      </c>
      <c r="AC65" s="65">
        <v>-401</v>
      </c>
      <c r="AD65" s="65">
        <v>-432</v>
      </c>
      <c r="AE65" s="65">
        <v>-434</v>
      </c>
      <c r="AF65" s="65">
        <v>-383</v>
      </c>
      <c r="AG65" s="75"/>
      <c r="AH65" s="48">
        <f t="shared" si="2"/>
        <v>-39</v>
      </c>
      <c r="AI65" s="49">
        <f t="shared" si="3"/>
        <v>-434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v>0</v>
      </c>
      <c r="O68" s="45">
        <v>0</v>
      </c>
      <c r="P68" s="45">
        <v>0</v>
      </c>
      <c r="Q68" s="45">
        <v>0</v>
      </c>
      <c r="R68" s="45">
        <v>0</v>
      </c>
      <c r="S68" s="45">
        <v>0</v>
      </c>
      <c r="T68" s="45">
        <v>0</v>
      </c>
      <c r="U68" s="45">
        <v>0</v>
      </c>
      <c r="V68" s="45">
        <v>0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v>0</v>
      </c>
      <c r="Q70" s="45">
        <v>0</v>
      </c>
      <c r="R70" s="45">
        <v>0</v>
      </c>
      <c r="S70" s="45">
        <v>0</v>
      </c>
      <c r="T70" s="45">
        <v>0</v>
      </c>
      <c r="U70" s="45">
        <v>0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45">
        <v>0</v>
      </c>
      <c r="C72" s="45">
        <v>0</v>
      </c>
      <c r="D72" s="45">
        <v>0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v>0</v>
      </c>
      <c r="O72" s="45">
        <v>0</v>
      </c>
      <c r="P72" s="45">
        <v>0</v>
      </c>
      <c r="Q72" s="45">
        <v>0</v>
      </c>
      <c r="R72" s="45">
        <v>0</v>
      </c>
      <c r="S72" s="45">
        <v>0</v>
      </c>
      <c r="T72" s="45">
        <v>0</v>
      </c>
      <c r="U72" s="45">
        <v>0</v>
      </c>
      <c r="V72" s="45">
        <v>0</v>
      </c>
      <c r="W72" s="45">
        <v>0</v>
      </c>
      <c r="X72" s="45">
        <v>0</v>
      </c>
      <c r="Y72" s="45">
        <v>0</v>
      </c>
      <c r="Z72" s="45">
        <v>0</v>
      </c>
      <c r="AA72" s="45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45">
        <v>0</v>
      </c>
      <c r="C73" s="45">
        <v>0</v>
      </c>
      <c r="D73" s="45">
        <v>0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v>0</v>
      </c>
      <c r="O73" s="45">
        <v>0</v>
      </c>
      <c r="P73" s="45">
        <v>0</v>
      </c>
      <c r="Q73" s="45">
        <v>0</v>
      </c>
      <c r="R73" s="45">
        <v>0</v>
      </c>
      <c r="S73" s="45">
        <v>0</v>
      </c>
      <c r="T73" s="45">
        <v>0</v>
      </c>
      <c r="U73" s="45">
        <v>0</v>
      </c>
      <c r="V73" s="45">
        <v>0</v>
      </c>
      <c r="W73" s="45">
        <v>0</v>
      </c>
      <c r="X73" s="45">
        <v>0</v>
      </c>
      <c r="Y73" s="45">
        <v>0</v>
      </c>
      <c r="Z73" s="45">
        <v>0</v>
      </c>
      <c r="AA73" s="45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:AF74" si="9">SUMIF(B63:B73,"&gt;0")</f>
        <v>0</v>
      </c>
      <c r="C74" s="61">
        <f t="shared" si="9"/>
        <v>0</v>
      </c>
      <c r="D74" s="61">
        <f t="shared" si="9"/>
        <v>0</v>
      </c>
      <c r="E74" s="61">
        <f t="shared" si="9"/>
        <v>0</v>
      </c>
      <c r="F74" s="61">
        <f t="shared" si="9"/>
        <v>0</v>
      </c>
      <c r="G74" s="61">
        <f t="shared" si="9"/>
        <v>0</v>
      </c>
      <c r="H74" s="61">
        <f t="shared" si="9"/>
        <v>0</v>
      </c>
      <c r="I74" s="61">
        <f t="shared" si="9"/>
        <v>0</v>
      </c>
      <c r="J74" s="61">
        <f t="shared" si="9"/>
        <v>0</v>
      </c>
      <c r="K74" s="61">
        <f t="shared" si="9"/>
        <v>0</v>
      </c>
      <c r="L74" s="61">
        <f t="shared" si="9"/>
        <v>0</v>
      </c>
      <c r="M74" s="61">
        <f t="shared" si="9"/>
        <v>0</v>
      </c>
      <c r="N74" s="61">
        <f t="shared" si="9"/>
        <v>0</v>
      </c>
      <c r="O74" s="61">
        <f t="shared" si="9"/>
        <v>0</v>
      </c>
      <c r="P74" s="61">
        <f t="shared" si="9"/>
        <v>0</v>
      </c>
      <c r="Q74" s="61">
        <f t="shared" si="9"/>
        <v>0</v>
      </c>
      <c r="R74" s="61">
        <f t="shared" si="9"/>
        <v>0</v>
      </c>
      <c r="S74" s="61">
        <f t="shared" si="9"/>
        <v>0</v>
      </c>
      <c r="T74" s="61">
        <f t="shared" si="9"/>
        <v>0</v>
      </c>
      <c r="U74" s="61">
        <f t="shared" si="9"/>
        <v>0</v>
      </c>
      <c r="V74" s="61">
        <f t="shared" si="9"/>
        <v>0</v>
      </c>
      <c r="W74" s="61">
        <f t="shared" si="9"/>
        <v>0</v>
      </c>
      <c r="X74" s="61">
        <f t="shared" si="9"/>
        <v>0</v>
      </c>
      <c r="Y74" s="61">
        <f t="shared" si="9"/>
        <v>0</v>
      </c>
      <c r="Z74" s="61">
        <f t="shared" si="9"/>
        <v>0</v>
      </c>
      <c r="AA74" s="61">
        <f t="shared" si="9"/>
        <v>0</v>
      </c>
      <c r="AB74" s="61">
        <f t="shared" si="9"/>
        <v>0</v>
      </c>
      <c r="AC74" s="61">
        <f t="shared" si="9"/>
        <v>0</v>
      </c>
      <c r="AD74" s="61">
        <f t="shared" si="9"/>
        <v>0</v>
      </c>
      <c r="AE74" s="61">
        <f t="shared" si="9"/>
        <v>0</v>
      </c>
      <c r="AF74" s="61">
        <f t="shared" si="9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44" t="s">
        <v>83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5">
        <v>14.4</v>
      </c>
      <c r="AH76" s="48">
        <f t="shared" ref="AH76:AH109" si="10">MAX(B76:AF76)</f>
        <v>0</v>
      </c>
      <c r="AI76" s="49">
        <f t="shared" ref="AI76:AI109" si="11">MIN(B76:AF76)</f>
        <v>0</v>
      </c>
      <c r="AK76" s="50"/>
    </row>
    <row r="77" spans="1:37" ht="15.75" thickBot="1" x14ac:dyDescent="0.3">
      <c r="A77" s="78" t="s">
        <v>85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80">
        <v>2</v>
      </c>
      <c r="AH77" s="48">
        <f t="shared" si="10"/>
        <v>0</v>
      </c>
      <c r="AI77" s="49">
        <f t="shared" si="11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10"/>
        <v>0</v>
      </c>
      <c r="AI78" s="49">
        <f t="shared" si="11"/>
        <v>0</v>
      </c>
    </row>
    <row r="79" spans="1:37" ht="15.75" thickBot="1" x14ac:dyDescent="0.3">
      <c r="A79" s="74" t="s">
        <v>87</v>
      </c>
      <c r="B79" s="83">
        <f t="shared" ref="B79:AG79" si="12">B40+B44+B62+B58+B74+B78</f>
        <v>1070.2399999999998</v>
      </c>
      <c r="C79" s="83">
        <f t="shared" si="12"/>
        <v>1064.94</v>
      </c>
      <c r="D79" s="83">
        <f t="shared" si="12"/>
        <v>1068.8399999999999</v>
      </c>
      <c r="E79" s="83">
        <f t="shared" si="12"/>
        <v>1053.8399999999999</v>
      </c>
      <c r="F79" s="83">
        <f t="shared" si="12"/>
        <v>1063.8399999999999</v>
      </c>
      <c r="G79" s="83">
        <f t="shared" si="12"/>
        <v>1083.8399999999999</v>
      </c>
      <c r="H79" s="83">
        <f t="shared" si="12"/>
        <v>1170.6399999999999</v>
      </c>
      <c r="I79" s="83">
        <f t="shared" si="12"/>
        <v>1223.6399999999999</v>
      </c>
      <c r="J79" s="83">
        <f t="shared" si="12"/>
        <v>1264.6399999999999</v>
      </c>
      <c r="K79" s="83">
        <f t="shared" si="12"/>
        <v>1302.8400000000001</v>
      </c>
      <c r="L79" s="83">
        <f t="shared" si="12"/>
        <v>1323.1399999999999</v>
      </c>
      <c r="M79" s="83">
        <f t="shared" si="12"/>
        <v>1324.1399999999999</v>
      </c>
      <c r="N79" s="83">
        <f t="shared" si="12"/>
        <v>1242.54</v>
      </c>
      <c r="O79" s="83">
        <f t="shared" si="12"/>
        <v>1227.6399999999999</v>
      </c>
      <c r="P79" s="83">
        <f t="shared" si="12"/>
        <v>1225.44</v>
      </c>
      <c r="Q79" s="83">
        <f t="shared" si="12"/>
        <v>1222.44</v>
      </c>
      <c r="R79" s="83">
        <f t="shared" si="12"/>
        <v>1222.54</v>
      </c>
      <c r="S79" s="83">
        <f t="shared" si="12"/>
        <v>1225.1399999999999</v>
      </c>
      <c r="T79" s="83">
        <f t="shared" si="12"/>
        <v>1234.24</v>
      </c>
      <c r="U79" s="83">
        <f t="shared" si="12"/>
        <v>1228.54</v>
      </c>
      <c r="V79" s="83">
        <f t="shared" si="12"/>
        <v>1294.6399999999999</v>
      </c>
      <c r="W79" s="83">
        <f t="shared" si="12"/>
        <v>1371.54</v>
      </c>
      <c r="X79" s="83">
        <f t="shared" si="12"/>
        <v>1498.2399999999998</v>
      </c>
      <c r="Y79" s="83">
        <f t="shared" si="12"/>
        <v>1553.2399999999998</v>
      </c>
      <c r="Z79" s="83">
        <f t="shared" si="12"/>
        <v>1607.74</v>
      </c>
      <c r="AA79" s="83">
        <f t="shared" si="12"/>
        <v>1550.1399999999999</v>
      </c>
      <c r="AB79" s="83">
        <f t="shared" si="12"/>
        <v>1532.8399999999997</v>
      </c>
      <c r="AC79" s="83">
        <f t="shared" si="12"/>
        <v>1529.4399999999998</v>
      </c>
      <c r="AD79" s="83">
        <f t="shared" si="12"/>
        <v>1516.7400000000002</v>
      </c>
      <c r="AE79" s="83">
        <f t="shared" si="12"/>
        <v>1428.84</v>
      </c>
      <c r="AF79" s="83">
        <f t="shared" si="12"/>
        <v>1368.34</v>
      </c>
      <c r="AG79" s="62">
        <f t="shared" si="12"/>
        <v>1897.1900000000003</v>
      </c>
      <c r="AH79" s="48">
        <f t="shared" si="10"/>
        <v>1607.74</v>
      </c>
      <c r="AI79" s="49">
        <f t="shared" si="11"/>
        <v>1053.8399999999999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10"/>
        <v>0</v>
      </c>
      <c r="AI80" s="49">
        <f t="shared" si="11"/>
        <v>0</v>
      </c>
    </row>
    <row r="81" spans="1:37" ht="15.75" thickBot="1" x14ac:dyDescent="0.3">
      <c r="A81" s="74" t="s">
        <v>89</v>
      </c>
      <c r="B81" s="83">
        <f t="shared" ref="B81:AF81" si="13">B79+B80</f>
        <v>1070.2399999999998</v>
      </c>
      <c r="C81" s="83">
        <f t="shared" si="13"/>
        <v>1064.94</v>
      </c>
      <c r="D81" s="83">
        <f t="shared" si="13"/>
        <v>1068.8399999999999</v>
      </c>
      <c r="E81" s="83">
        <f t="shared" si="13"/>
        <v>1053.8399999999999</v>
      </c>
      <c r="F81" s="83">
        <f t="shared" si="13"/>
        <v>1063.8399999999999</v>
      </c>
      <c r="G81" s="83">
        <f t="shared" si="13"/>
        <v>1083.8399999999999</v>
      </c>
      <c r="H81" s="83">
        <f t="shared" si="13"/>
        <v>1170.6399999999999</v>
      </c>
      <c r="I81" s="83">
        <f t="shared" si="13"/>
        <v>1223.6399999999999</v>
      </c>
      <c r="J81" s="83">
        <f t="shared" si="13"/>
        <v>1264.6399999999999</v>
      </c>
      <c r="K81" s="83">
        <f t="shared" si="13"/>
        <v>1302.8400000000001</v>
      </c>
      <c r="L81" s="83">
        <f t="shared" si="13"/>
        <v>1323.1399999999999</v>
      </c>
      <c r="M81" s="83">
        <f t="shared" si="13"/>
        <v>1324.1399999999999</v>
      </c>
      <c r="N81" s="83">
        <f t="shared" si="13"/>
        <v>1242.54</v>
      </c>
      <c r="O81" s="83">
        <f t="shared" si="13"/>
        <v>1227.6399999999999</v>
      </c>
      <c r="P81" s="83">
        <f t="shared" si="13"/>
        <v>1225.44</v>
      </c>
      <c r="Q81" s="83">
        <f t="shared" si="13"/>
        <v>1222.44</v>
      </c>
      <c r="R81" s="83">
        <f t="shared" si="13"/>
        <v>1222.54</v>
      </c>
      <c r="S81" s="83">
        <f t="shared" si="13"/>
        <v>1225.1399999999999</v>
      </c>
      <c r="T81" s="83">
        <f t="shared" si="13"/>
        <v>1234.24</v>
      </c>
      <c r="U81" s="83">
        <f t="shared" si="13"/>
        <v>1228.54</v>
      </c>
      <c r="V81" s="83">
        <f t="shared" si="13"/>
        <v>1294.6399999999999</v>
      </c>
      <c r="W81" s="83">
        <f t="shared" si="13"/>
        <v>1371.54</v>
      </c>
      <c r="X81" s="83">
        <f t="shared" si="13"/>
        <v>1498.2399999999998</v>
      </c>
      <c r="Y81" s="83">
        <f t="shared" si="13"/>
        <v>1553.2399999999998</v>
      </c>
      <c r="Z81" s="83">
        <f t="shared" si="13"/>
        <v>1607.74</v>
      </c>
      <c r="AA81" s="83">
        <f t="shared" si="13"/>
        <v>1550.1399999999999</v>
      </c>
      <c r="AB81" s="83">
        <f t="shared" si="13"/>
        <v>1532.8399999999997</v>
      </c>
      <c r="AC81" s="83">
        <f t="shared" si="13"/>
        <v>1529.4399999999998</v>
      </c>
      <c r="AD81" s="83">
        <f t="shared" si="13"/>
        <v>1516.7400000000002</v>
      </c>
      <c r="AE81" s="83">
        <f t="shared" si="13"/>
        <v>1428.84</v>
      </c>
      <c r="AF81" s="83">
        <f t="shared" si="13"/>
        <v>1368.34</v>
      </c>
      <c r="AG81" s="81">
        <f>AG78+AG74+AG62+AG58+AG40+AG80</f>
        <v>1359.0900000000001</v>
      </c>
      <c r="AH81" s="48">
        <f t="shared" si="10"/>
        <v>1607.74</v>
      </c>
      <c r="AI81" s="49">
        <f t="shared" si="11"/>
        <v>1053.8399999999999</v>
      </c>
    </row>
    <row r="82" spans="1:37" ht="15.75" thickBot="1" x14ac:dyDescent="0.3">
      <c r="A82" s="74" t="s">
        <v>90</v>
      </c>
      <c r="B82" s="83">
        <f t="shared" ref="B82:AF82" si="14">B81-B89</f>
        <v>965.23999999999978</v>
      </c>
      <c r="C82" s="83">
        <f t="shared" si="14"/>
        <v>923.94</v>
      </c>
      <c r="D82" s="83">
        <f t="shared" si="14"/>
        <v>947.83999999999992</v>
      </c>
      <c r="E82" s="83">
        <f t="shared" si="14"/>
        <v>943.83999999999992</v>
      </c>
      <c r="F82" s="83">
        <f t="shared" si="14"/>
        <v>942.83999999999992</v>
      </c>
      <c r="G82" s="83">
        <f t="shared" si="14"/>
        <v>967.83999999999992</v>
      </c>
      <c r="H82" s="83">
        <f t="shared" si="14"/>
        <v>1070.6399999999999</v>
      </c>
      <c r="I82" s="83">
        <f t="shared" si="14"/>
        <v>1123.6399999999999</v>
      </c>
      <c r="J82" s="83">
        <f t="shared" si="14"/>
        <v>1154.6399999999999</v>
      </c>
      <c r="K82" s="83">
        <f t="shared" si="14"/>
        <v>1224.8400000000001</v>
      </c>
      <c r="L82" s="83">
        <f t="shared" si="14"/>
        <v>1253.6399999999999</v>
      </c>
      <c r="M82" s="83">
        <f t="shared" si="14"/>
        <v>1275.1399999999999</v>
      </c>
      <c r="N82" s="83">
        <f t="shared" si="14"/>
        <v>1203.54</v>
      </c>
      <c r="O82" s="83">
        <f t="shared" si="14"/>
        <v>1157.1399999999999</v>
      </c>
      <c r="P82" s="83">
        <f t="shared" si="14"/>
        <v>1110.04</v>
      </c>
      <c r="Q82" s="83">
        <f t="shared" si="14"/>
        <v>1091.44</v>
      </c>
      <c r="R82" s="83">
        <f t="shared" si="14"/>
        <v>1096.24</v>
      </c>
      <c r="S82" s="83">
        <f t="shared" si="14"/>
        <v>1101.8399999999999</v>
      </c>
      <c r="T82" s="83">
        <f t="shared" si="14"/>
        <v>1108.24</v>
      </c>
      <c r="U82" s="83">
        <f t="shared" si="14"/>
        <v>1111.54</v>
      </c>
      <c r="V82" s="83">
        <f t="shared" si="14"/>
        <v>1159.6399999999999</v>
      </c>
      <c r="W82" s="83">
        <f t="shared" si="14"/>
        <v>1248.54</v>
      </c>
      <c r="X82" s="83">
        <f t="shared" si="14"/>
        <v>1338.2399999999998</v>
      </c>
      <c r="Y82" s="83">
        <f t="shared" si="14"/>
        <v>1353.2399999999998</v>
      </c>
      <c r="Z82" s="83">
        <f t="shared" si="14"/>
        <v>1302.74</v>
      </c>
      <c r="AA82" s="83">
        <f t="shared" si="14"/>
        <v>1220.1399999999999</v>
      </c>
      <c r="AB82" s="83">
        <f t="shared" si="14"/>
        <v>1182.8399999999997</v>
      </c>
      <c r="AC82" s="83">
        <f t="shared" si="14"/>
        <v>1128.4399999999998</v>
      </c>
      <c r="AD82" s="83">
        <f t="shared" si="14"/>
        <v>1084.7400000000002</v>
      </c>
      <c r="AE82" s="83">
        <f t="shared" si="14"/>
        <v>994.83999999999992</v>
      </c>
      <c r="AF82" s="83">
        <f t="shared" si="14"/>
        <v>985.33999999999992</v>
      </c>
      <c r="AG82" s="81"/>
      <c r="AH82" s="48">
        <f t="shared" si="10"/>
        <v>1353.2399999999998</v>
      </c>
      <c r="AI82" s="49">
        <f t="shared" si="11"/>
        <v>923.94</v>
      </c>
    </row>
    <row r="83" spans="1:37" x14ac:dyDescent="0.25">
      <c r="A83" s="44" t="s">
        <v>74</v>
      </c>
      <c r="B83" s="76">
        <f t="shared" ref="B83:AF83" si="15">IF(B66&lt;0,B66*-1,0)</f>
        <v>0</v>
      </c>
      <c r="C83" s="76">
        <f t="shared" si="15"/>
        <v>0</v>
      </c>
      <c r="D83" s="76">
        <f t="shared" si="15"/>
        <v>0</v>
      </c>
      <c r="E83" s="76">
        <f t="shared" si="15"/>
        <v>0</v>
      </c>
      <c r="F83" s="76">
        <f t="shared" si="15"/>
        <v>0</v>
      </c>
      <c r="G83" s="76">
        <f t="shared" si="15"/>
        <v>0</v>
      </c>
      <c r="H83" s="76">
        <f t="shared" si="15"/>
        <v>0</v>
      </c>
      <c r="I83" s="76">
        <f t="shared" si="15"/>
        <v>0</v>
      </c>
      <c r="J83" s="76">
        <f t="shared" si="15"/>
        <v>0</v>
      </c>
      <c r="K83" s="76">
        <f t="shared" si="15"/>
        <v>0</v>
      </c>
      <c r="L83" s="76">
        <f t="shared" si="15"/>
        <v>0</v>
      </c>
      <c r="M83" s="76">
        <f t="shared" si="15"/>
        <v>0</v>
      </c>
      <c r="N83" s="76">
        <f t="shared" si="15"/>
        <v>0</v>
      </c>
      <c r="O83" s="76">
        <f t="shared" si="15"/>
        <v>0</v>
      </c>
      <c r="P83" s="76">
        <f t="shared" si="15"/>
        <v>0</v>
      </c>
      <c r="Q83" s="76">
        <f t="shared" si="15"/>
        <v>0</v>
      </c>
      <c r="R83" s="76">
        <f t="shared" si="15"/>
        <v>0</v>
      </c>
      <c r="S83" s="76">
        <f t="shared" si="15"/>
        <v>0</v>
      </c>
      <c r="T83" s="76">
        <f t="shared" si="15"/>
        <v>0</v>
      </c>
      <c r="U83" s="76">
        <f t="shared" si="15"/>
        <v>0</v>
      </c>
      <c r="V83" s="76">
        <f t="shared" si="15"/>
        <v>0</v>
      </c>
      <c r="W83" s="76">
        <f t="shared" si="15"/>
        <v>0</v>
      </c>
      <c r="X83" s="76">
        <f t="shared" si="15"/>
        <v>0</v>
      </c>
      <c r="Y83" s="76">
        <f t="shared" si="15"/>
        <v>0</v>
      </c>
      <c r="Z83" s="76">
        <f t="shared" si="15"/>
        <v>0</v>
      </c>
      <c r="AA83" s="76">
        <f t="shared" si="15"/>
        <v>0</v>
      </c>
      <c r="AB83" s="76">
        <f t="shared" si="15"/>
        <v>0</v>
      </c>
      <c r="AC83" s="76">
        <f t="shared" si="15"/>
        <v>0</v>
      </c>
      <c r="AD83" s="76">
        <f t="shared" si="15"/>
        <v>0</v>
      </c>
      <c r="AE83" s="76">
        <f t="shared" si="15"/>
        <v>0</v>
      </c>
      <c r="AF83" s="76">
        <f t="shared" si="15"/>
        <v>0</v>
      </c>
      <c r="AG83" s="52"/>
      <c r="AH83" s="48">
        <f t="shared" si="10"/>
        <v>0</v>
      </c>
      <c r="AI83" s="49">
        <f t="shared" si="11"/>
        <v>0</v>
      </c>
    </row>
    <row r="84" spans="1:37" x14ac:dyDescent="0.25">
      <c r="A84" s="54" t="s">
        <v>72</v>
      </c>
      <c r="B84" s="76">
        <f t="shared" ref="B84:AF84" si="16">IF(B64&lt;0,B64*-1,0)</f>
        <v>0</v>
      </c>
      <c r="C84" s="76">
        <f t="shared" si="16"/>
        <v>0</v>
      </c>
      <c r="D84" s="76">
        <f t="shared" si="16"/>
        <v>0</v>
      </c>
      <c r="E84" s="76">
        <f t="shared" si="16"/>
        <v>0</v>
      </c>
      <c r="F84" s="76">
        <f t="shared" si="16"/>
        <v>0</v>
      </c>
      <c r="G84" s="76">
        <f t="shared" si="16"/>
        <v>0</v>
      </c>
      <c r="H84" s="76">
        <f t="shared" si="16"/>
        <v>0</v>
      </c>
      <c r="I84" s="76">
        <f t="shared" si="16"/>
        <v>0</v>
      </c>
      <c r="J84" s="76">
        <f t="shared" si="16"/>
        <v>0</v>
      </c>
      <c r="K84" s="76">
        <f t="shared" si="16"/>
        <v>0</v>
      </c>
      <c r="L84" s="76">
        <f t="shared" si="16"/>
        <v>0</v>
      </c>
      <c r="M84" s="76">
        <f t="shared" si="16"/>
        <v>0</v>
      </c>
      <c r="N84" s="76">
        <f t="shared" si="16"/>
        <v>0</v>
      </c>
      <c r="O84" s="76">
        <f t="shared" si="16"/>
        <v>0</v>
      </c>
      <c r="P84" s="76">
        <f t="shared" si="16"/>
        <v>0</v>
      </c>
      <c r="Q84" s="76">
        <f t="shared" si="16"/>
        <v>0</v>
      </c>
      <c r="R84" s="76">
        <f t="shared" si="16"/>
        <v>0</v>
      </c>
      <c r="S84" s="76">
        <f t="shared" si="16"/>
        <v>0</v>
      </c>
      <c r="T84" s="76">
        <f t="shared" si="16"/>
        <v>0</v>
      </c>
      <c r="U84" s="76">
        <f t="shared" si="16"/>
        <v>0</v>
      </c>
      <c r="V84" s="76">
        <f t="shared" si="16"/>
        <v>0</v>
      </c>
      <c r="W84" s="76">
        <f t="shared" si="16"/>
        <v>0</v>
      </c>
      <c r="X84" s="76">
        <f t="shared" si="16"/>
        <v>0</v>
      </c>
      <c r="Y84" s="76">
        <f t="shared" si="16"/>
        <v>0</v>
      </c>
      <c r="Z84" s="76">
        <f t="shared" si="16"/>
        <v>0</v>
      </c>
      <c r="AA84" s="76">
        <f t="shared" si="16"/>
        <v>0</v>
      </c>
      <c r="AB84" s="76">
        <f t="shared" si="16"/>
        <v>0</v>
      </c>
      <c r="AC84" s="76">
        <f t="shared" si="16"/>
        <v>0</v>
      </c>
      <c r="AD84" s="76">
        <f t="shared" si="16"/>
        <v>0</v>
      </c>
      <c r="AE84" s="76">
        <f t="shared" si="16"/>
        <v>0</v>
      </c>
      <c r="AF84" s="76">
        <f t="shared" si="16"/>
        <v>0</v>
      </c>
      <c r="AG84" s="55"/>
      <c r="AH84" s="48">
        <f t="shared" si="10"/>
        <v>0</v>
      </c>
      <c r="AI84" s="49">
        <f t="shared" si="11"/>
        <v>0</v>
      </c>
    </row>
    <row r="85" spans="1:37" x14ac:dyDescent="0.25">
      <c r="A85" s="78" t="s">
        <v>91</v>
      </c>
      <c r="B85" s="76">
        <f t="shared" ref="B85:AF85" si="17">IF(B67&lt;0,B67*-1,0)</f>
        <v>0</v>
      </c>
      <c r="C85" s="76">
        <f t="shared" si="17"/>
        <v>0</v>
      </c>
      <c r="D85" s="76">
        <f t="shared" si="17"/>
        <v>0</v>
      </c>
      <c r="E85" s="76">
        <f t="shared" si="17"/>
        <v>0</v>
      </c>
      <c r="F85" s="76">
        <f t="shared" si="17"/>
        <v>0</v>
      </c>
      <c r="G85" s="76">
        <f t="shared" si="17"/>
        <v>0</v>
      </c>
      <c r="H85" s="76">
        <f t="shared" si="17"/>
        <v>0</v>
      </c>
      <c r="I85" s="76">
        <f t="shared" si="17"/>
        <v>0</v>
      </c>
      <c r="J85" s="76">
        <f t="shared" si="17"/>
        <v>0</v>
      </c>
      <c r="K85" s="76">
        <f t="shared" si="17"/>
        <v>0</v>
      </c>
      <c r="L85" s="76">
        <f t="shared" si="17"/>
        <v>0</v>
      </c>
      <c r="M85" s="76">
        <f t="shared" si="17"/>
        <v>0</v>
      </c>
      <c r="N85" s="76">
        <f t="shared" si="17"/>
        <v>0</v>
      </c>
      <c r="O85" s="76">
        <f t="shared" si="17"/>
        <v>0</v>
      </c>
      <c r="P85" s="76">
        <f t="shared" si="17"/>
        <v>0</v>
      </c>
      <c r="Q85" s="76">
        <f t="shared" si="17"/>
        <v>0</v>
      </c>
      <c r="R85" s="76">
        <f t="shared" si="17"/>
        <v>0</v>
      </c>
      <c r="S85" s="76">
        <f t="shared" si="17"/>
        <v>0</v>
      </c>
      <c r="T85" s="76">
        <f t="shared" si="17"/>
        <v>0</v>
      </c>
      <c r="U85" s="76">
        <f t="shared" si="17"/>
        <v>0</v>
      </c>
      <c r="V85" s="76">
        <f t="shared" si="17"/>
        <v>0</v>
      </c>
      <c r="W85" s="76">
        <f t="shared" si="17"/>
        <v>0</v>
      </c>
      <c r="X85" s="76">
        <f t="shared" si="17"/>
        <v>0</v>
      </c>
      <c r="Y85" s="76">
        <f t="shared" si="17"/>
        <v>0</v>
      </c>
      <c r="Z85" s="76">
        <f t="shared" si="17"/>
        <v>0</v>
      </c>
      <c r="AA85" s="76">
        <f t="shared" si="17"/>
        <v>0</v>
      </c>
      <c r="AB85" s="76">
        <f t="shared" si="17"/>
        <v>0</v>
      </c>
      <c r="AC85" s="76">
        <f t="shared" si="17"/>
        <v>0</v>
      </c>
      <c r="AD85" s="76">
        <f t="shared" si="17"/>
        <v>0</v>
      </c>
      <c r="AE85" s="76">
        <f t="shared" si="17"/>
        <v>0</v>
      </c>
      <c r="AF85" s="76">
        <f t="shared" si="17"/>
        <v>0</v>
      </c>
      <c r="AG85" s="86"/>
      <c r="AH85" s="48">
        <f t="shared" si="10"/>
        <v>0</v>
      </c>
      <c r="AI85" s="49">
        <f t="shared" si="11"/>
        <v>0</v>
      </c>
    </row>
    <row r="86" spans="1:37" x14ac:dyDescent="0.25">
      <c r="A86" s="78" t="s">
        <v>92</v>
      </c>
      <c r="B86" s="76">
        <f t="shared" ref="B86:AF86" si="18">IF(B65&lt;0,B65*-1,0)</f>
        <v>105</v>
      </c>
      <c r="C86" s="76">
        <f t="shared" si="18"/>
        <v>141</v>
      </c>
      <c r="D86" s="76">
        <f t="shared" si="18"/>
        <v>121</v>
      </c>
      <c r="E86" s="76">
        <f t="shared" si="18"/>
        <v>110</v>
      </c>
      <c r="F86" s="76">
        <f t="shared" si="18"/>
        <v>121</v>
      </c>
      <c r="G86" s="76">
        <f t="shared" si="18"/>
        <v>116</v>
      </c>
      <c r="H86" s="76">
        <f t="shared" si="18"/>
        <v>100</v>
      </c>
      <c r="I86" s="76">
        <f t="shared" si="18"/>
        <v>100</v>
      </c>
      <c r="J86" s="76">
        <f t="shared" si="18"/>
        <v>110</v>
      </c>
      <c r="K86" s="76">
        <f t="shared" si="18"/>
        <v>78</v>
      </c>
      <c r="L86" s="76">
        <f t="shared" si="18"/>
        <v>69.5</v>
      </c>
      <c r="M86" s="76">
        <f t="shared" si="18"/>
        <v>49</v>
      </c>
      <c r="N86" s="76">
        <f t="shared" si="18"/>
        <v>39</v>
      </c>
      <c r="O86" s="76">
        <f t="shared" si="18"/>
        <v>70.5</v>
      </c>
      <c r="P86" s="76">
        <f t="shared" si="18"/>
        <v>115.4</v>
      </c>
      <c r="Q86" s="76">
        <f t="shared" si="18"/>
        <v>131</v>
      </c>
      <c r="R86" s="76">
        <f t="shared" si="18"/>
        <v>126.3</v>
      </c>
      <c r="S86" s="76">
        <f t="shared" si="18"/>
        <v>123.3</v>
      </c>
      <c r="T86" s="76">
        <f t="shared" si="18"/>
        <v>126</v>
      </c>
      <c r="U86" s="76">
        <f t="shared" si="18"/>
        <v>117</v>
      </c>
      <c r="V86" s="76">
        <f t="shared" si="18"/>
        <v>135</v>
      </c>
      <c r="W86" s="76">
        <f t="shared" si="18"/>
        <v>123</v>
      </c>
      <c r="X86" s="76">
        <f t="shared" si="18"/>
        <v>160</v>
      </c>
      <c r="Y86" s="76">
        <f t="shared" si="18"/>
        <v>200</v>
      </c>
      <c r="Z86" s="76">
        <f t="shared" si="18"/>
        <v>305</v>
      </c>
      <c r="AA86" s="76">
        <f t="shared" si="18"/>
        <v>330</v>
      </c>
      <c r="AB86" s="76">
        <f t="shared" si="18"/>
        <v>350</v>
      </c>
      <c r="AC86" s="76">
        <f t="shared" si="18"/>
        <v>401</v>
      </c>
      <c r="AD86" s="76">
        <f t="shared" si="18"/>
        <v>432</v>
      </c>
      <c r="AE86" s="76">
        <f t="shared" si="18"/>
        <v>434</v>
      </c>
      <c r="AF86" s="76">
        <f t="shared" si="18"/>
        <v>383</v>
      </c>
      <c r="AG86" s="86"/>
      <c r="AH86" s="48">
        <f t="shared" si="10"/>
        <v>434</v>
      </c>
      <c r="AI86" s="49">
        <f t="shared" si="11"/>
        <v>39</v>
      </c>
    </row>
    <row r="87" spans="1:37" x14ac:dyDescent="0.25">
      <c r="A87" s="78" t="s">
        <v>71</v>
      </c>
      <c r="B87" s="76">
        <f t="shared" ref="B87:AF87" si="19">IF(B63&lt;0,B63*-1,0)</f>
        <v>0</v>
      </c>
      <c r="C87" s="76">
        <f t="shared" si="19"/>
        <v>0</v>
      </c>
      <c r="D87" s="76">
        <f t="shared" si="19"/>
        <v>0</v>
      </c>
      <c r="E87" s="76">
        <f t="shared" si="19"/>
        <v>0</v>
      </c>
      <c r="F87" s="76">
        <f t="shared" si="19"/>
        <v>0</v>
      </c>
      <c r="G87" s="76">
        <f t="shared" si="19"/>
        <v>0</v>
      </c>
      <c r="H87" s="76">
        <f t="shared" si="19"/>
        <v>0</v>
      </c>
      <c r="I87" s="76">
        <f t="shared" si="19"/>
        <v>0</v>
      </c>
      <c r="J87" s="76">
        <f t="shared" si="19"/>
        <v>0</v>
      </c>
      <c r="K87" s="76">
        <f t="shared" si="19"/>
        <v>0</v>
      </c>
      <c r="L87" s="76">
        <f t="shared" si="19"/>
        <v>0</v>
      </c>
      <c r="M87" s="76">
        <f t="shared" si="19"/>
        <v>0</v>
      </c>
      <c r="N87" s="76">
        <f t="shared" si="19"/>
        <v>0</v>
      </c>
      <c r="O87" s="76">
        <f t="shared" si="19"/>
        <v>0</v>
      </c>
      <c r="P87" s="76">
        <f t="shared" si="19"/>
        <v>0</v>
      </c>
      <c r="Q87" s="76">
        <f t="shared" si="19"/>
        <v>0</v>
      </c>
      <c r="R87" s="76">
        <f t="shared" si="19"/>
        <v>0</v>
      </c>
      <c r="S87" s="76">
        <f t="shared" si="19"/>
        <v>0</v>
      </c>
      <c r="T87" s="76">
        <f t="shared" si="19"/>
        <v>0</v>
      </c>
      <c r="U87" s="76">
        <f t="shared" si="19"/>
        <v>0</v>
      </c>
      <c r="V87" s="76">
        <f t="shared" si="19"/>
        <v>0</v>
      </c>
      <c r="W87" s="76">
        <f t="shared" si="19"/>
        <v>0</v>
      </c>
      <c r="X87" s="76">
        <f t="shared" si="19"/>
        <v>0</v>
      </c>
      <c r="Y87" s="76">
        <f t="shared" si="19"/>
        <v>0</v>
      </c>
      <c r="Z87" s="76">
        <f t="shared" si="19"/>
        <v>0</v>
      </c>
      <c r="AA87" s="76">
        <f t="shared" si="19"/>
        <v>0</v>
      </c>
      <c r="AB87" s="76">
        <f t="shared" si="19"/>
        <v>0</v>
      </c>
      <c r="AC87" s="76">
        <f t="shared" si="19"/>
        <v>0</v>
      </c>
      <c r="AD87" s="76">
        <f t="shared" si="19"/>
        <v>0</v>
      </c>
      <c r="AE87" s="76">
        <f t="shared" si="19"/>
        <v>0</v>
      </c>
      <c r="AF87" s="76">
        <f t="shared" si="19"/>
        <v>0</v>
      </c>
      <c r="AG87" s="86"/>
      <c r="AH87" s="48">
        <f t="shared" si="10"/>
        <v>0</v>
      </c>
      <c r="AI87" s="49">
        <f t="shared" si="11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10"/>
        <v>0</v>
      </c>
      <c r="AI88" s="49">
        <f t="shared" si="11"/>
        <v>0</v>
      </c>
    </row>
    <row r="89" spans="1:37" ht="15.75" thickBot="1" x14ac:dyDescent="0.3">
      <c r="A89" s="87" t="s">
        <v>94</v>
      </c>
      <c r="B89" s="61">
        <f t="shared" ref="B89:AF89" si="20">SUM(B83:B88)</f>
        <v>105</v>
      </c>
      <c r="C89" s="61">
        <f t="shared" si="20"/>
        <v>141</v>
      </c>
      <c r="D89" s="61">
        <f t="shared" si="20"/>
        <v>121</v>
      </c>
      <c r="E89" s="61">
        <f t="shared" si="20"/>
        <v>110</v>
      </c>
      <c r="F89" s="61">
        <f t="shared" si="20"/>
        <v>121</v>
      </c>
      <c r="G89" s="61">
        <f t="shared" si="20"/>
        <v>116</v>
      </c>
      <c r="H89" s="61">
        <f t="shared" si="20"/>
        <v>100</v>
      </c>
      <c r="I89" s="61">
        <f t="shared" si="20"/>
        <v>100</v>
      </c>
      <c r="J89" s="61">
        <f t="shared" si="20"/>
        <v>110</v>
      </c>
      <c r="K89" s="61">
        <f t="shared" si="20"/>
        <v>78</v>
      </c>
      <c r="L89" s="61">
        <f t="shared" si="20"/>
        <v>69.5</v>
      </c>
      <c r="M89" s="61">
        <f t="shared" si="20"/>
        <v>49</v>
      </c>
      <c r="N89" s="61">
        <f t="shared" si="20"/>
        <v>39</v>
      </c>
      <c r="O89" s="61">
        <f t="shared" si="20"/>
        <v>70.5</v>
      </c>
      <c r="P89" s="61">
        <f t="shared" si="20"/>
        <v>115.4</v>
      </c>
      <c r="Q89" s="61">
        <f t="shared" si="20"/>
        <v>131</v>
      </c>
      <c r="R89" s="61">
        <f t="shared" si="20"/>
        <v>126.3</v>
      </c>
      <c r="S89" s="61">
        <f t="shared" si="20"/>
        <v>123.3</v>
      </c>
      <c r="T89" s="61">
        <f t="shared" si="20"/>
        <v>126</v>
      </c>
      <c r="U89" s="61">
        <f t="shared" si="20"/>
        <v>117</v>
      </c>
      <c r="V89" s="61">
        <f t="shared" si="20"/>
        <v>135</v>
      </c>
      <c r="W89" s="61">
        <f t="shared" si="20"/>
        <v>123</v>
      </c>
      <c r="X89" s="61">
        <f t="shared" si="20"/>
        <v>160</v>
      </c>
      <c r="Y89" s="61">
        <f t="shared" si="20"/>
        <v>200</v>
      </c>
      <c r="Z89" s="61">
        <f t="shared" si="20"/>
        <v>305</v>
      </c>
      <c r="AA89" s="61">
        <f t="shared" si="20"/>
        <v>330</v>
      </c>
      <c r="AB89" s="61">
        <f t="shared" si="20"/>
        <v>350</v>
      </c>
      <c r="AC89" s="61">
        <f t="shared" si="20"/>
        <v>401</v>
      </c>
      <c r="AD89" s="61">
        <f t="shared" si="20"/>
        <v>432</v>
      </c>
      <c r="AE89" s="61">
        <f t="shared" si="20"/>
        <v>434</v>
      </c>
      <c r="AF89" s="61">
        <f t="shared" si="20"/>
        <v>383</v>
      </c>
      <c r="AG89" s="81"/>
      <c r="AH89" s="48">
        <f t="shared" si="10"/>
        <v>434</v>
      </c>
      <c r="AI89" s="49">
        <f t="shared" si="11"/>
        <v>39</v>
      </c>
      <c r="AK89" s="50"/>
    </row>
    <row r="90" spans="1:37" ht="15.75" thickBot="1" x14ac:dyDescent="0.3">
      <c r="A90" s="74" t="s">
        <v>95</v>
      </c>
      <c r="B90" s="61">
        <f t="shared" ref="B90:AF90" si="21">B74-B89</f>
        <v>-105</v>
      </c>
      <c r="C90" s="61">
        <f t="shared" si="21"/>
        <v>-141</v>
      </c>
      <c r="D90" s="61">
        <f t="shared" si="21"/>
        <v>-121</v>
      </c>
      <c r="E90" s="61">
        <f t="shared" si="21"/>
        <v>-110</v>
      </c>
      <c r="F90" s="61">
        <f t="shared" si="21"/>
        <v>-121</v>
      </c>
      <c r="G90" s="61">
        <f t="shared" si="21"/>
        <v>-116</v>
      </c>
      <c r="H90" s="61">
        <f t="shared" si="21"/>
        <v>-100</v>
      </c>
      <c r="I90" s="61">
        <f t="shared" si="21"/>
        <v>-100</v>
      </c>
      <c r="J90" s="61">
        <f t="shared" si="21"/>
        <v>-110</v>
      </c>
      <c r="K90" s="61">
        <f t="shared" si="21"/>
        <v>-78</v>
      </c>
      <c r="L90" s="61">
        <f t="shared" si="21"/>
        <v>-69.5</v>
      </c>
      <c r="M90" s="61">
        <f t="shared" si="21"/>
        <v>-49</v>
      </c>
      <c r="N90" s="61">
        <f t="shared" si="21"/>
        <v>-39</v>
      </c>
      <c r="O90" s="61">
        <f t="shared" si="21"/>
        <v>-70.5</v>
      </c>
      <c r="P90" s="61">
        <f t="shared" si="21"/>
        <v>-115.4</v>
      </c>
      <c r="Q90" s="61">
        <f t="shared" si="21"/>
        <v>-131</v>
      </c>
      <c r="R90" s="61">
        <f t="shared" si="21"/>
        <v>-126.3</v>
      </c>
      <c r="S90" s="61">
        <f t="shared" si="21"/>
        <v>-123.3</v>
      </c>
      <c r="T90" s="61">
        <f t="shared" si="21"/>
        <v>-126</v>
      </c>
      <c r="U90" s="61">
        <f t="shared" si="21"/>
        <v>-117</v>
      </c>
      <c r="V90" s="61">
        <f t="shared" si="21"/>
        <v>-135</v>
      </c>
      <c r="W90" s="61">
        <f t="shared" si="21"/>
        <v>-123</v>
      </c>
      <c r="X90" s="61">
        <f t="shared" si="21"/>
        <v>-160</v>
      </c>
      <c r="Y90" s="61">
        <f t="shared" si="21"/>
        <v>-200</v>
      </c>
      <c r="Z90" s="61">
        <f t="shared" si="21"/>
        <v>-305</v>
      </c>
      <c r="AA90" s="61">
        <f t="shared" si="21"/>
        <v>-330</v>
      </c>
      <c r="AB90" s="61">
        <f t="shared" si="21"/>
        <v>-350</v>
      </c>
      <c r="AC90" s="61">
        <f t="shared" si="21"/>
        <v>-401</v>
      </c>
      <c r="AD90" s="61">
        <f t="shared" si="21"/>
        <v>-432</v>
      </c>
      <c r="AE90" s="61">
        <f t="shared" si="21"/>
        <v>-434</v>
      </c>
      <c r="AF90" s="61">
        <f t="shared" si="21"/>
        <v>-383</v>
      </c>
      <c r="AG90" s="81"/>
      <c r="AH90" s="48">
        <f t="shared" si="10"/>
        <v>-39</v>
      </c>
      <c r="AI90" s="49">
        <f t="shared" si="11"/>
        <v>-434</v>
      </c>
    </row>
    <row r="91" spans="1:37" x14ac:dyDescent="0.25">
      <c r="A91" s="88" t="s">
        <v>96</v>
      </c>
      <c r="B91" s="89">
        <v>50</v>
      </c>
      <c r="C91" s="89">
        <v>49.981000000000002</v>
      </c>
      <c r="D91" s="89">
        <v>50.072000000000003</v>
      </c>
      <c r="E91" s="89">
        <v>50.072000000000003</v>
      </c>
      <c r="F91" s="89">
        <v>50.06</v>
      </c>
      <c r="G91" s="89">
        <v>50.04</v>
      </c>
      <c r="H91" s="89">
        <v>49.9</v>
      </c>
      <c r="I91" s="89">
        <v>49.87</v>
      </c>
      <c r="J91" s="89">
        <v>49.87</v>
      </c>
      <c r="K91" s="89">
        <v>50</v>
      </c>
      <c r="L91" s="89">
        <v>49.96</v>
      </c>
      <c r="M91" s="89">
        <v>49.975999999999999</v>
      </c>
      <c r="N91" s="89">
        <v>50.067999999999998</v>
      </c>
      <c r="O91" s="89">
        <v>49.96</v>
      </c>
      <c r="P91" s="89">
        <v>50</v>
      </c>
      <c r="Q91" s="89">
        <v>49.944000000000003</v>
      </c>
      <c r="R91" s="89">
        <v>49.966000000000001</v>
      </c>
      <c r="S91" s="89">
        <v>50.012</v>
      </c>
      <c r="T91" s="89">
        <v>50.055999999999997</v>
      </c>
      <c r="U91" s="89">
        <v>49.94</v>
      </c>
      <c r="V91" s="89">
        <v>50.073</v>
      </c>
      <c r="W91" s="89">
        <v>49.965000000000003</v>
      </c>
      <c r="X91" s="89">
        <v>50.008000000000003</v>
      </c>
      <c r="Y91" s="89">
        <v>50.034999999999997</v>
      </c>
      <c r="Z91" s="89">
        <v>50.021000000000001</v>
      </c>
      <c r="AA91" s="89">
        <v>50.072000000000003</v>
      </c>
      <c r="AB91" s="89">
        <v>50.029000000000003</v>
      </c>
      <c r="AC91" s="89">
        <v>49.984000000000002</v>
      </c>
      <c r="AD91" s="89">
        <v>49.993000000000002</v>
      </c>
      <c r="AE91" s="89">
        <v>50.030999999999999</v>
      </c>
      <c r="AF91" s="89">
        <v>49.985999999999997</v>
      </c>
      <c r="AG91" s="90"/>
      <c r="AH91" s="48">
        <f t="shared" si="10"/>
        <v>50.073</v>
      </c>
      <c r="AI91" s="49">
        <f t="shared" si="11"/>
        <v>49.87</v>
      </c>
    </row>
    <row r="92" spans="1:37" x14ac:dyDescent="0.25">
      <c r="A92" s="91" t="s">
        <v>97</v>
      </c>
      <c r="B92" s="65">
        <v>127</v>
      </c>
      <c r="C92" s="65">
        <v>127</v>
      </c>
      <c r="D92" s="65">
        <v>127</v>
      </c>
      <c r="E92" s="65">
        <v>127</v>
      </c>
      <c r="F92" s="65">
        <v>127.5</v>
      </c>
      <c r="G92" s="65">
        <v>126.9</v>
      </c>
      <c r="H92" s="65">
        <v>126</v>
      </c>
      <c r="I92" s="65">
        <v>124.5</v>
      </c>
      <c r="J92" s="65">
        <v>124.5</v>
      </c>
      <c r="K92" s="65">
        <v>122.8</v>
      </c>
      <c r="L92" s="65">
        <v>123.4</v>
      </c>
      <c r="M92" s="65">
        <v>123</v>
      </c>
      <c r="N92" s="65">
        <v>123.4</v>
      </c>
      <c r="O92" s="65">
        <v>123.2</v>
      </c>
      <c r="P92" s="65">
        <v>124</v>
      </c>
      <c r="Q92" s="65">
        <v>123.4</v>
      </c>
      <c r="R92" s="65">
        <v>123.7</v>
      </c>
      <c r="S92" s="65">
        <v>123.4</v>
      </c>
      <c r="T92" s="65">
        <v>124.3</v>
      </c>
      <c r="U92" s="65">
        <v>124.2</v>
      </c>
      <c r="V92" s="65">
        <v>126.5</v>
      </c>
      <c r="W92" s="65">
        <v>125.2</v>
      </c>
      <c r="X92" s="65">
        <v>126.3</v>
      </c>
      <c r="Y92" s="65">
        <v>126.8</v>
      </c>
      <c r="Z92" s="65">
        <v>126.8</v>
      </c>
      <c r="AA92" s="65">
        <v>127.3</v>
      </c>
      <c r="AB92" s="65">
        <v>127.7</v>
      </c>
      <c r="AC92" s="65">
        <v>126.8</v>
      </c>
      <c r="AD92" s="65">
        <v>127.1</v>
      </c>
      <c r="AE92" s="65">
        <v>127</v>
      </c>
      <c r="AF92" s="65">
        <v>127</v>
      </c>
      <c r="AG92" s="92"/>
      <c r="AH92" s="48">
        <f t="shared" si="10"/>
        <v>127.7</v>
      </c>
      <c r="AI92" s="49">
        <f t="shared" si="11"/>
        <v>122.8</v>
      </c>
    </row>
    <row r="93" spans="1:37" x14ac:dyDescent="0.25">
      <c r="A93" s="91" t="s">
        <v>98</v>
      </c>
      <c r="B93" s="65">
        <v>130</v>
      </c>
      <c r="C93" s="65">
        <v>130</v>
      </c>
      <c r="D93" s="65">
        <v>130</v>
      </c>
      <c r="E93" s="65">
        <v>131.4</v>
      </c>
      <c r="F93" s="65">
        <v>131.19999999999999</v>
      </c>
      <c r="G93" s="65">
        <v>130.80000000000001</v>
      </c>
      <c r="H93" s="65">
        <v>129.9</v>
      </c>
      <c r="I93" s="65">
        <v>128.19999999999999</v>
      </c>
      <c r="J93" s="65">
        <v>128.19999999999999</v>
      </c>
      <c r="K93" s="65">
        <v>126.6</v>
      </c>
      <c r="L93" s="65">
        <v>126.8</v>
      </c>
      <c r="M93" s="65">
        <v>126.8</v>
      </c>
      <c r="N93" s="65">
        <v>127.4</v>
      </c>
      <c r="O93" s="65">
        <v>127</v>
      </c>
      <c r="P93" s="65">
        <v>127.6</v>
      </c>
      <c r="Q93" s="65">
        <v>127</v>
      </c>
      <c r="R93" s="65">
        <v>127.5</v>
      </c>
      <c r="S93" s="65">
        <v>127.9</v>
      </c>
      <c r="T93" s="65">
        <v>128.30000000000001</v>
      </c>
      <c r="U93" s="65">
        <v>128.30000000000001</v>
      </c>
      <c r="V93" s="65">
        <v>129.9</v>
      </c>
      <c r="W93" s="65">
        <v>128.5</v>
      </c>
      <c r="X93" s="65">
        <v>129.30000000000001</v>
      </c>
      <c r="Y93" s="65">
        <v>129.5</v>
      </c>
      <c r="Z93" s="65">
        <v>129.6</v>
      </c>
      <c r="AA93" s="65">
        <v>130.19999999999999</v>
      </c>
      <c r="AB93" s="65">
        <v>130.9</v>
      </c>
      <c r="AC93" s="65">
        <v>130.5</v>
      </c>
      <c r="AD93" s="65">
        <v>130.80000000000001</v>
      </c>
      <c r="AE93" s="65">
        <v>131</v>
      </c>
      <c r="AF93" s="65">
        <v>131</v>
      </c>
      <c r="AG93" s="92"/>
      <c r="AH93" s="48">
        <f t="shared" si="10"/>
        <v>131.4</v>
      </c>
      <c r="AI93" s="49">
        <f t="shared" si="11"/>
        <v>126.6</v>
      </c>
    </row>
    <row r="94" spans="1:37" x14ac:dyDescent="0.25">
      <c r="A94" s="91" t="s">
        <v>99</v>
      </c>
      <c r="B94" s="65">
        <v>130</v>
      </c>
      <c r="C94" s="65">
        <v>130</v>
      </c>
      <c r="D94" s="65">
        <v>130</v>
      </c>
      <c r="E94" s="65">
        <v>130</v>
      </c>
      <c r="F94" s="65">
        <v>130</v>
      </c>
      <c r="G94" s="65">
        <v>130.80000000000001</v>
      </c>
      <c r="H94" s="65">
        <v>131.19999999999999</v>
      </c>
      <c r="I94" s="65">
        <v>129.30000000000001</v>
      </c>
      <c r="J94" s="65">
        <v>129.30000000000001</v>
      </c>
      <c r="K94" s="65">
        <v>129.69999999999999</v>
      </c>
      <c r="L94" s="65">
        <v>128.9</v>
      </c>
      <c r="M94" s="65">
        <v>128.69999999999999</v>
      </c>
      <c r="N94" s="65">
        <v>130.30000000000001</v>
      </c>
      <c r="O94" s="65">
        <v>128.9</v>
      </c>
      <c r="P94" s="65">
        <v>128.5</v>
      </c>
      <c r="Q94" s="65">
        <v>129.69999999999999</v>
      </c>
      <c r="R94" s="65">
        <v>130.69999999999999</v>
      </c>
      <c r="S94" s="65">
        <v>132</v>
      </c>
      <c r="T94" s="65">
        <v>130.80000000000001</v>
      </c>
      <c r="U94" s="65">
        <v>128.80000000000001</v>
      </c>
      <c r="V94" s="65">
        <v>132.80000000000001</v>
      </c>
      <c r="W94" s="65">
        <v>130.4</v>
      </c>
      <c r="X94" s="65">
        <v>129.4</v>
      </c>
      <c r="Y94" s="65">
        <v>131</v>
      </c>
      <c r="Z94" s="65">
        <v>131.4</v>
      </c>
      <c r="AA94" s="65">
        <v>131.9</v>
      </c>
      <c r="AB94" s="65">
        <v>132</v>
      </c>
      <c r="AC94" s="65">
        <v>131.6</v>
      </c>
      <c r="AD94" s="65">
        <v>132.30000000000001</v>
      </c>
      <c r="AE94" s="65">
        <v>133.6</v>
      </c>
      <c r="AF94" s="65">
        <v>133</v>
      </c>
      <c r="AG94" s="92"/>
      <c r="AH94" s="48">
        <f t="shared" si="10"/>
        <v>133.6</v>
      </c>
      <c r="AI94" s="49">
        <f t="shared" si="11"/>
        <v>128.5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10"/>
        <v>0</v>
      </c>
      <c r="AI95" s="49">
        <f t="shared" si="11"/>
        <v>0</v>
      </c>
    </row>
    <row r="96" spans="1:37" x14ac:dyDescent="0.25">
      <c r="A96" s="93" t="s">
        <v>101</v>
      </c>
      <c r="B96" s="94">
        <v>132</v>
      </c>
      <c r="C96" s="94">
        <v>132</v>
      </c>
      <c r="D96" s="94">
        <v>132</v>
      </c>
      <c r="E96" s="94">
        <v>132</v>
      </c>
      <c r="F96" s="94">
        <v>134</v>
      </c>
      <c r="G96" s="94">
        <v>130.9</v>
      </c>
      <c r="H96" s="94">
        <v>131.30000000000001</v>
      </c>
      <c r="I96" s="94">
        <v>132.4</v>
      </c>
      <c r="J96" s="94">
        <v>132.4</v>
      </c>
      <c r="K96" s="94">
        <v>133.1</v>
      </c>
      <c r="L96" s="94">
        <v>133.80000000000001</v>
      </c>
      <c r="M96" s="94">
        <v>133.80000000000001</v>
      </c>
      <c r="N96" s="94">
        <v>132.4</v>
      </c>
      <c r="O96" s="94">
        <v>133.30000000000001</v>
      </c>
      <c r="P96" s="94">
        <v>133.69999999999999</v>
      </c>
      <c r="Q96" s="94">
        <v>134.6</v>
      </c>
      <c r="R96" s="94">
        <v>133.69999999999999</v>
      </c>
      <c r="S96" s="94">
        <v>133.30000000000001</v>
      </c>
      <c r="T96" s="94">
        <v>133.5</v>
      </c>
      <c r="U96" s="94">
        <v>135.1</v>
      </c>
      <c r="V96" s="94">
        <v>133.80000000000001</v>
      </c>
      <c r="W96" s="94">
        <v>133.9</v>
      </c>
      <c r="X96" s="94">
        <v>133.9</v>
      </c>
      <c r="Y96" s="94">
        <v>131.80000000000001</v>
      </c>
      <c r="Z96" s="94">
        <v>133.6</v>
      </c>
      <c r="AA96" s="94">
        <v>134.80000000000001</v>
      </c>
      <c r="AB96" s="94">
        <v>134.80000000000001</v>
      </c>
      <c r="AC96" s="94">
        <v>134.19999999999999</v>
      </c>
      <c r="AD96" s="94">
        <v>135.1</v>
      </c>
      <c r="AE96" s="94">
        <v>135</v>
      </c>
      <c r="AF96" s="94">
        <v>134</v>
      </c>
      <c r="AG96" s="95"/>
      <c r="AH96" s="48">
        <f t="shared" si="10"/>
        <v>135.1</v>
      </c>
      <c r="AI96" s="49">
        <f t="shared" si="11"/>
        <v>130.9</v>
      </c>
    </row>
    <row r="97" spans="1:37" x14ac:dyDescent="0.25">
      <c r="A97" s="91" t="s">
        <v>102</v>
      </c>
      <c r="B97" s="65">
        <v>128</v>
      </c>
      <c r="C97" s="65">
        <v>128</v>
      </c>
      <c r="D97" s="65">
        <v>128</v>
      </c>
      <c r="E97" s="65">
        <v>128</v>
      </c>
      <c r="F97" s="65">
        <v>128</v>
      </c>
      <c r="G97" s="65">
        <v>123.4</v>
      </c>
      <c r="H97" s="65">
        <v>128</v>
      </c>
      <c r="I97" s="65">
        <v>128.6</v>
      </c>
      <c r="J97" s="65">
        <v>128.6</v>
      </c>
      <c r="K97" s="65">
        <v>131</v>
      </c>
      <c r="L97" s="65">
        <v>128</v>
      </c>
      <c r="M97" s="65">
        <v>128.6</v>
      </c>
      <c r="N97" s="65">
        <v>125.7</v>
      </c>
      <c r="O97" s="65">
        <v>129.30000000000001</v>
      </c>
      <c r="P97" s="65">
        <v>128.9</v>
      </c>
      <c r="Q97" s="65">
        <v>137.6</v>
      </c>
      <c r="R97" s="65">
        <v>133.4</v>
      </c>
      <c r="S97" s="65">
        <v>131.5</v>
      </c>
      <c r="T97" s="65">
        <v>129.80000000000001</v>
      </c>
      <c r="U97" s="65">
        <v>131.30000000000001</v>
      </c>
      <c r="V97" s="65">
        <v>132.80000000000001</v>
      </c>
      <c r="W97" s="65">
        <v>131.4</v>
      </c>
      <c r="X97" s="65">
        <v>131.4</v>
      </c>
      <c r="Y97" s="65">
        <v>132.30000000000001</v>
      </c>
      <c r="Z97" s="65">
        <v>131.9</v>
      </c>
      <c r="AA97" s="65">
        <v>132.6</v>
      </c>
      <c r="AB97" s="65">
        <v>133.69999999999999</v>
      </c>
      <c r="AC97" s="65">
        <v>133.80000000000001</v>
      </c>
      <c r="AD97" s="65">
        <v>135.6</v>
      </c>
      <c r="AE97" s="65">
        <v>133.30000000000001</v>
      </c>
      <c r="AF97" s="65">
        <v>133</v>
      </c>
      <c r="AG97" s="92"/>
      <c r="AH97" s="48">
        <f t="shared" si="10"/>
        <v>137.6</v>
      </c>
      <c r="AI97" s="49">
        <f t="shared" si="11"/>
        <v>123.4</v>
      </c>
    </row>
    <row r="98" spans="1:37" ht="15.75" thickBot="1" x14ac:dyDescent="0.3">
      <c r="A98" s="91" t="s">
        <v>103</v>
      </c>
      <c r="B98" s="96">
        <v>65.900000000000006</v>
      </c>
      <c r="C98" s="96">
        <v>65.900000000000006</v>
      </c>
      <c r="D98" s="96">
        <v>65.900000000000006</v>
      </c>
      <c r="E98" s="96">
        <v>65.900000000000006</v>
      </c>
      <c r="F98" s="96">
        <v>65.900000000000006</v>
      </c>
      <c r="G98" s="96">
        <v>65.900000000000006</v>
      </c>
      <c r="H98" s="96">
        <v>65.099999999999994</v>
      </c>
      <c r="I98" s="96">
        <v>64.3</v>
      </c>
      <c r="J98" s="96">
        <v>64.3</v>
      </c>
      <c r="K98" s="96">
        <v>63.1</v>
      </c>
      <c r="L98" s="96">
        <v>63.7</v>
      </c>
      <c r="M98" s="96">
        <v>63.8</v>
      </c>
      <c r="N98" s="96">
        <v>63.9</v>
      </c>
      <c r="O98" s="96">
        <v>63.9</v>
      </c>
      <c r="P98" s="96">
        <v>64.2</v>
      </c>
      <c r="Q98" s="96">
        <v>64</v>
      </c>
      <c r="R98" s="96">
        <v>64.099999999999994</v>
      </c>
      <c r="S98" s="96">
        <v>64.2</v>
      </c>
      <c r="T98" s="96">
        <v>64.400000000000006</v>
      </c>
      <c r="U98" s="96">
        <v>64.599999999999994</v>
      </c>
      <c r="V98" s="96">
        <v>65.5</v>
      </c>
      <c r="W98" s="96">
        <v>64.400000000000006</v>
      </c>
      <c r="X98" s="96">
        <v>64.400000000000006</v>
      </c>
      <c r="Y98" s="96">
        <v>65</v>
      </c>
      <c r="Z98" s="96">
        <v>64.900000000000006</v>
      </c>
      <c r="AA98" s="96">
        <v>65.2</v>
      </c>
      <c r="AB98" s="96">
        <v>65.8</v>
      </c>
      <c r="AC98" s="96">
        <v>65.599999999999994</v>
      </c>
      <c r="AD98" s="96">
        <v>65.8</v>
      </c>
      <c r="AE98" s="96">
        <v>65.900000000000006</v>
      </c>
      <c r="AF98" s="96">
        <v>66</v>
      </c>
      <c r="AG98" s="97"/>
      <c r="AH98" s="48">
        <f t="shared" si="10"/>
        <v>66</v>
      </c>
      <c r="AI98" s="49">
        <f t="shared" si="11"/>
        <v>63.1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10"/>
        <v>0</v>
      </c>
      <c r="AI99" s="49">
        <f t="shared" si="11"/>
        <v>0</v>
      </c>
    </row>
    <row r="100" spans="1:37" ht="15.75" thickBot="1" x14ac:dyDescent="0.3">
      <c r="A100" s="99" t="s">
        <v>104</v>
      </c>
      <c r="B100" s="100">
        <f t="shared" ref="B100:AF100" si="22">SUM(B15,B20,B22:B23,B48,B50:B51,B53,B55,B101:B105,B127,B133,B139,B148,B150,B162,B169,B172:B173,B180,B182,B184,B188:B190,B192:B194,B199,B205:B206,B208:B210,B218,B223)</f>
        <v>49.100000000000023</v>
      </c>
      <c r="C100" s="100">
        <f t="shared" si="22"/>
        <v>42.44</v>
      </c>
      <c r="D100" s="100">
        <f t="shared" si="22"/>
        <v>37.739999999999995</v>
      </c>
      <c r="E100" s="100">
        <f t="shared" si="22"/>
        <v>37.739999999999995</v>
      </c>
      <c r="F100" s="100">
        <f t="shared" si="22"/>
        <v>43.739999999999995</v>
      </c>
      <c r="G100" s="100">
        <f t="shared" si="22"/>
        <v>48.039999999999992</v>
      </c>
      <c r="H100" s="100">
        <f t="shared" si="22"/>
        <v>115.03999999999999</v>
      </c>
      <c r="I100" s="100">
        <f t="shared" si="22"/>
        <v>160.94000000000003</v>
      </c>
      <c r="J100" s="100">
        <f t="shared" si="22"/>
        <v>204.64000000000001</v>
      </c>
      <c r="K100" s="100">
        <f t="shared" si="22"/>
        <v>199.04000000000002</v>
      </c>
      <c r="L100" s="100">
        <f t="shared" si="22"/>
        <v>228.24</v>
      </c>
      <c r="M100" s="100">
        <f t="shared" si="22"/>
        <v>240.84000000000003</v>
      </c>
      <c r="N100" s="100">
        <f t="shared" si="22"/>
        <v>200.73999999999998</v>
      </c>
      <c r="O100" s="100">
        <f t="shared" si="22"/>
        <v>190.14000000000004</v>
      </c>
      <c r="P100" s="100">
        <f t="shared" si="22"/>
        <v>174.33999999999997</v>
      </c>
      <c r="Q100" s="100">
        <f t="shared" si="22"/>
        <v>158.60000000000002</v>
      </c>
      <c r="R100" s="100">
        <f t="shared" si="22"/>
        <v>154.90000000000003</v>
      </c>
      <c r="S100" s="100">
        <f t="shared" si="22"/>
        <v>152.6</v>
      </c>
      <c r="T100" s="100">
        <f t="shared" si="22"/>
        <v>158.34899999999999</v>
      </c>
      <c r="U100" s="100">
        <f t="shared" si="22"/>
        <v>166.29999999999998</v>
      </c>
      <c r="V100" s="100">
        <f t="shared" si="22"/>
        <v>194.90000000000003</v>
      </c>
      <c r="W100" s="100">
        <f t="shared" si="22"/>
        <v>216.70000000000002</v>
      </c>
      <c r="X100" s="100">
        <f t="shared" si="22"/>
        <v>216.6</v>
      </c>
      <c r="Y100" s="100">
        <f t="shared" si="22"/>
        <v>258.2</v>
      </c>
      <c r="Z100" s="100">
        <f t="shared" si="22"/>
        <v>268.30000000000007</v>
      </c>
      <c r="AA100" s="100">
        <f t="shared" si="22"/>
        <v>248.4</v>
      </c>
      <c r="AB100" s="100">
        <f t="shared" si="22"/>
        <v>189.60000000000002</v>
      </c>
      <c r="AC100" s="100">
        <f t="shared" si="22"/>
        <v>161.10000000000002</v>
      </c>
      <c r="AD100" s="100">
        <f t="shared" si="22"/>
        <v>136.9</v>
      </c>
      <c r="AE100" s="100">
        <f t="shared" si="22"/>
        <v>113.29999999999998</v>
      </c>
      <c r="AF100" s="100">
        <f t="shared" si="22"/>
        <v>61.600000000000009</v>
      </c>
      <c r="AG100" s="101"/>
      <c r="AH100" s="48">
        <f t="shared" si="10"/>
        <v>268.30000000000007</v>
      </c>
      <c r="AI100" s="49">
        <f t="shared" si="11"/>
        <v>37.739999999999995</v>
      </c>
    </row>
    <row r="101" spans="1:37" x14ac:dyDescent="0.25">
      <c r="A101" s="88" t="s">
        <v>105</v>
      </c>
      <c r="B101" s="102">
        <v>26.5</v>
      </c>
      <c r="C101" s="102">
        <v>28.3</v>
      </c>
      <c r="D101" s="102">
        <v>27.4</v>
      </c>
      <c r="E101" s="102">
        <v>27.4</v>
      </c>
      <c r="F101" s="102">
        <v>27.4</v>
      </c>
      <c r="G101" s="102">
        <v>27.4</v>
      </c>
      <c r="H101" s="102">
        <v>35.700000000000003</v>
      </c>
      <c r="I101" s="102">
        <v>48.6</v>
      </c>
      <c r="J101" s="102">
        <v>56.5</v>
      </c>
      <c r="K101" s="102">
        <v>59.4</v>
      </c>
      <c r="L101" s="102">
        <v>56.4</v>
      </c>
      <c r="M101" s="102">
        <v>55.7</v>
      </c>
      <c r="N101" s="102">
        <v>50.5</v>
      </c>
      <c r="O101" s="102">
        <v>48.4</v>
      </c>
      <c r="P101" s="102">
        <v>50</v>
      </c>
      <c r="Q101" s="102">
        <v>51.6</v>
      </c>
      <c r="R101" s="102">
        <v>46.7</v>
      </c>
      <c r="S101" s="102">
        <v>49.9</v>
      </c>
      <c r="T101" s="102">
        <v>50.048999999999999</v>
      </c>
      <c r="U101" s="102">
        <v>50.3</v>
      </c>
      <c r="V101" s="102">
        <v>47.9</v>
      </c>
      <c r="W101" s="102">
        <v>53.7</v>
      </c>
      <c r="X101" s="102">
        <v>53.7</v>
      </c>
      <c r="Y101" s="102">
        <v>38.299999999999997</v>
      </c>
      <c r="Z101" s="102">
        <v>49.5</v>
      </c>
      <c r="AA101" s="102">
        <v>48.1</v>
      </c>
      <c r="AB101" s="102">
        <v>40</v>
      </c>
      <c r="AC101" s="102">
        <v>42.9</v>
      </c>
      <c r="AD101" s="102">
        <v>48.4</v>
      </c>
      <c r="AE101" s="102">
        <v>46.8</v>
      </c>
      <c r="AF101" s="102">
        <v>34</v>
      </c>
      <c r="AG101" s="103">
        <v>75</v>
      </c>
      <c r="AH101" s="48">
        <f t="shared" si="10"/>
        <v>59.4</v>
      </c>
      <c r="AI101" s="49">
        <f t="shared" si="11"/>
        <v>26.5</v>
      </c>
    </row>
    <row r="102" spans="1:37" x14ac:dyDescent="0.25">
      <c r="A102" s="91" t="s">
        <v>106</v>
      </c>
      <c r="B102" s="104">
        <v>45.3</v>
      </c>
      <c r="C102" s="104">
        <v>47.4</v>
      </c>
      <c r="D102" s="104">
        <v>46.9</v>
      </c>
      <c r="E102" s="104">
        <v>46.9</v>
      </c>
      <c r="F102" s="104">
        <v>46.9</v>
      </c>
      <c r="G102" s="104">
        <v>46.9</v>
      </c>
      <c r="H102" s="104">
        <v>56.1</v>
      </c>
      <c r="I102" s="104">
        <v>75.2</v>
      </c>
      <c r="J102" s="104">
        <v>86.5</v>
      </c>
      <c r="K102" s="104">
        <v>88.2</v>
      </c>
      <c r="L102" s="104">
        <v>84</v>
      </c>
      <c r="M102" s="104">
        <v>82</v>
      </c>
      <c r="N102" s="104">
        <v>73.5</v>
      </c>
      <c r="O102" s="104">
        <v>69.8</v>
      </c>
      <c r="P102" s="104">
        <v>72.400000000000006</v>
      </c>
      <c r="Q102" s="104">
        <v>74.900000000000006</v>
      </c>
      <c r="R102" s="104">
        <v>68.2</v>
      </c>
      <c r="S102" s="104">
        <v>72.400000000000006</v>
      </c>
      <c r="T102" s="104">
        <v>75</v>
      </c>
      <c r="U102" s="104">
        <v>73.099999999999994</v>
      </c>
      <c r="V102" s="104">
        <v>70.5</v>
      </c>
      <c r="W102" s="104">
        <v>75.5</v>
      </c>
      <c r="X102" s="104">
        <v>75.5</v>
      </c>
      <c r="Y102" s="104">
        <v>53.9</v>
      </c>
      <c r="Z102" s="104">
        <v>71.400000000000006</v>
      </c>
      <c r="AA102" s="104">
        <v>72.3</v>
      </c>
      <c r="AB102" s="104">
        <v>58</v>
      </c>
      <c r="AC102" s="104">
        <v>63.6</v>
      </c>
      <c r="AD102" s="104">
        <v>69.7</v>
      </c>
      <c r="AE102" s="104">
        <v>68</v>
      </c>
      <c r="AF102" s="104">
        <v>54.2</v>
      </c>
      <c r="AG102" s="103">
        <v>240</v>
      </c>
      <c r="AH102" s="48">
        <f t="shared" si="10"/>
        <v>88.2</v>
      </c>
      <c r="AI102" s="49">
        <f t="shared" si="11"/>
        <v>45.3</v>
      </c>
    </row>
    <row r="103" spans="1:37" x14ac:dyDescent="0.25">
      <c r="A103" s="91" t="s">
        <v>107</v>
      </c>
      <c r="B103" s="104">
        <v>-125</v>
      </c>
      <c r="C103" s="104">
        <v>-134</v>
      </c>
      <c r="D103" s="104">
        <v>-136</v>
      </c>
      <c r="E103" s="104">
        <v>-136</v>
      </c>
      <c r="F103" s="104">
        <v>-130</v>
      </c>
      <c r="G103" s="104">
        <f>-64.2-61.5</f>
        <v>-125.7</v>
      </c>
      <c r="H103" s="104">
        <f>-57.3-61.3</f>
        <v>-118.6</v>
      </c>
      <c r="I103" s="104">
        <f>-59.6-62.9</f>
        <v>-122.5</v>
      </c>
      <c r="J103" s="104">
        <f>-55.7-59.9</f>
        <v>-115.6</v>
      </c>
      <c r="K103" s="104">
        <f>-60.4-64.6</f>
        <v>-125</v>
      </c>
      <c r="L103" s="104">
        <v>-131</v>
      </c>
      <c r="M103" s="104">
        <f>-59-64.7</f>
        <v>-123.7</v>
      </c>
      <c r="N103" s="104">
        <f>-63-67</f>
        <v>-130</v>
      </c>
      <c r="O103" s="104">
        <f>-65-69.6</f>
        <v>-134.6</v>
      </c>
      <c r="P103" s="104">
        <f>-68-72</f>
        <v>-140</v>
      </c>
      <c r="Q103" s="104">
        <f>-76-80</f>
        <v>-156</v>
      </c>
      <c r="R103" s="104">
        <f>-74-78</f>
        <v>-152</v>
      </c>
      <c r="S103" s="104">
        <v>-155</v>
      </c>
      <c r="T103" s="104">
        <v>-134</v>
      </c>
      <c r="U103" s="104">
        <v>-124</v>
      </c>
      <c r="V103" s="104">
        <f>-49.5-53</f>
        <v>-102.5</v>
      </c>
      <c r="W103" s="104">
        <f>-41.9-44.4</f>
        <v>-86.3</v>
      </c>
      <c r="X103" s="104">
        <f>-41.9-44.4</f>
        <v>-86.3</v>
      </c>
      <c r="Y103" s="104">
        <f>-22.9-25.4</f>
        <v>-48.3</v>
      </c>
      <c r="Z103" s="104">
        <f>-42.6-45.1</f>
        <v>-87.7</v>
      </c>
      <c r="AA103" s="104">
        <f>-44.5-47.9</f>
        <v>-92.4</v>
      </c>
      <c r="AB103" s="104">
        <v>-105</v>
      </c>
      <c r="AC103" s="104">
        <f>-65-69</f>
        <v>-134</v>
      </c>
      <c r="AD103" s="104">
        <f>-63.1-67</f>
        <v>-130.1</v>
      </c>
      <c r="AE103" s="104">
        <f>-70-73</f>
        <v>-143</v>
      </c>
      <c r="AF103" s="104">
        <f>-65-68</f>
        <v>-133</v>
      </c>
      <c r="AG103" s="103">
        <v>240</v>
      </c>
      <c r="AH103" s="48">
        <f t="shared" si="10"/>
        <v>-48.3</v>
      </c>
      <c r="AI103" s="49">
        <f t="shared" si="11"/>
        <v>-156</v>
      </c>
    </row>
    <row r="104" spans="1:37" x14ac:dyDescent="0.25">
      <c r="A104" s="91" t="s">
        <v>108</v>
      </c>
      <c r="B104" s="104">
        <v>-8</v>
      </c>
      <c r="C104" s="104">
        <v>-10.5</v>
      </c>
      <c r="D104" s="104">
        <v>-11.8</v>
      </c>
      <c r="E104" s="104">
        <v>-11.8</v>
      </c>
      <c r="F104" s="104">
        <v>-11.8</v>
      </c>
      <c r="G104" s="104">
        <v>-11.8</v>
      </c>
      <c r="H104" s="104">
        <v>-5.4</v>
      </c>
      <c r="I104" s="104">
        <v>-2.6</v>
      </c>
      <c r="J104" s="104">
        <v>0</v>
      </c>
      <c r="K104" s="104">
        <v>-0.8</v>
      </c>
      <c r="L104" s="104">
        <v>-2.4</v>
      </c>
      <c r="M104" s="104">
        <v>-2.5</v>
      </c>
      <c r="N104" s="104">
        <v>-2.2000000000000002</v>
      </c>
      <c r="O104" s="104">
        <v>-1</v>
      </c>
      <c r="P104" s="104">
        <v>1.1000000000000001</v>
      </c>
      <c r="Q104" s="104">
        <v>-1.1000000000000001</v>
      </c>
      <c r="R104" s="104">
        <v>-2.2000000000000002</v>
      </c>
      <c r="S104" s="104">
        <v>0</v>
      </c>
      <c r="T104" s="104">
        <v>-2.8</v>
      </c>
      <c r="U104" s="104">
        <v>5.9</v>
      </c>
      <c r="V104" s="104">
        <v>11.3</v>
      </c>
      <c r="W104" s="104">
        <v>14.1</v>
      </c>
      <c r="X104" s="104">
        <v>14.1</v>
      </c>
      <c r="Y104" s="104">
        <v>20.7</v>
      </c>
      <c r="Z104" s="104">
        <v>15.8</v>
      </c>
      <c r="AA104" s="104">
        <v>15.6</v>
      </c>
      <c r="AB104" s="104">
        <v>11.9</v>
      </c>
      <c r="AC104" s="104">
        <v>7.4</v>
      </c>
      <c r="AD104" s="104">
        <v>6.8</v>
      </c>
      <c r="AE104" s="104">
        <v>-0.6</v>
      </c>
      <c r="AF104" s="104">
        <v>-5.7</v>
      </c>
      <c r="AG104" s="103">
        <v>60</v>
      </c>
      <c r="AH104" s="48">
        <f t="shared" si="10"/>
        <v>20.7</v>
      </c>
      <c r="AI104" s="49">
        <f t="shared" si="11"/>
        <v>-11.8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42.4</v>
      </c>
      <c r="M105" s="106">
        <v>42.5</v>
      </c>
      <c r="N105" s="106">
        <v>42.1</v>
      </c>
      <c r="O105" s="106">
        <v>40.700000000000003</v>
      </c>
      <c r="P105" s="106">
        <v>38.4</v>
      </c>
      <c r="Q105" s="106">
        <v>37.700000000000003</v>
      </c>
      <c r="R105" s="106">
        <v>38</v>
      </c>
      <c r="S105" s="106">
        <v>37.6</v>
      </c>
      <c r="T105" s="106">
        <v>0</v>
      </c>
      <c r="U105" s="106">
        <v>0</v>
      </c>
      <c r="V105" s="106">
        <v>0</v>
      </c>
      <c r="W105" s="106">
        <v>0</v>
      </c>
      <c r="X105" s="106">
        <v>0</v>
      </c>
      <c r="Y105" s="106">
        <v>45.4</v>
      </c>
      <c r="Z105" s="106">
        <v>42</v>
      </c>
      <c r="AA105" s="106">
        <v>42.1</v>
      </c>
      <c r="AB105" s="106">
        <v>38.799999999999997</v>
      </c>
      <c r="AC105" s="106">
        <v>38.700000000000003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10"/>
        <v>45.4</v>
      </c>
      <c r="AI105" s="49">
        <f t="shared" si="11"/>
        <v>0</v>
      </c>
    </row>
    <row r="106" spans="1:37" x14ac:dyDescent="0.25">
      <c r="A106" s="105" t="s">
        <v>110</v>
      </c>
      <c r="B106" s="106">
        <v>-2.2999999999999998</v>
      </c>
      <c r="C106" s="106">
        <v>-19.5</v>
      </c>
      <c r="D106" s="106">
        <v>-19.5</v>
      </c>
      <c r="E106" s="106">
        <v>-19.5</v>
      </c>
      <c r="F106" s="106">
        <v>-19.5</v>
      </c>
      <c r="G106" s="106">
        <v>-19.5</v>
      </c>
      <c r="H106" s="106">
        <v>-2.6</v>
      </c>
      <c r="I106" s="106">
        <v>-9.4</v>
      </c>
      <c r="J106" s="106">
        <v>-12.7</v>
      </c>
      <c r="K106" s="106">
        <v>-10.1</v>
      </c>
      <c r="L106" s="106">
        <v>-15.3</v>
      </c>
      <c r="M106" s="106">
        <v>-4.0999999999999996</v>
      </c>
      <c r="N106" s="106">
        <v>-8.1999999999999993</v>
      </c>
      <c r="O106" s="106">
        <v>-14.6</v>
      </c>
      <c r="P106" s="106">
        <v>-33</v>
      </c>
      <c r="Q106" s="106">
        <v>-51.6</v>
      </c>
      <c r="R106" s="106">
        <v>-47.1</v>
      </c>
      <c r="S106" s="106">
        <v>-65.5</v>
      </c>
      <c r="T106" s="106">
        <v>-32.5</v>
      </c>
      <c r="U106" s="106">
        <v>-13.5</v>
      </c>
      <c r="V106" s="106">
        <v>-7.1</v>
      </c>
      <c r="W106" s="106">
        <v>7.6</v>
      </c>
      <c r="X106" s="106">
        <v>7.6</v>
      </c>
      <c r="Y106" s="106">
        <v>40.799999999999997</v>
      </c>
      <c r="Z106" s="106">
        <v>0</v>
      </c>
      <c r="AA106" s="106">
        <v>-2.1</v>
      </c>
      <c r="AB106" s="106">
        <v>-15</v>
      </c>
      <c r="AC106" s="106">
        <v>-33.6</v>
      </c>
      <c r="AD106" s="106">
        <v>-37</v>
      </c>
      <c r="AE106" s="106">
        <v>-46.2</v>
      </c>
      <c r="AF106" s="106">
        <v>-19</v>
      </c>
      <c r="AG106" s="107"/>
      <c r="AH106" s="48">
        <f t="shared" si="10"/>
        <v>40.799999999999997</v>
      </c>
      <c r="AI106" s="49">
        <f t="shared" si="11"/>
        <v>-65.5</v>
      </c>
    </row>
    <row r="107" spans="1:37" x14ac:dyDescent="0.25">
      <c r="A107" s="105" t="s">
        <v>111</v>
      </c>
      <c r="B107" s="106">
        <v>-60.6</v>
      </c>
      <c r="C107" s="106">
        <v>-54.5</v>
      </c>
      <c r="D107" s="106">
        <v>-54.4</v>
      </c>
      <c r="E107" s="106">
        <v>-54.4</v>
      </c>
      <c r="F107" s="106">
        <v>-54.4</v>
      </c>
      <c r="G107" s="106">
        <v>-54.4</v>
      </c>
      <c r="H107" s="106">
        <v>-58.6</v>
      </c>
      <c r="I107" s="106">
        <v>-49.4</v>
      </c>
      <c r="J107" s="106">
        <v>-50.6</v>
      </c>
      <c r="K107" s="106">
        <v>-70</v>
      </c>
      <c r="L107" s="106">
        <v>-51.3</v>
      </c>
      <c r="M107" s="106">
        <v>-46.4</v>
      </c>
      <c r="N107" s="106">
        <v>-45</v>
      </c>
      <c r="O107" s="106">
        <v>-44.5</v>
      </c>
      <c r="P107" s="106">
        <v>-44</v>
      </c>
      <c r="Q107" s="106">
        <v>-38.4</v>
      </c>
      <c r="R107" s="106">
        <v>-41</v>
      </c>
      <c r="S107" s="106">
        <v>-38.5</v>
      </c>
      <c r="T107" s="106">
        <v>-44</v>
      </c>
      <c r="U107" s="106">
        <v>-45</v>
      </c>
      <c r="V107" s="106">
        <v>-10</v>
      </c>
      <c r="W107" s="106">
        <v>-14</v>
      </c>
      <c r="X107" s="106">
        <v>-14</v>
      </c>
      <c r="Y107" s="106">
        <v>10</v>
      </c>
      <c r="Z107" s="106">
        <v>5</v>
      </c>
      <c r="AA107" s="106">
        <v>12</v>
      </c>
      <c r="AB107" s="106">
        <v>5</v>
      </c>
      <c r="AC107" s="106">
        <v>-52.1</v>
      </c>
      <c r="AD107" s="106"/>
      <c r="AE107" s="106">
        <v>-40.700000000000003</v>
      </c>
      <c r="AF107" s="106"/>
      <c r="AG107" s="108"/>
      <c r="AH107" s="48">
        <f t="shared" si="10"/>
        <v>12</v>
      </c>
      <c r="AI107" s="49">
        <f t="shared" si="11"/>
        <v>-70</v>
      </c>
    </row>
    <row r="108" spans="1:37" x14ac:dyDescent="0.25">
      <c r="A108" s="109" t="s">
        <v>112</v>
      </c>
      <c r="B108" s="94">
        <v>100</v>
      </c>
      <c r="C108" s="94">
        <v>96.3</v>
      </c>
      <c r="D108" s="94">
        <v>82.8</v>
      </c>
      <c r="E108" s="94">
        <v>82.8</v>
      </c>
      <c r="F108" s="94">
        <v>82.8</v>
      </c>
      <c r="G108" s="94">
        <v>82.8</v>
      </c>
      <c r="H108" s="94">
        <v>82.8</v>
      </c>
      <c r="I108" s="94">
        <v>76.599999999999994</v>
      </c>
      <c r="J108" s="94">
        <v>69.900000000000006</v>
      </c>
      <c r="K108" s="94">
        <v>68.2</v>
      </c>
      <c r="L108" s="94">
        <v>76.599999999999994</v>
      </c>
      <c r="M108" s="94">
        <v>78.2</v>
      </c>
      <c r="N108" s="94">
        <v>51.4</v>
      </c>
      <c r="O108" s="94">
        <v>55.5</v>
      </c>
      <c r="P108" s="94">
        <v>88.9</v>
      </c>
      <c r="Q108" s="94">
        <v>88.3</v>
      </c>
      <c r="R108" s="94">
        <v>92</v>
      </c>
      <c r="S108" s="94">
        <v>77.2</v>
      </c>
      <c r="T108" s="94">
        <v>81.7</v>
      </c>
      <c r="U108" s="94">
        <v>84.3</v>
      </c>
      <c r="V108" s="94">
        <v>69.2</v>
      </c>
      <c r="W108" s="94">
        <v>65</v>
      </c>
      <c r="X108" s="94">
        <v>65</v>
      </c>
      <c r="Y108" s="94">
        <v>57.4</v>
      </c>
      <c r="Z108" s="94">
        <v>68.8</v>
      </c>
      <c r="AA108" s="94">
        <v>71.7</v>
      </c>
      <c r="AB108" s="94">
        <v>82</v>
      </c>
      <c r="AC108" s="94">
        <v>85.1</v>
      </c>
      <c r="AD108" s="94">
        <v>85.4</v>
      </c>
      <c r="AE108" s="94">
        <v>86.9</v>
      </c>
      <c r="AF108" s="94">
        <v>93</v>
      </c>
      <c r="AG108" s="108"/>
      <c r="AH108" s="48">
        <f t="shared" si="10"/>
        <v>100</v>
      </c>
      <c r="AI108" s="49">
        <f t="shared" si="11"/>
        <v>51.4</v>
      </c>
    </row>
    <row r="109" spans="1:37" ht="15.75" thickBot="1" x14ac:dyDescent="0.3">
      <c r="A109" s="109" t="s">
        <v>113</v>
      </c>
      <c r="B109" s="94">
        <v>90</v>
      </c>
      <c r="C109" s="94">
        <v>97</v>
      </c>
      <c r="D109" s="94">
        <v>99</v>
      </c>
      <c r="E109" s="94">
        <v>98</v>
      </c>
      <c r="F109" s="94">
        <v>89</v>
      </c>
      <c r="G109" s="94">
        <v>89</v>
      </c>
      <c r="H109" s="94">
        <v>90</v>
      </c>
      <c r="I109" s="94">
        <v>95</v>
      </c>
      <c r="J109" s="94">
        <v>96</v>
      </c>
      <c r="K109" s="94">
        <v>93.6</v>
      </c>
      <c r="L109" s="94">
        <v>97</v>
      </c>
      <c r="M109" s="94">
        <v>93</v>
      </c>
      <c r="N109" s="94">
        <v>94.5</v>
      </c>
      <c r="O109" s="94">
        <v>102.3</v>
      </c>
      <c r="P109" s="94">
        <v>104</v>
      </c>
      <c r="Q109" s="94">
        <v>113.3</v>
      </c>
      <c r="R109" s="94">
        <v>109</v>
      </c>
      <c r="S109" s="94">
        <v>115.7</v>
      </c>
      <c r="T109" s="94">
        <v>100.2</v>
      </c>
      <c r="U109" s="94">
        <v>91.8</v>
      </c>
      <c r="V109" s="94">
        <v>78.599999999999994</v>
      </c>
      <c r="W109" s="94">
        <v>65.099999999999994</v>
      </c>
      <c r="X109" s="94">
        <v>65.099999999999994</v>
      </c>
      <c r="Y109" s="94">
        <v>32.700000000000003</v>
      </c>
      <c r="Z109" s="94">
        <v>66.3</v>
      </c>
      <c r="AA109" s="94">
        <v>71.8</v>
      </c>
      <c r="AB109" s="94">
        <v>75</v>
      </c>
      <c r="AC109" s="94">
        <v>99</v>
      </c>
      <c r="AD109" s="94">
        <v>97.4</v>
      </c>
      <c r="AE109" s="94">
        <v>104</v>
      </c>
      <c r="AF109" s="94">
        <v>98</v>
      </c>
      <c r="AG109" s="108"/>
      <c r="AH109" s="48">
        <f t="shared" si="10"/>
        <v>115.7</v>
      </c>
      <c r="AI109" s="49">
        <f t="shared" si="11"/>
        <v>32.700000000000003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23">SUM(B111:B215)</f>
        <v>0</v>
      </c>
      <c r="C216" s="125">
        <f t="shared" si="23"/>
        <v>0</v>
      </c>
      <c r="D216" s="125">
        <f t="shared" si="23"/>
        <v>0</v>
      </c>
      <c r="E216" s="125">
        <f t="shared" si="23"/>
        <v>0</v>
      </c>
      <c r="F216" s="125">
        <f t="shared" si="23"/>
        <v>0</v>
      </c>
      <c r="G216" s="125">
        <f t="shared" si="23"/>
        <v>0</v>
      </c>
      <c r="H216" s="125">
        <f t="shared" si="23"/>
        <v>0</v>
      </c>
      <c r="I216" s="125">
        <f t="shared" si="23"/>
        <v>0</v>
      </c>
      <c r="J216" s="125">
        <f t="shared" si="23"/>
        <v>0</v>
      </c>
      <c r="K216" s="125">
        <f t="shared" si="23"/>
        <v>0</v>
      </c>
      <c r="L216" s="125">
        <f t="shared" si="23"/>
        <v>0</v>
      </c>
      <c r="M216" s="125">
        <f t="shared" si="23"/>
        <v>0</v>
      </c>
      <c r="N216" s="125">
        <f t="shared" si="23"/>
        <v>0</v>
      </c>
      <c r="O216" s="125">
        <f t="shared" si="23"/>
        <v>0</v>
      </c>
      <c r="P216" s="125">
        <f t="shared" si="23"/>
        <v>0</v>
      </c>
      <c r="Q216" s="125">
        <f t="shared" si="23"/>
        <v>0</v>
      </c>
      <c r="R216" s="125">
        <f t="shared" si="23"/>
        <v>0</v>
      </c>
      <c r="S216" s="125">
        <f t="shared" si="23"/>
        <v>0</v>
      </c>
      <c r="T216" s="125">
        <f t="shared" si="23"/>
        <v>0</v>
      </c>
      <c r="U216" s="125">
        <f t="shared" si="23"/>
        <v>0</v>
      </c>
      <c r="V216" s="125">
        <f t="shared" si="23"/>
        <v>0</v>
      </c>
      <c r="W216" s="125">
        <f t="shared" si="23"/>
        <v>0</v>
      </c>
      <c r="X216" s="125">
        <f t="shared" si="23"/>
        <v>0</v>
      </c>
      <c r="Y216" s="125">
        <f t="shared" si="23"/>
        <v>0</v>
      </c>
      <c r="Z216" s="125">
        <f t="shared" si="23"/>
        <v>0</v>
      </c>
      <c r="AA216" s="125">
        <f t="shared" si="23"/>
        <v>0</v>
      </c>
      <c r="AB216" s="125">
        <f t="shared" si="23"/>
        <v>0</v>
      </c>
      <c r="AC216" s="125">
        <f t="shared" si="23"/>
        <v>0</v>
      </c>
      <c r="AD216" s="125">
        <f t="shared" si="23"/>
        <v>0</v>
      </c>
      <c r="AE216" s="125">
        <f t="shared" si="23"/>
        <v>0</v>
      </c>
      <c r="AF216" s="126">
        <f t="shared" si="23"/>
        <v>0</v>
      </c>
      <c r="AG216" s="127">
        <f t="shared" si="23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24">AF218</f>
        <v>0</v>
      </c>
      <c r="C218" s="129">
        <v>0.3</v>
      </c>
      <c r="D218" s="129">
        <f t="shared" ref="D218:P223" si="25">C218</f>
        <v>0.3</v>
      </c>
      <c r="E218" s="129">
        <f t="shared" si="25"/>
        <v>0.3</v>
      </c>
      <c r="F218" s="129">
        <f t="shared" si="25"/>
        <v>0.3</v>
      </c>
      <c r="G218" s="129">
        <f t="shared" si="25"/>
        <v>0.3</v>
      </c>
      <c r="H218" s="129">
        <f t="shared" si="25"/>
        <v>0.3</v>
      </c>
      <c r="I218" s="129">
        <f t="shared" si="25"/>
        <v>0.3</v>
      </c>
      <c r="J218" s="129">
        <f t="shared" si="25"/>
        <v>0.3</v>
      </c>
      <c r="K218" s="129">
        <f t="shared" si="25"/>
        <v>0.3</v>
      </c>
      <c r="L218" s="129">
        <f t="shared" si="25"/>
        <v>0.3</v>
      </c>
      <c r="M218" s="129">
        <f t="shared" si="25"/>
        <v>0.3</v>
      </c>
      <c r="N218" s="129">
        <f t="shared" si="25"/>
        <v>0.3</v>
      </c>
      <c r="O218" s="129">
        <f t="shared" si="25"/>
        <v>0.3</v>
      </c>
      <c r="P218" s="129">
        <f t="shared" si="25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24"/>
        <v>0</v>
      </c>
      <c r="C219" s="117">
        <v>0.4</v>
      </c>
      <c r="D219" s="117">
        <f t="shared" si="25"/>
        <v>0.4</v>
      </c>
      <c r="E219" s="117">
        <f t="shared" si="25"/>
        <v>0.4</v>
      </c>
      <c r="F219" s="117">
        <f t="shared" si="25"/>
        <v>0.4</v>
      </c>
      <c r="G219" s="117">
        <f t="shared" si="25"/>
        <v>0.4</v>
      </c>
      <c r="H219" s="117">
        <f t="shared" si="25"/>
        <v>0.4</v>
      </c>
      <c r="I219" s="117">
        <f t="shared" si="25"/>
        <v>0.4</v>
      </c>
      <c r="J219" s="117">
        <f t="shared" si="25"/>
        <v>0.4</v>
      </c>
      <c r="K219" s="117">
        <f t="shared" si="25"/>
        <v>0.4</v>
      </c>
      <c r="L219" s="117">
        <f t="shared" si="25"/>
        <v>0.4</v>
      </c>
      <c r="M219" s="117">
        <f t="shared" si="25"/>
        <v>0.4</v>
      </c>
      <c r="N219" s="117">
        <f t="shared" si="25"/>
        <v>0.4</v>
      </c>
      <c r="O219" s="117">
        <f t="shared" si="25"/>
        <v>0.4</v>
      </c>
      <c r="P219" s="117">
        <f t="shared" si="25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24"/>
        <v>0</v>
      </c>
      <c r="C220" s="117">
        <v>1.5</v>
      </c>
      <c r="D220" s="117">
        <f t="shared" si="25"/>
        <v>1.5</v>
      </c>
      <c r="E220" s="117">
        <f t="shared" si="25"/>
        <v>1.5</v>
      </c>
      <c r="F220" s="117">
        <f t="shared" si="25"/>
        <v>1.5</v>
      </c>
      <c r="G220" s="117">
        <f t="shared" si="25"/>
        <v>1.5</v>
      </c>
      <c r="H220" s="117">
        <f t="shared" si="25"/>
        <v>1.5</v>
      </c>
      <c r="I220" s="117">
        <f t="shared" si="25"/>
        <v>1.5</v>
      </c>
      <c r="J220" s="117">
        <f t="shared" si="25"/>
        <v>1.5</v>
      </c>
      <c r="K220" s="117">
        <f t="shared" si="25"/>
        <v>1.5</v>
      </c>
      <c r="L220" s="117">
        <f t="shared" si="25"/>
        <v>1.5</v>
      </c>
      <c r="M220" s="117">
        <f t="shared" si="25"/>
        <v>1.5</v>
      </c>
      <c r="N220" s="117">
        <f t="shared" si="25"/>
        <v>1.5</v>
      </c>
      <c r="O220" s="117">
        <f t="shared" si="25"/>
        <v>1.5</v>
      </c>
      <c r="P220" s="117">
        <f t="shared" si="25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24"/>
        <v>0</v>
      </c>
      <c r="C221" s="117">
        <v>0.3</v>
      </c>
      <c r="D221" s="117">
        <f t="shared" si="25"/>
        <v>0.3</v>
      </c>
      <c r="E221" s="117">
        <f t="shared" si="25"/>
        <v>0.3</v>
      </c>
      <c r="F221" s="117">
        <f t="shared" si="25"/>
        <v>0.3</v>
      </c>
      <c r="G221" s="117">
        <f t="shared" si="25"/>
        <v>0.3</v>
      </c>
      <c r="H221" s="117">
        <f t="shared" si="25"/>
        <v>0.3</v>
      </c>
      <c r="I221" s="117">
        <f t="shared" si="25"/>
        <v>0.3</v>
      </c>
      <c r="J221" s="117">
        <f t="shared" si="25"/>
        <v>0.3</v>
      </c>
      <c r="K221" s="117">
        <f t="shared" si="25"/>
        <v>0.3</v>
      </c>
      <c r="L221" s="117">
        <f t="shared" si="25"/>
        <v>0.3</v>
      </c>
      <c r="M221" s="117">
        <f t="shared" si="25"/>
        <v>0.3</v>
      </c>
      <c r="N221" s="117">
        <f t="shared" si="25"/>
        <v>0.3</v>
      </c>
      <c r="O221" s="117">
        <f t="shared" si="25"/>
        <v>0.3</v>
      </c>
      <c r="P221" s="117">
        <f t="shared" si="25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24"/>
        <v>0</v>
      </c>
      <c r="C222" s="117">
        <v>0.4</v>
      </c>
      <c r="D222" s="117">
        <f t="shared" si="25"/>
        <v>0.4</v>
      </c>
      <c r="E222" s="117">
        <f t="shared" si="25"/>
        <v>0.4</v>
      </c>
      <c r="F222" s="117">
        <f t="shared" si="25"/>
        <v>0.4</v>
      </c>
      <c r="G222" s="117">
        <f t="shared" si="25"/>
        <v>0.4</v>
      </c>
      <c r="H222" s="117">
        <f t="shared" si="25"/>
        <v>0.4</v>
      </c>
      <c r="I222" s="117">
        <f t="shared" si="25"/>
        <v>0.4</v>
      </c>
      <c r="J222" s="117">
        <f t="shared" si="25"/>
        <v>0.4</v>
      </c>
      <c r="K222" s="117">
        <f t="shared" si="25"/>
        <v>0.4</v>
      </c>
      <c r="L222" s="117">
        <f t="shared" si="25"/>
        <v>0.4</v>
      </c>
      <c r="M222" s="117">
        <f t="shared" si="25"/>
        <v>0.4</v>
      </c>
      <c r="N222" s="117">
        <f t="shared" si="25"/>
        <v>0.4</v>
      </c>
      <c r="O222" s="117">
        <f t="shared" si="25"/>
        <v>0.4</v>
      </c>
      <c r="P222" s="117">
        <f t="shared" si="25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24"/>
        <v>0</v>
      </c>
      <c r="C223" s="121">
        <v>0.64</v>
      </c>
      <c r="D223" s="121">
        <f t="shared" si="25"/>
        <v>0.64</v>
      </c>
      <c r="E223" s="121">
        <f t="shared" si="25"/>
        <v>0.64</v>
      </c>
      <c r="F223" s="121">
        <f t="shared" si="25"/>
        <v>0.64</v>
      </c>
      <c r="G223" s="121">
        <f t="shared" si="25"/>
        <v>0.64</v>
      </c>
      <c r="H223" s="121">
        <f t="shared" si="25"/>
        <v>0.64</v>
      </c>
      <c r="I223" s="121">
        <f t="shared" si="25"/>
        <v>0.64</v>
      </c>
      <c r="J223" s="121">
        <f t="shared" si="25"/>
        <v>0.64</v>
      </c>
      <c r="K223" s="121">
        <f t="shared" si="25"/>
        <v>0.64</v>
      </c>
      <c r="L223" s="121">
        <f t="shared" si="25"/>
        <v>0.64</v>
      </c>
      <c r="M223" s="121">
        <f t="shared" si="25"/>
        <v>0.64</v>
      </c>
      <c r="N223" s="121">
        <f t="shared" si="25"/>
        <v>0.64</v>
      </c>
      <c r="O223" s="121">
        <f t="shared" si="25"/>
        <v>0.64</v>
      </c>
      <c r="P223" s="121">
        <f t="shared" si="25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6">SUM(B218:B223)</f>
        <v>0</v>
      </c>
      <c r="C224" s="125">
        <f t="shared" si="26"/>
        <v>3.54</v>
      </c>
      <c r="D224" s="125">
        <f t="shared" si="26"/>
        <v>3.54</v>
      </c>
      <c r="E224" s="125">
        <f t="shared" si="26"/>
        <v>3.54</v>
      </c>
      <c r="F224" s="125">
        <f t="shared" si="26"/>
        <v>3.54</v>
      </c>
      <c r="G224" s="125">
        <f t="shared" si="26"/>
        <v>3.54</v>
      </c>
      <c r="H224" s="125">
        <f t="shared" si="26"/>
        <v>3.54</v>
      </c>
      <c r="I224" s="125">
        <f t="shared" si="26"/>
        <v>3.54</v>
      </c>
      <c r="J224" s="125">
        <f t="shared" si="26"/>
        <v>3.54</v>
      </c>
      <c r="K224" s="125">
        <f t="shared" si="26"/>
        <v>3.54</v>
      </c>
      <c r="L224" s="125">
        <f t="shared" si="26"/>
        <v>3.54</v>
      </c>
      <c r="M224" s="125">
        <f t="shared" si="26"/>
        <v>3.54</v>
      </c>
      <c r="N224" s="125">
        <f t="shared" si="26"/>
        <v>3.54</v>
      </c>
      <c r="O224" s="125">
        <f t="shared" si="26"/>
        <v>3.54</v>
      </c>
      <c r="P224" s="125">
        <f t="shared" si="26"/>
        <v>3.54</v>
      </c>
      <c r="Q224" s="125">
        <f t="shared" si="26"/>
        <v>0</v>
      </c>
      <c r="R224" s="125">
        <f t="shared" si="26"/>
        <v>0</v>
      </c>
      <c r="S224" s="125">
        <f t="shared" si="26"/>
        <v>0</v>
      </c>
      <c r="T224" s="125">
        <f t="shared" si="26"/>
        <v>0</v>
      </c>
      <c r="U224" s="125">
        <f t="shared" si="26"/>
        <v>0</v>
      </c>
      <c r="V224" s="125">
        <f t="shared" si="26"/>
        <v>0</v>
      </c>
      <c r="W224" s="125">
        <f t="shared" si="26"/>
        <v>0</v>
      </c>
      <c r="X224" s="125">
        <f t="shared" si="26"/>
        <v>0</v>
      </c>
      <c r="Y224" s="125">
        <f t="shared" si="26"/>
        <v>0</v>
      </c>
      <c r="Z224" s="125">
        <f t="shared" si="26"/>
        <v>0</v>
      </c>
      <c r="AA224" s="125">
        <f t="shared" si="26"/>
        <v>0</v>
      </c>
      <c r="AB224" s="125">
        <f t="shared" si="26"/>
        <v>0</v>
      </c>
      <c r="AC224" s="125">
        <f t="shared" si="26"/>
        <v>0</v>
      </c>
      <c r="AD224" s="125">
        <f t="shared" si="26"/>
        <v>0</v>
      </c>
      <c r="AE224" s="125">
        <f t="shared" si="26"/>
        <v>0</v>
      </c>
      <c r="AF224" s="125">
        <f t="shared" si="26"/>
        <v>0</v>
      </c>
      <c r="AG224" s="134">
        <f t="shared" si="26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1324.1399999999999</v>
      </c>
      <c r="C233" s="150">
        <f>INDEX(G9:N9,1,MATCH(MAX(G81:N81),G81:N81,0))</f>
        <v>0.33333333333333331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18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2079/06/18)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2079/06/18)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27">B81</f>
        <v>1070.2399999999998</v>
      </c>
      <c r="U238" s="159">
        <f t="shared" si="27"/>
        <v>1064.94</v>
      </c>
      <c r="V238" s="159">
        <f t="shared" si="27"/>
        <v>1068.8399999999999</v>
      </c>
      <c r="W238" s="159">
        <f t="shared" si="27"/>
        <v>1053.8399999999999</v>
      </c>
      <c r="X238" s="159">
        <f t="shared" si="27"/>
        <v>1063.8399999999999</v>
      </c>
      <c r="Y238" s="159">
        <f t="shared" si="27"/>
        <v>1083.8399999999999</v>
      </c>
      <c r="Z238" s="159">
        <f t="shared" si="27"/>
        <v>1170.6399999999999</v>
      </c>
      <c r="AA238" s="159">
        <f t="shared" si="27"/>
        <v>1223.6399999999999</v>
      </c>
      <c r="AB238" s="159">
        <f t="shared" si="27"/>
        <v>1264.6399999999999</v>
      </c>
      <c r="AC238" s="159">
        <f t="shared" si="27"/>
        <v>1302.8400000000001</v>
      </c>
      <c r="AD238" s="159">
        <f t="shared" si="27"/>
        <v>1323.1399999999999</v>
      </c>
      <c r="AE238" s="159">
        <f t="shared" si="27"/>
        <v>1324.1399999999999</v>
      </c>
      <c r="AF238" s="159">
        <f t="shared" si="27"/>
        <v>1242.54</v>
      </c>
      <c r="AG238" s="159">
        <f t="shared" si="27"/>
        <v>1227.6399999999999</v>
      </c>
      <c r="AH238" s="159">
        <f t="shared" si="27"/>
        <v>1225.44</v>
      </c>
      <c r="AI238" s="159">
        <f t="shared" si="27"/>
        <v>1222.44</v>
      </c>
      <c r="AJ238" s="159">
        <f t="shared" si="27"/>
        <v>1222.54</v>
      </c>
      <c r="AK238" s="159">
        <f t="shared" si="27"/>
        <v>1225.1399999999999</v>
      </c>
      <c r="AL238" s="159">
        <f t="shared" si="27"/>
        <v>1234.24</v>
      </c>
      <c r="AM238" s="159">
        <f t="shared" si="27"/>
        <v>1228.54</v>
      </c>
      <c r="AN238" s="159">
        <f t="shared" si="27"/>
        <v>1294.6399999999999</v>
      </c>
      <c r="AO238" s="159">
        <f t="shared" si="27"/>
        <v>1371.54</v>
      </c>
      <c r="AP238" s="159">
        <f t="shared" si="27"/>
        <v>1498.2399999999998</v>
      </c>
      <c r="AQ238" s="159">
        <f t="shared" si="27"/>
        <v>1553.2399999999998</v>
      </c>
      <c r="AR238" s="159">
        <f t="shared" si="27"/>
        <v>1607.74</v>
      </c>
      <c r="AS238" s="159">
        <f t="shared" si="27"/>
        <v>1550.1399999999999</v>
      </c>
      <c r="AT238" s="159">
        <f t="shared" si="27"/>
        <v>1532.8399999999997</v>
      </c>
      <c r="AU238" s="159">
        <f t="shared" si="27"/>
        <v>1529.4399999999998</v>
      </c>
      <c r="AV238" s="159">
        <f t="shared" si="27"/>
        <v>1516.7400000000002</v>
      </c>
      <c r="AW238" s="159">
        <f t="shared" si="27"/>
        <v>1428.84</v>
      </c>
      <c r="AX238" s="159">
        <f t="shared" si="27"/>
        <v>1368.34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28">C223</f>
        <v>0.64</v>
      </c>
      <c r="C259" s="162">
        <f t="shared" si="28"/>
        <v>0.64</v>
      </c>
      <c r="D259" s="162">
        <f t="shared" si="28"/>
        <v>0.64</v>
      </c>
      <c r="E259" s="162">
        <f t="shared" si="28"/>
        <v>0.64</v>
      </c>
      <c r="F259" s="162">
        <f t="shared" si="28"/>
        <v>0.64</v>
      </c>
      <c r="G259" s="162">
        <f t="shared" si="28"/>
        <v>0.64</v>
      </c>
      <c r="H259" s="162">
        <f t="shared" si="28"/>
        <v>0.64</v>
      </c>
      <c r="I259" s="162">
        <f t="shared" si="28"/>
        <v>0.64</v>
      </c>
      <c r="J259" s="162">
        <f t="shared" si="28"/>
        <v>0.64</v>
      </c>
      <c r="K259" s="162">
        <f t="shared" si="28"/>
        <v>0.64</v>
      </c>
      <c r="L259" s="162">
        <f t="shared" si="28"/>
        <v>0.64</v>
      </c>
      <c r="M259" s="162">
        <f t="shared" si="28"/>
        <v>0.64</v>
      </c>
      <c r="N259" s="162">
        <f t="shared" si="28"/>
        <v>0.64</v>
      </c>
      <c r="O259" s="162">
        <f t="shared" si="28"/>
        <v>0.64</v>
      </c>
      <c r="P259" s="162">
        <f t="shared" si="28"/>
        <v>0</v>
      </c>
      <c r="Q259" s="162">
        <f t="shared" si="28"/>
        <v>0</v>
      </c>
      <c r="R259" s="162">
        <f t="shared" si="28"/>
        <v>0</v>
      </c>
      <c r="S259" s="162">
        <f t="shared" si="28"/>
        <v>0</v>
      </c>
      <c r="T259" s="162">
        <f t="shared" si="28"/>
        <v>0</v>
      </c>
      <c r="U259" s="162">
        <f t="shared" si="28"/>
        <v>0</v>
      </c>
      <c r="V259" s="162">
        <f t="shared" si="28"/>
        <v>0</v>
      </c>
      <c r="W259" s="162">
        <f t="shared" si="28"/>
        <v>0</v>
      </c>
      <c r="X259" s="162">
        <f t="shared" si="28"/>
        <v>0</v>
      </c>
      <c r="Y259" s="162">
        <f t="shared" si="28"/>
        <v>0</v>
      </c>
      <c r="Z259" s="162">
        <f t="shared" si="28"/>
        <v>0</v>
      </c>
      <c r="AA259" s="162">
        <f t="shared" si="28"/>
        <v>0</v>
      </c>
      <c r="AB259" s="162">
        <f t="shared" si="28"/>
        <v>0</v>
      </c>
      <c r="AC259" s="162">
        <f t="shared" si="28"/>
        <v>0</v>
      </c>
      <c r="AD259" s="162">
        <f t="shared" si="28"/>
        <v>0</v>
      </c>
      <c r="AE259" s="162">
        <f t="shared" si="28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29">IF(B227&lt;100,"",B227-520)</f>
        <v/>
      </c>
      <c r="C260" s="163" t="str">
        <f t="shared" si="29"/>
        <v/>
      </c>
      <c r="D260" s="163" t="str">
        <f t="shared" si="29"/>
        <v/>
      </c>
      <c r="E260" s="163" t="str">
        <f t="shared" si="29"/>
        <v/>
      </c>
      <c r="F260" s="163" t="str">
        <f t="shared" si="29"/>
        <v/>
      </c>
      <c r="G260" s="163" t="str">
        <f t="shared" si="29"/>
        <v/>
      </c>
      <c r="H260" s="163" t="str">
        <f t="shared" si="29"/>
        <v/>
      </c>
      <c r="I260" s="163" t="str">
        <f t="shared" si="29"/>
        <v/>
      </c>
      <c r="J260" s="163" t="str">
        <f t="shared" si="29"/>
        <v/>
      </c>
      <c r="K260" s="163" t="str">
        <f t="shared" si="29"/>
        <v/>
      </c>
      <c r="L260" s="163" t="str">
        <f t="shared" si="29"/>
        <v/>
      </c>
      <c r="M260" s="163" t="str">
        <f t="shared" si="29"/>
        <v/>
      </c>
      <c r="N260" s="163" t="str">
        <f t="shared" si="29"/>
        <v/>
      </c>
      <c r="O260" s="163" t="str">
        <f t="shared" si="29"/>
        <v/>
      </c>
      <c r="P260" s="163" t="str">
        <f t="shared" si="29"/>
        <v/>
      </c>
      <c r="Q260" s="163" t="str">
        <f t="shared" si="29"/>
        <v/>
      </c>
      <c r="R260" s="163" t="str">
        <f t="shared" si="29"/>
        <v/>
      </c>
      <c r="S260" s="163" t="str">
        <f t="shared" si="29"/>
        <v/>
      </c>
      <c r="T260" s="163" t="str">
        <f t="shared" si="29"/>
        <v/>
      </c>
      <c r="U260" s="163" t="str">
        <f t="shared" si="29"/>
        <v/>
      </c>
      <c r="V260" s="163" t="str">
        <f t="shared" si="29"/>
        <v/>
      </c>
      <c r="W260" s="163" t="str">
        <f t="shared" si="29"/>
        <v/>
      </c>
      <c r="X260" s="163" t="str">
        <f t="shared" si="29"/>
        <v/>
      </c>
      <c r="Y260" s="163" t="str">
        <f t="shared" si="29"/>
        <v/>
      </c>
      <c r="Z260" s="163" t="str">
        <f t="shared" si="29"/>
        <v/>
      </c>
      <c r="AA260" s="163" t="str">
        <f t="shared" si="29"/>
        <v/>
      </c>
      <c r="AB260" s="163" t="str">
        <f t="shared" si="29"/>
        <v/>
      </c>
      <c r="AC260" s="163" t="str">
        <f t="shared" si="29"/>
        <v/>
      </c>
      <c r="AD260" s="163" t="str">
        <f t="shared" si="29"/>
        <v/>
      </c>
      <c r="AE260" s="163" t="str">
        <f t="shared" si="29"/>
        <v/>
      </c>
      <c r="AF260" s="163" t="str">
        <f t="shared" si="29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30">IF(B228&lt;100,"",B228-620)</f>
        <v/>
      </c>
      <c r="C261" s="163" t="str">
        <f t="shared" si="30"/>
        <v/>
      </c>
      <c r="D261" s="163" t="str">
        <f t="shared" si="30"/>
        <v/>
      </c>
      <c r="E261" s="163" t="str">
        <f t="shared" si="30"/>
        <v/>
      </c>
      <c r="F261" s="163" t="str">
        <f t="shared" si="30"/>
        <v/>
      </c>
      <c r="G261" s="163" t="str">
        <f t="shared" si="30"/>
        <v/>
      </c>
      <c r="H261" s="163" t="str">
        <f t="shared" si="30"/>
        <v/>
      </c>
      <c r="I261" s="163" t="str">
        <f t="shared" si="30"/>
        <v/>
      </c>
      <c r="J261" s="163" t="str">
        <f t="shared" si="30"/>
        <v/>
      </c>
      <c r="K261" s="163" t="str">
        <f t="shared" si="30"/>
        <v/>
      </c>
      <c r="L261" s="163" t="str">
        <f t="shared" si="30"/>
        <v/>
      </c>
      <c r="M261" s="163" t="str">
        <f t="shared" si="30"/>
        <v/>
      </c>
      <c r="N261" s="163" t="str">
        <f t="shared" si="30"/>
        <v/>
      </c>
      <c r="O261" s="163" t="str">
        <f t="shared" si="30"/>
        <v/>
      </c>
      <c r="P261" s="163" t="str">
        <f t="shared" si="30"/>
        <v/>
      </c>
      <c r="Q261" s="163" t="str">
        <f t="shared" si="30"/>
        <v/>
      </c>
      <c r="R261" s="163" t="str">
        <f t="shared" si="30"/>
        <v/>
      </c>
      <c r="S261" s="163" t="str">
        <f t="shared" si="30"/>
        <v/>
      </c>
      <c r="T261" s="163" t="str">
        <f t="shared" si="30"/>
        <v/>
      </c>
      <c r="U261" s="163" t="str">
        <f t="shared" si="30"/>
        <v/>
      </c>
      <c r="V261" s="163" t="str">
        <f t="shared" si="30"/>
        <v/>
      </c>
      <c r="W261" s="163" t="str">
        <f t="shared" si="30"/>
        <v/>
      </c>
      <c r="X261" s="163" t="str">
        <f t="shared" si="30"/>
        <v/>
      </c>
      <c r="Y261" s="163" t="str">
        <f t="shared" si="30"/>
        <v/>
      </c>
      <c r="Z261" s="163" t="str">
        <f t="shared" si="30"/>
        <v/>
      </c>
      <c r="AA261" s="163" t="str">
        <f t="shared" si="30"/>
        <v/>
      </c>
      <c r="AB261" s="163" t="str">
        <f t="shared" si="30"/>
        <v/>
      </c>
      <c r="AC261" s="163" t="str">
        <f t="shared" si="30"/>
        <v/>
      </c>
      <c r="AD261" s="163" t="str">
        <f t="shared" si="30"/>
        <v/>
      </c>
      <c r="AE261" s="163" t="str">
        <f t="shared" si="30"/>
        <v/>
      </c>
      <c r="AF261" s="163" t="str">
        <f t="shared" si="30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1">IF(B229&lt;100,"",B229-330)</f>
        <v/>
      </c>
      <c r="C262" s="163" t="str">
        <f t="shared" si="31"/>
        <v/>
      </c>
      <c r="D262" s="163" t="str">
        <f t="shared" si="31"/>
        <v/>
      </c>
      <c r="E262" s="163" t="str">
        <f t="shared" si="31"/>
        <v/>
      </c>
      <c r="F262" s="163" t="str">
        <f t="shared" si="31"/>
        <v/>
      </c>
      <c r="G262" s="163" t="str">
        <f t="shared" si="31"/>
        <v/>
      </c>
      <c r="H262" s="163" t="str">
        <f t="shared" si="31"/>
        <v/>
      </c>
      <c r="I262" s="163" t="str">
        <f t="shared" si="31"/>
        <v/>
      </c>
      <c r="J262" s="163" t="str">
        <f t="shared" si="31"/>
        <v/>
      </c>
      <c r="K262" s="163" t="str">
        <f t="shared" si="31"/>
        <v/>
      </c>
      <c r="L262" s="163" t="str">
        <f t="shared" si="31"/>
        <v/>
      </c>
      <c r="M262" s="163" t="str">
        <f t="shared" si="31"/>
        <v/>
      </c>
      <c r="N262" s="163" t="str">
        <f t="shared" si="31"/>
        <v/>
      </c>
      <c r="O262" s="163" t="str">
        <f t="shared" si="31"/>
        <v/>
      </c>
      <c r="P262" s="163" t="str">
        <f t="shared" si="31"/>
        <v/>
      </c>
      <c r="Q262" s="163" t="str">
        <f t="shared" si="31"/>
        <v/>
      </c>
      <c r="R262" s="163" t="str">
        <f t="shared" si="31"/>
        <v/>
      </c>
      <c r="S262" s="163" t="str">
        <f t="shared" si="31"/>
        <v/>
      </c>
      <c r="T262" s="163" t="str">
        <f t="shared" si="31"/>
        <v/>
      </c>
      <c r="U262" s="163" t="str">
        <f t="shared" si="31"/>
        <v/>
      </c>
      <c r="V262" s="163" t="str">
        <f t="shared" si="31"/>
        <v/>
      </c>
      <c r="W262" s="163" t="str">
        <f t="shared" si="31"/>
        <v/>
      </c>
      <c r="X262" s="163" t="str">
        <f t="shared" si="31"/>
        <v/>
      </c>
      <c r="Y262" s="163" t="str">
        <f t="shared" si="31"/>
        <v/>
      </c>
      <c r="Z262" s="163" t="str">
        <f t="shared" si="31"/>
        <v/>
      </c>
      <c r="AA262" s="163" t="str">
        <f t="shared" si="31"/>
        <v/>
      </c>
      <c r="AB262" s="163" t="str">
        <f t="shared" si="31"/>
        <v/>
      </c>
      <c r="AC262" s="163" t="str">
        <f t="shared" si="31"/>
        <v/>
      </c>
      <c r="AD262" s="163" t="str">
        <f t="shared" si="31"/>
        <v/>
      </c>
      <c r="AE262" s="163" t="str">
        <f t="shared" si="31"/>
        <v/>
      </c>
      <c r="AF262" s="163" t="str">
        <f t="shared" si="31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2">IF(B230&lt;100,"",B230-1500)</f>
        <v/>
      </c>
      <c r="C263" s="163" t="str">
        <f t="shared" si="32"/>
        <v/>
      </c>
      <c r="D263" s="163" t="str">
        <f t="shared" si="32"/>
        <v/>
      </c>
      <c r="E263" s="163" t="str">
        <f t="shared" si="32"/>
        <v/>
      </c>
      <c r="F263" s="163" t="str">
        <f t="shared" si="32"/>
        <v/>
      </c>
      <c r="G263" s="163" t="str">
        <f t="shared" si="32"/>
        <v/>
      </c>
      <c r="H263" s="163" t="str">
        <f t="shared" si="32"/>
        <v/>
      </c>
      <c r="I263" s="163" t="str">
        <f t="shared" si="32"/>
        <v/>
      </c>
      <c r="J263" s="163" t="str">
        <f t="shared" si="32"/>
        <v/>
      </c>
      <c r="K263" s="163" t="str">
        <f t="shared" si="32"/>
        <v/>
      </c>
      <c r="L263" s="163" t="str">
        <f t="shared" si="32"/>
        <v/>
      </c>
      <c r="M263" s="163" t="str">
        <f t="shared" si="32"/>
        <v/>
      </c>
      <c r="N263" s="163" t="str">
        <f t="shared" si="32"/>
        <v/>
      </c>
      <c r="O263" s="163" t="str">
        <f t="shared" si="32"/>
        <v/>
      </c>
      <c r="P263" s="163" t="str">
        <f t="shared" si="32"/>
        <v/>
      </c>
      <c r="Q263" s="163" t="str">
        <f t="shared" si="32"/>
        <v/>
      </c>
      <c r="R263" s="163" t="str">
        <f t="shared" si="32"/>
        <v/>
      </c>
      <c r="S263" s="163" t="str">
        <f t="shared" si="32"/>
        <v/>
      </c>
      <c r="T263" s="163" t="str">
        <f t="shared" si="32"/>
        <v/>
      </c>
      <c r="U263" s="163" t="str">
        <f t="shared" si="32"/>
        <v/>
      </c>
      <c r="V263" s="163" t="str">
        <f t="shared" si="32"/>
        <v/>
      </c>
      <c r="W263" s="163" t="str">
        <f t="shared" si="32"/>
        <v/>
      </c>
      <c r="X263" s="163" t="str">
        <f t="shared" si="32"/>
        <v/>
      </c>
      <c r="Y263" s="163" t="str">
        <f t="shared" si="32"/>
        <v/>
      </c>
      <c r="Z263" s="163" t="str">
        <f t="shared" si="32"/>
        <v/>
      </c>
      <c r="AA263" s="163" t="str">
        <f t="shared" si="32"/>
        <v/>
      </c>
      <c r="AB263" s="163" t="str">
        <f t="shared" si="32"/>
        <v/>
      </c>
      <c r="AC263" s="163" t="str">
        <f t="shared" si="32"/>
        <v/>
      </c>
      <c r="AD263" s="163" t="str">
        <f t="shared" si="32"/>
        <v/>
      </c>
      <c r="AE263" s="163" t="str">
        <f t="shared" si="32"/>
        <v/>
      </c>
      <c r="AF263" s="163" t="str">
        <f t="shared" si="32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T11:AF11 B20:AF23 B16:AF16">
    <cfRule type="expression" dxfId="5790" priority="239">
      <formula>B$9&gt;=20/24</formula>
    </cfRule>
    <cfRule type="expression" dxfId="5789" priority="240">
      <formula>AND(B$9&gt;=14/24,B$9&lt;20/24)</formula>
    </cfRule>
    <cfRule type="expression" dxfId="5788" priority="241">
      <formula>AND(B$9&gt;=8/24,B$9&lt;14/24)</formula>
    </cfRule>
    <cfRule type="expression" dxfId="5787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5786" priority="234">
      <formula>S$9&gt;=20/24</formula>
    </cfRule>
    <cfRule type="expression" dxfId="5785" priority="235">
      <formula>AND(S$9&gt;=14/24,S$9&lt;20/24)</formula>
    </cfRule>
    <cfRule type="expression" dxfId="5784" priority="236">
      <formula>AND(S$9&gt;=8/24,S$9&lt;14/24)</formula>
    </cfRule>
    <cfRule type="expression" dxfId="5783" priority="237">
      <formula>S$9&lt;8/24</formula>
    </cfRule>
  </conditionalFormatting>
  <conditionalFormatting sqref="AG57 B12:R16 S39:AF39 B18:AF18 B20:AF23 B37:AF37 S11:AF16">
    <cfRule type="expression" dxfId="5782" priority="233">
      <formula>B11&gt;$AG11</formula>
    </cfRule>
  </conditionalFormatting>
  <conditionalFormatting sqref="A91:A101 A11:A14 A51:A78 A87:A89 A194:A224 A38:A49 A110:A181 A34:A35 A83:A85 A80:A81 A103:A105 A31:A32 A18:A29 A16">
    <cfRule type="expression" dxfId="5781" priority="232">
      <formula>$AH11=0</formula>
    </cfRule>
  </conditionalFormatting>
  <conditionalFormatting sqref="A106">
    <cfRule type="expression" dxfId="5780" priority="231">
      <formula>$AH106=0</formula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5779" priority="229">
      <formula>$AH37=0</formula>
    </cfRule>
  </conditionalFormatting>
  <conditionalFormatting sqref="A90">
    <cfRule type="expression" dxfId="5778" priority="228">
      <formula>$AH90=0</formula>
    </cfRule>
  </conditionalFormatting>
  <conditionalFormatting sqref="A15">
    <cfRule type="expression" dxfId="5777" priority="227">
      <formula>$AH15=0</formula>
    </cfRule>
  </conditionalFormatting>
  <conditionalFormatting sqref="A188:A193">
    <cfRule type="expression" dxfId="5776" priority="226">
      <formula>$AH188=0</formula>
    </cfRule>
  </conditionalFormatting>
  <conditionalFormatting sqref="A182:A187">
    <cfRule type="expression" dxfId="5775" priority="225">
      <formula>$AH182=0</formula>
    </cfRule>
  </conditionalFormatting>
  <conditionalFormatting sqref="A50">
    <cfRule type="expression" dxfId="5774" priority="224">
      <formula>$AH50=0</formula>
    </cfRule>
  </conditionalFormatting>
  <conditionalFormatting sqref="A86">
    <cfRule type="expression" dxfId="5773" priority="223">
      <formula>$AH86=0</formula>
    </cfRule>
  </conditionalFormatting>
  <conditionalFormatting sqref="H91:AF91">
    <cfRule type="expression" dxfId="5772" priority="219">
      <formula>H$9&gt;=20/24</formula>
    </cfRule>
    <cfRule type="expression" dxfId="5771" priority="220">
      <formula>AND(H$9&gt;=14/24,H$9&lt;20/24)</formula>
    </cfRule>
    <cfRule type="expression" dxfId="5770" priority="221">
      <formula>AND(H$9&gt;=8/24,H$9&lt;14/24)</formula>
    </cfRule>
    <cfRule type="expression" dxfId="5769" priority="222">
      <formula>H$9&lt;8/24</formula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768" priority="245">
      <formula>C$9&gt;=20/24</formula>
    </cfRule>
    <cfRule type="expression" dxfId="5767" priority="246">
      <formula>AND(C$9&gt;=14/24,C$9&lt;20/24)</formula>
    </cfRule>
    <cfRule type="expression" dxfId="5766" priority="247">
      <formula>AND(C$9&gt;=8/24,C$9&lt;14/24)</formula>
    </cfRule>
    <cfRule type="expression" dxfId="5765" priority="248">
      <formula>C$9&lt;8/24</formula>
    </cfRule>
  </conditionalFormatting>
  <conditionalFormatting sqref="A225">
    <cfRule type="expression" dxfId="5764" priority="249">
      <formula>$AH225=0</formula>
    </cfRule>
  </conditionalFormatting>
  <conditionalFormatting sqref="AG237">
    <cfRule type="expression" dxfId="5763" priority="250">
      <formula>B$9&gt;=20/24</formula>
    </cfRule>
    <cfRule type="expression" dxfId="5762" priority="251">
      <formula>AND(B$9&gt;=14/24,B$9&lt;20/24)</formula>
    </cfRule>
    <cfRule type="expression" dxfId="5761" priority="252">
      <formula>AND(B$9&gt;=8/24,B$9&lt;14/24)</formula>
    </cfRule>
    <cfRule type="expression" dxfId="5760" priority="253">
      <formula>B$9&lt;8/24</formula>
    </cfRule>
  </conditionalFormatting>
  <conditionalFormatting sqref="S8">
    <cfRule type="expression" dxfId="5759" priority="214">
      <formula>U$9&gt;=20/24</formula>
    </cfRule>
    <cfRule type="expression" dxfId="5758" priority="215">
      <formula>AND(U$9&gt;=14/24,U$9&lt;20/24)</formula>
    </cfRule>
    <cfRule type="expression" dxfId="5757" priority="216">
      <formula>AND(U$9&gt;=8/24,U$9&lt;14/24)</formula>
    </cfRule>
    <cfRule type="expression" dxfId="5756" priority="217">
      <formula>U$9&lt;8/24</formula>
    </cfRule>
  </conditionalFormatting>
  <conditionalFormatting sqref="AB8">
    <cfRule type="expression" dxfId="5755" priority="210">
      <formula>AD$9&gt;=20/24</formula>
    </cfRule>
    <cfRule type="expression" dxfId="5754" priority="211">
      <formula>AND(AD$9&gt;=14/24,AD$9&lt;20/24)</formula>
    </cfRule>
    <cfRule type="expression" dxfId="5753" priority="212">
      <formula>AND(AD$9&gt;=8/24,AD$9&lt;14/24)</formula>
    </cfRule>
    <cfRule type="expression" dxfId="5752" priority="213">
      <formula>AD$9&lt;8/24</formula>
    </cfRule>
  </conditionalFormatting>
  <conditionalFormatting sqref="AH237:AX237">
    <cfRule type="expression" dxfId="5751" priority="254">
      <formula>AG$9&gt;=20/24</formula>
    </cfRule>
    <cfRule type="expression" dxfId="5750" priority="255">
      <formula>AND(AG$9&gt;=14/24,AG$9&lt;20/24)</formula>
    </cfRule>
    <cfRule type="expression" dxfId="5749" priority="256">
      <formula>AND(AG$9&gt;=8/24,AG$9&lt;14/24)</formula>
    </cfRule>
    <cfRule type="expression" dxfId="5748" priority="257">
      <formula>AG$9&lt;8/24</formula>
    </cfRule>
  </conditionalFormatting>
  <conditionalFormatting sqref="T237">
    <cfRule type="expression" dxfId="5747" priority="258">
      <formula>AX$9&gt;=20/24</formula>
    </cfRule>
    <cfRule type="expression" dxfId="5746" priority="259">
      <formula>AND(AX$9&gt;=14/24,AX$9&lt;20/24)</formula>
    </cfRule>
    <cfRule type="expression" dxfId="5745" priority="260">
      <formula>AND(AX$9&gt;=8/24,AX$9&lt;14/24)</formula>
    </cfRule>
    <cfRule type="expression" dxfId="5744" priority="261">
      <formula>AX$9&lt;8/24</formula>
    </cfRule>
  </conditionalFormatting>
  <conditionalFormatting sqref="A107:A108">
    <cfRule type="expression" dxfId="5743" priority="209">
      <formula>$AH107=0</formula>
    </cfRule>
  </conditionalFormatting>
  <conditionalFormatting sqref="AB38:AF38 L46:AF47 L63:AF63">
    <cfRule type="expression" dxfId="5742" priority="205">
      <formula>L$9&gt;=20/24</formula>
    </cfRule>
    <cfRule type="expression" dxfId="5741" priority="206">
      <formula>AND(L$9&gt;=14/24,L$9&lt;20/24)</formula>
    </cfRule>
    <cfRule type="expression" dxfId="5740" priority="207">
      <formula>AND(L$9&gt;=8/24,L$9&lt;14/24)</formula>
    </cfRule>
    <cfRule type="expression" dxfId="5739" priority="208">
      <formula>L$9&lt;8/24</formula>
    </cfRule>
  </conditionalFormatting>
  <conditionalFormatting sqref="L45:AF45">
    <cfRule type="expression" dxfId="5738" priority="201">
      <formula>L$9&gt;=20/24</formula>
    </cfRule>
    <cfRule type="expression" dxfId="5737" priority="202">
      <formula>AND(L$9&gt;=14/24,L$9&lt;20/24)</formula>
    </cfRule>
    <cfRule type="expression" dxfId="5736" priority="203">
      <formula>AND(L$9&gt;=8/24,L$9&lt;14/24)</formula>
    </cfRule>
    <cfRule type="expression" dxfId="5735" priority="204">
      <formula>L$9&lt;8/24</formula>
    </cfRule>
  </conditionalFormatting>
  <conditionalFormatting sqref="AB38:AF38 L45:AF47">
    <cfRule type="expression" dxfId="5734" priority="200">
      <formula>L38&gt;$AG38</formula>
    </cfRule>
  </conditionalFormatting>
  <conditionalFormatting sqref="C88:AF88 C75:AF78 L39:R39 S11:S14 U38:AA38 S59:AF61 L64:AB65 H92:AF98 AB66:AB73 AB25:AF27 AB29:AF29 AB31:AF34 T12:AF14 S18:AF18 AC64:AF73">
    <cfRule type="expression" dxfId="5733" priority="196">
      <formula>C$9&gt;=20/24</formula>
    </cfRule>
    <cfRule type="expression" dxfId="5732" priority="197">
      <formula>AND(C$9&gt;=14/24,C$9&lt;20/24)</formula>
    </cfRule>
    <cfRule type="expression" dxfId="5731" priority="198">
      <formula>AND(C$9&gt;=8/24,C$9&lt;14/24)</formula>
    </cfRule>
    <cfRule type="expression" dxfId="5730" priority="199">
      <formula>C$9&lt;8/24</formula>
    </cfRule>
  </conditionalFormatting>
  <conditionalFormatting sqref="AB35:AF35">
    <cfRule type="expression" dxfId="5729" priority="192">
      <formula>AB$9&gt;=20/24</formula>
    </cfRule>
    <cfRule type="expression" dxfId="5728" priority="193">
      <formula>AND(AB$9&gt;=14/24,AB$9&lt;20/24)</formula>
    </cfRule>
    <cfRule type="expression" dxfId="5727" priority="194">
      <formula>AND(AB$9&gt;=8/24,AB$9&lt;14/24)</formula>
    </cfRule>
    <cfRule type="expression" dxfId="5726" priority="195">
      <formula>AB$9&lt;8/24</formula>
    </cfRule>
  </conditionalFormatting>
  <conditionalFormatting sqref="C57:AF57 L39:R39 S11 U38:AA38 S59:AF61 L48:R48 AB25:AF29 AB31:AF35 AB48:AF49">
    <cfRule type="expression" dxfId="5725" priority="191">
      <formula>C11&gt;$AG11</formula>
    </cfRule>
  </conditionalFormatting>
  <conditionalFormatting sqref="AB37:AF37">
    <cfRule type="expression" dxfId="5724" priority="187">
      <formula>AB$9&gt;=20/24</formula>
    </cfRule>
    <cfRule type="expression" dxfId="5723" priority="188">
      <formula>AND(AB$9&gt;=14/24,AB$9&lt;20/24)</formula>
    </cfRule>
    <cfRule type="expression" dxfId="5722" priority="189">
      <formula>AND(AB$9&gt;=8/24,AB$9&lt;14/24)</formula>
    </cfRule>
    <cfRule type="expression" dxfId="5721" priority="190">
      <formula>AB$9&lt;8/24</formula>
    </cfRule>
  </conditionalFormatting>
  <conditionalFormatting sqref="S15:AF15">
    <cfRule type="expression" dxfId="5720" priority="183">
      <formula>S$9&gt;=20/24</formula>
    </cfRule>
    <cfRule type="expression" dxfId="5719" priority="184">
      <formula>AND(S$9&gt;=14/24,S$9&lt;20/24)</formula>
    </cfRule>
    <cfRule type="expression" dxfId="5718" priority="185">
      <formula>AND(S$9&gt;=8/24,S$9&lt;14/24)</formula>
    </cfRule>
    <cfRule type="expression" dxfId="5717" priority="186">
      <formula>S$9&lt;8/24</formula>
    </cfRule>
  </conditionalFormatting>
  <conditionalFormatting sqref="AB36:AF36">
    <cfRule type="expression" dxfId="5716" priority="179">
      <formula>AB$9&gt;=20/24</formula>
    </cfRule>
    <cfRule type="expression" dxfId="5715" priority="180">
      <formula>AND(AB$9&gt;=14/24,AB$9&lt;20/24)</formula>
    </cfRule>
    <cfRule type="expression" dxfId="5714" priority="181">
      <formula>AND(AB$9&gt;=8/24,AB$9&lt;14/24)</formula>
    </cfRule>
    <cfRule type="expression" dxfId="5713" priority="182">
      <formula>AB$9&lt;8/24</formula>
    </cfRule>
  </conditionalFormatting>
  <conditionalFormatting sqref="AB36:AF36">
    <cfRule type="expression" dxfId="5712" priority="178">
      <formula>AB36&gt;$AG36</formula>
    </cfRule>
  </conditionalFormatting>
  <conditionalFormatting sqref="Z48:AA49 AB50:AF56">
    <cfRule type="expression" dxfId="5711" priority="174">
      <formula>Z$9&gt;=20/24</formula>
    </cfRule>
    <cfRule type="expression" dxfId="5710" priority="175">
      <formula>AND(Z$9&gt;=14/24,Z$9&lt;20/24)</formula>
    </cfRule>
    <cfRule type="expression" dxfId="5709" priority="176">
      <formula>AND(Z$9&gt;=8/24,Z$9&lt;14/24)</formula>
    </cfRule>
    <cfRule type="expression" dxfId="5708" priority="177">
      <formula>Z$9&lt;8/24</formula>
    </cfRule>
  </conditionalFormatting>
  <conditionalFormatting sqref="Z48:AA49 AB50:AF56">
    <cfRule type="expression" dxfId="5707" priority="173">
      <formula>Z48&gt;$AG48</formula>
    </cfRule>
  </conditionalFormatting>
  <conditionalFormatting sqref="T50 S48:U48 S49:T49 U49:U50 V48:Y50 Z50:AA50">
    <cfRule type="expression" dxfId="5706" priority="169">
      <formula>S$9&gt;=20/24</formula>
    </cfRule>
    <cfRule type="expression" dxfId="5705" priority="170">
      <formula>AND(S$9&gt;=14/24,S$9&lt;20/24)</formula>
    </cfRule>
    <cfRule type="expression" dxfId="5704" priority="171">
      <formula>AND(S$9&gt;=8/24,S$9&lt;14/24)</formula>
    </cfRule>
    <cfRule type="expression" dxfId="5703" priority="172">
      <formula>S$9&lt;8/24</formula>
    </cfRule>
  </conditionalFormatting>
  <conditionalFormatting sqref="T50 S48:U48 S49:T49 U49:U50 V48:Y50 Z50:AA50">
    <cfRule type="expression" dxfId="5702" priority="168">
      <formula>S48&gt;$AG48</formula>
    </cfRule>
  </conditionalFormatting>
  <conditionalFormatting sqref="AB28:AF28">
    <cfRule type="expression" dxfId="5701" priority="164">
      <formula>AB$9&gt;=20/24</formula>
    </cfRule>
    <cfRule type="expression" dxfId="5700" priority="165">
      <formula>AND(AB$9&gt;=14/24,AB$9&lt;20/24)</formula>
    </cfRule>
    <cfRule type="expression" dxfId="5699" priority="166">
      <formula>AND(AB$9&gt;=8/24,AB$9&lt;14/24)</formula>
    </cfRule>
    <cfRule type="expression" dxfId="5698" priority="167">
      <formula>AB$9&lt;8/24</formula>
    </cfRule>
  </conditionalFormatting>
  <conditionalFormatting sqref="AB19:AF19 AB24:AF24">
    <cfRule type="expression" dxfId="5697" priority="160">
      <formula>AB$9&gt;=20/24</formula>
    </cfRule>
    <cfRule type="expression" dxfId="5696" priority="161">
      <formula>AND(AB$9&gt;=14/24,AB$9&lt;20/24)</formula>
    </cfRule>
    <cfRule type="expression" dxfId="5695" priority="162">
      <formula>AND(AB$9&gt;=8/24,AB$9&lt;14/24)</formula>
    </cfRule>
    <cfRule type="expression" dxfId="5694" priority="163">
      <formula>AB$9&lt;8/24</formula>
    </cfRule>
  </conditionalFormatting>
  <conditionalFormatting sqref="AB19:AF19 AB24:AF24">
    <cfRule type="expression" dxfId="5693" priority="159">
      <formula>AB19&gt;$AG19</formula>
    </cfRule>
  </conditionalFormatting>
  <conditionalFormatting sqref="B101 B80:AF80 B89:AF89 B103:B108 B11:R11">
    <cfRule type="expression" dxfId="5692" priority="141">
      <formula>B$9&gt;=20/24</formula>
    </cfRule>
    <cfRule type="expression" dxfId="5691" priority="142">
      <formula>AND(B$9&gt;=14/24,B$9&lt;20/24)</formula>
    </cfRule>
    <cfRule type="expression" dxfId="5690" priority="143">
      <formula>AND(B$9&gt;=8/24,B$9&lt;14/24)</formula>
    </cfRule>
    <cfRule type="expression" dxfId="5689" priority="144">
      <formula>B$9&lt;8/24</formula>
    </cfRule>
  </conditionalFormatting>
  <conditionalFormatting sqref="B39:K39">
    <cfRule type="expression" dxfId="5688" priority="137">
      <formula>B$9&gt;=20/24</formula>
    </cfRule>
    <cfRule type="expression" dxfId="5687" priority="138">
      <formula>AND(B$9&gt;=14/24,B$9&lt;20/24)</formula>
    </cfRule>
    <cfRule type="expression" dxfId="5686" priority="139">
      <formula>AND(B$9&gt;=8/24,B$9&lt;14/24)</formula>
    </cfRule>
    <cfRule type="expression" dxfId="5685" priority="140">
      <formula>B$9&lt;8/24</formula>
    </cfRule>
  </conditionalFormatting>
  <conditionalFormatting sqref="B39:K39 B11:R11">
    <cfRule type="expression" dxfId="5684" priority="136">
      <formula>B11&gt;$AG11</formula>
    </cfRule>
  </conditionalFormatting>
  <conditionalFormatting sqref="B91:G91">
    <cfRule type="expression" dxfId="5683" priority="132">
      <formula>B$9&gt;=20/24</formula>
    </cfRule>
    <cfRule type="expression" dxfId="5682" priority="133">
      <formula>AND(B$9&gt;=14/24,B$9&lt;20/24)</formula>
    </cfRule>
    <cfRule type="expression" dxfId="5681" priority="134">
      <formula>AND(B$9&gt;=8/24,B$9&lt;14/24)</formula>
    </cfRule>
    <cfRule type="expression" dxfId="5680" priority="135">
      <formula>B$9&lt;8/24</formula>
    </cfRule>
  </conditionalFormatting>
  <conditionalFormatting sqref="B46:K47 B63:K63 B38:T38">
    <cfRule type="expression" dxfId="5679" priority="128">
      <formula>B$9&gt;=20/24</formula>
    </cfRule>
    <cfRule type="expression" dxfId="5678" priority="129">
      <formula>AND(B$9&gt;=14/24,B$9&lt;20/24)</formula>
    </cfRule>
    <cfRule type="expression" dxfId="5677" priority="130">
      <formula>AND(B$9&gt;=8/24,B$9&lt;14/24)</formula>
    </cfRule>
    <cfRule type="expression" dxfId="5676" priority="131">
      <formula>B$9&lt;8/24</formula>
    </cfRule>
  </conditionalFormatting>
  <conditionalFormatting sqref="B45:K45">
    <cfRule type="expression" dxfId="5675" priority="124">
      <formula>B$9&gt;=20/24</formula>
    </cfRule>
    <cfRule type="expression" dxfId="5674" priority="125">
      <formula>AND(B$9&gt;=14/24,B$9&lt;20/24)</formula>
    </cfRule>
    <cfRule type="expression" dxfId="5673" priority="126">
      <formula>AND(B$9&gt;=8/24,B$9&lt;14/24)</formula>
    </cfRule>
    <cfRule type="expression" dxfId="5672" priority="127">
      <formula>B$9&lt;8/24</formula>
    </cfRule>
  </conditionalFormatting>
  <conditionalFormatting sqref="B45:K47 B38:T38">
    <cfRule type="expression" dxfId="5671" priority="123">
      <formula>B38&gt;$AG38</formula>
    </cfRule>
  </conditionalFormatting>
  <conditionalFormatting sqref="B59:B62 B75:B79 B81:AF81 B88 C62:AG62 C79:AG79 B90:AF90 B92:G98 B64:K73 C59:R61 B12:R14 B18:R18 B25:AA27 B31:AA34 B29:AA29 L66:AA73">
    <cfRule type="expression" dxfId="5670" priority="119">
      <formula>B$9&gt;=20/24</formula>
    </cfRule>
    <cfRule type="expression" dxfId="5669" priority="120">
      <formula>AND(B$9&gt;=14/24,B$9&lt;20/24)</formula>
    </cfRule>
    <cfRule type="expression" dxfId="5668" priority="121">
      <formula>AND(B$9&gt;=8/24,B$9&lt;14/24)</formula>
    </cfRule>
    <cfRule type="expression" dxfId="5667" priority="122">
      <formula>B$9&lt;8/24</formula>
    </cfRule>
  </conditionalFormatting>
  <conditionalFormatting sqref="B35:AA35">
    <cfRule type="expression" dxfId="5666" priority="115">
      <formula>B$9&gt;=20/24</formula>
    </cfRule>
    <cfRule type="expression" dxfId="5665" priority="116">
      <formula>AND(B$9&gt;=14/24,B$9&lt;20/24)</formula>
    </cfRule>
    <cfRule type="expression" dxfId="5664" priority="117">
      <formula>AND(B$9&gt;=8/24,B$9&lt;14/24)</formula>
    </cfRule>
    <cfRule type="expression" dxfId="5663" priority="118">
      <formula>B$9&lt;8/24</formula>
    </cfRule>
  </conditionalFormatting>
  <conditionalFormatting sqref="B57:B62 B40:AG40 C58:AG58 C62:AG62 B48:K49 C59:R61 L49:R49 B31:AA35 B25:AA29">
    <cfRule type="expression" dxfId="5662" priority="114">
      <formula>B25&gt;$AG25</formula>
    </cfRule>
  </conditionalFormatting>
  <conditionalFormatting sqref="B37:AA37">
    <cfRule type="expression" dxfId="5661" priority="110">
      <formula>B$9&gt;=20/24</formula>
    </cfRule>
    <cfRule type="expression" dxfId="5660" priority="111">
      <formula>AND(B$9&gt;=14/24,B$9&lt;20/24)</formula>
    </cfRule>
    <cfRule type="expression" dxfId="5659" priority="112">
      <formula>AND(B$9&gt;=8/24,B$9&lt;14/24)</formula>
    </cfRule>
    <cfRule type="expression" dxfId="5658" priority="113">
      <formula>B$9&lt;8/24</formula>
    </cfRule>
  </conditionalFormatting>
  <conditionalFormatting sqref="B15:R15">
    <cfRule type="expression" dxfId="5657" priority="106">
      <formula>B$9&gt;=20/24</formula>
    </cfRule>
    <cfRule type="expression" dxfId="5656" priority="107">
      <formula>AND(B$9&gt;=14/24,B$9&lt;20/24)</formula>
    </cfRule>
    <cfRule type="expression" dxfId="5655" priority="108">
      <formula>AND(B$9&gt;=8/24,B$9&lt;14/24)</formula>
    </cfRule>
    <cfRule type="expression" dxfId="5654" priority="109">
      <formula>B$9&lt;8/24</formula>
    </cfRule>
  </conditionalFormatting>
  <conditionalFormatting sqref="B36:AA36">
    <cfRule type="expression" dxfId="5653" priority="102">
      <formula>B$9&gt;=20/24</formula>
    </cfRule>
    <cfRule type="expression" dxfId="5652" priority="103">
      <formula>AND(B$9&gt;=14/24,B$9&lt;20/24)</formula>
    </cfRule>
    <cfRule type="expression" dxfId="5651" priority="104">
      <formula>AND(B$9&gt;=8/24,B$9&lt;14/24)</formula>
    </cfRule>
    <cfRule type="expression" dxfId="5650" priority="105">
      <formula>B$9&lt;8/24</formula>
    </cfRule>
  </conditionalFormatting>
  <conditionalFormatting sqref="B36:AA36">
    <cfRule type="expression" dxfId="5649" priority="101">
      <formula>B36&gt;$AG36</formula>
    </cfRule>
  </conditionalFormatting>
  <conditionalFormatting sqref="B50:S56 T51:AA56">
    <cfRule type="expression" dxfId="5648" priority="97">
      <formula>B$9&gt;=20/24</formula>
    </cfRule>
    <cfRule type="expression" dxfId="5647" priority="98">
      <formula>AND(B$9&gt;=14/24,B$9&lt;20/24)</formula>
    </cfRule>
    <cfRule type="expression" dxfId="5646" priority="99">
      <formula>AND(B$9&gt;=8/24,B$9&lt;14/24)</formula>
    </cfRule>
    <cfRule type="expression" dxfId="5645" priority="100">
      <formula>B$9&lt;8/24</formula>
    </cfRule>
  </conditionalFormatting>
  <conditionalFormatting sqref="B50:S56 T51:AA56">
    <cfRule type="expression" dxfId="5644" priority="96">
      <formula>B50&gt;$AG50</formula>
    </cfRule>
  </conditionalFormatting>
  <conditionalFormatting sqref="B28:AA28">
    <cfRule type="expression" dxfId="5643" priority="92">
      <formula>B$9&gt;=20/24</formula>
    </cfRule>
    <cfRule type="expression" dxfId="5642" priority="93">
      <formula>AND(B$9&gt;=14/24,B$9&lt;20/24)</formula>
    </cfRule>
    <cfRule type="expression" dxfId="5641" priority="94">
      <formula>AND(B$9&gt;=8/24,B$9&lt;14/24)</formula>
    </cfRule>
    <cfRule type="expression" dxfId="5640" priority="95">
      <formula>B$9&lt;8/24</formula>
    </cfRule>
  </conditionalFormatting>
  <conditionalFormatting sqref="B19:AA19 B24:AA24">
    <cfRule type="expression" dxfId="5639" priority="88">
      <formula>B$9&gt;=20/24</formula>
    </cfRule>
    <cfRule type="expression" dxfId="5638" priority="89">
      <formula>AND(B$9&gt;=14/24,B$9&lt;20/24)</formula>
    </cfRule>
    <cfRule type="expression" dxfId="5637" priority="90">
      <formula>AND(B$9&gt;=8/24,B$9&lt;14/24)</formula>
    </cfRule>
    <cfRule type="expression" dxfId="5636" priority="91">
      <formula>B$9&lt;8/24</formula>
    </cfRule>
  </conditionalFormatting>
  <conditionalFormatting sqref="B19:AA19 B24:AA24">
    <cfRule type="expression" dxfId="5635" priority="87">
      <formula>B19&gt;$AG19</formula>
    </cfRule>
  </conditionalFormatting>
  <conditionalFormatting sqref="A36">
    <cfRule type="expression" dxfId="5634" priority="86">
      <formula>$AH36=0</formula>
    </cfRule>
  </conditionalFormatting>
  <conditionalFormatting sqref="B74:AF74">
    <cfRule type="expression" dxfId="5633" priority="82">
      <formula>B$9&gt;=20/24</formula>
    </cfRule>
    <cfRule type="expression" dxfId="5632" priority="83">
      <formula>AND(B$9&gt;=14/24,B$9&lt;20/24)</formula>
    </cfRule>
    <cfRule type="expression" dxfId="5631" priority="84">
      <formula>AND(B$9&gt;=8/24,B$9&lt;14/24)</formula>
    </cfRule>
    <cfRule type="expression" dxfId="5630" priority="85">
      <formula>B$9&lt;8/24</formula>
    </cfRule>
  </conditionalFormatting>
  <conditionalFormatting sqref="B83:AF87">
    <cfRule type="expression" dxfId="5629" priority="78">
      <formula>B$9&gt;=20/24</formula>
    </cfRule>
    <cfRule type="expression" dxfId="5628" priority="79">
      <formula>AND(B$9&gt;=14/24,B$9&lt;20/24)</formula>
    </cfRule>
    <cfRule type="expression" dxfId="5627" priority="80">
      <formula>AND(B$9&gt;=8/24,B$9&lt;14/24)</formula>
    </cfRule>
    <cfRule type="expression" dxfId="5626" priority="81">
      <formula>B$9&lt;8/24</formula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L41:AF43">
    <cfRule type="expression" dxfId="5625" priority="74">
      <formula>L$9&gt;=20/24</formula>
    </cfRule>
    <cfRule type="expression" dxfId="5624" priority="75">
      <formula>AND(L$9&gt;=14/24,L$9&lt;20/24)</formula>
    </cfRule>
    <cfRule type="expression" dxfId="5623" priority="76">
      <formula>AND(L$9&gt;=8/24,L$9&lt;14/24)</formula>
    </cfRule>
    <cfRule type="expression" dxfId="5622" priority="77">
      <formula>L$9&lt;8/24</formula>
    </cfRule>
  </conditionalFormatting>
  <conditionalFormatting sqref="L41:AF43">
    <cfRule type="expression" dxfId="5621" priority="73">
      <formula>L41&gt;$AG41</formula>
    </cfRule>
  </conditionalFormatting>
  <conditionalFormatting sqref="B41:B44 C44:AG44 C41:K43">
    <cfRule type="expression" dxfId="5620" priority="69">
      <formula>B$9&gt;=20/24</formula>
    </cfRule>
    <cfRule type="expression" dxfId="5619" priority="70">
      <formula>AND(B$9&gt;=14/24,B$9&lt;20/24)</formula>
    </cfRule>
    <cfRule type="expression" dxfId="5618" priority="71">
      <formula>AND(B$9&gt;=8/24,B$9&lt;14/24)</formula>
    </cfRule>
    <cfRule type="expression" dxfId="5617" priority="72">
      <formula>B$9&lt;8/24</formula>
    </cfRule>
  </conditionalFormatting>
  <conditionalFormatting sqref="B41:B44 C44:AG44 C41:K43">
    <cfRule type="expression" dxfId="5616" priority="68">
      <formula>B41&gt;$AG41</formula>
    </cfRule>
  </conditionalFormatting>
  <conditionalFormatting sqref="C99:AF99">
    <cfRule type="expression" dxfId="5615" priority="64">
      <formula>C$9&gt;=20/24</formula>
    </cfRule>
    <cfRule type="expression" dxfId="5614" priority="65">
      <formula>AND(C$9&gt;=14/24,C$9&lt;20/24)</formula>
    </cfRule>
    <cfRule type="expression" dxfId="5613" priority="66">
      <formula>AND(C$9&gt;=8/24,C$9&lt;14/24)</formula>
    </cfRule>
    <cfRule type="expression" dxfId="5612" priority="67">
      <formula>C$9&lt;8/24</formula>
    </cfRule>
  </conditionalFormatting>
  <conditionalFormatting sqref="B99">
    <cfRule type="expression" dxfId="5611" priority="60">
      <formula>B$9&gt;=20/24</formula>
    </cfRule>
    <cfRule type="expression" dxfId="5610" priority="61">
      <formula>AND(B$9&gt;=14/24,B$9&lt;20/24)</formula>
    </cfRule>
    <cfRule type="expression" dxfId="5609" priority="62">
      <formula>AND(B$9&gt;=8/24,B$9&lt;14/24)</formula>
    </cfRule>
    <cfRule type="expression" dxfId="5608" priority="63">
      <formula>B$9&lt;8/24</formula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5607" priority="54">
      <formula>$AH33=0</formula>
    </cfRule>
  </conditionalFormatting>
  <conditionalFormatting sqref="A82">
    <cfRule type="expression" dxfId="5606" priority="52">
      <formula>$AH82=0</formula>
    </cfRule>
  </conditionalFormatting>
  <conditionalFormatting sqref="A79">
    <cfRule type="expression" dxfId="5605" priority="53">
      <formula>$AH79=0</formula>
    </cfRule>
  </conditionalFormatting>
  <conditionalFormatting sqref="A109">
    <cfRule type="expression" dxfId="5604" priority="43">
      <formula>$AH109=0</formula>
    </cfRule>
  </conditionalFormatting>
  <conditionalFormatting sqref="C102:AF102">
    <cfRule type="expression" dxfId="5603" priority="39">
      <formula>C$9&gt;=20/24</formula>
    </cfRule>
    <cfRule type="expression" dxfId="5602" priority="40">
      <formula>AND(C$9&gt;=14/24,C$9&lt;20/24)</formula>
    </cfRule>
    <cfRule type="expression" dxfId="5601" priority="41">
      <formula>AND(C$9&gt;=8/24,C$9&lt;14/24)</formula>
    </cfRule>
    <cfRule type="expression" dxfId="5600" priority="42">
      <formula>C$9&lt;8/24</formula>
    </cfRule>
  </conditionalFormatting>
  <conditionalFormatting sqref="A102">
    <cfRule type="expression" dxfId="5599" priority="38">
      <formula>$AH102=0</formula>
    </cfRule>
  </conditionalFormatting>
  <conditionalFormatting sqref="B102">
    <cfRule type="expression" dxfId="5598" priority="34">
      <formula>B$9&gt;=20/24</formula>
    </cfRule>
    <cfRule type="expression" dxfId="5597" priority="35">
      <formula>AND(B$9&gt;=14/24,B$9&lt;20/24)</formula>
    </cfRule>
    <cfRule type="expression" dxfId="5596" priority="36">
      <formula>AND(B$9&gt;=8/24,B$9&lt;14/24)</formula>
    </cfRule>
    <cfRule type="expression" dxfId="5595" priority="37">
      <formula>B$9&lt;8/24</formula>
    </cfRule>
  </conditionalFormatting>
  <conditionalFormatting sqref="B17:AF17">
    <cfRule type="expression" dxfId="5594" priority="27">
      <formula>B17&gt;$AG17</formula>
    </cfRule>
  </conditionalFormatting>
  <conditionalFormatting sqref="A17">
    <cfRule type="expression" dxfId="5593" priority="26">
      <formula>$AH17=0</formula>
    </cfRule>
  </conditionalFormatting>
  <conditionalFormatting sqref="S17:AF17">
    <cfRule type="expression" dxfId="5592" priority="22">
      <formula>S$9&gt;=20/24</formula>
    </cfRule>
    <cfRule type="expression" dxfId="5591" priority="23">
      <formula>AND(S$9&gt;=14/24,S$9&lt;20/24)</formula>
    </cfRule>
    <cfRule type="expression" dxfId="5590" priority="24">
      <formula>AND(S$9&gt;=8/24,S$9&lt;14/24)</formula>
    </cfRule>
    <cfRule type="expression" dxfId="5589" priority="25">
      <formula>S$9&lt;8/24</formula>
    </cfRule>
  </conditionalFormatting>
  <conditionalFormatting sqref="B17:R17">
    <cfRule type="expression" dxfId="5588" priority="18">
      <formula>B$9&gt;=20/24</formula>
    </cfRule>
    <cfRule type="expression" dxfId="5587" priority="19">
      <formula>AND(B$9&gt;=14/24,B$9&lt;20/24)</formula>
    </cfRule>
    <cfRule type="expression" dxfId="5586" priority="20">
      <formula>AND(B$9&gt;=8/24,B$9&lt;14/24)</formula>
    </cfRule>
    <cfRule type="expression" dxfId="5585" priority="21">
      <formula>B$9&lt;8/24</formula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5584" priority="16">
      <formula>$AH30=0</formula>
    </cfRule>
  </conditionalFormatting>
  <conditionalFormatting sqref="AB30:AF30">
    <cfRule type="expression" dxfId="5583" priority="12">
      <formula>AB$9&gt;=20/24</formula>
    </cfRule>
    <cfRule type="expression" dxfId="5582" priority="13">
      <formula>AND(AB$9&gt;=14/24,AB$9&lt;20/24)</formula>
    </cfRule>
    <cfRule type="expression" dxfId="5581" priority="14">
      <formula>AND(AB$9&gt;=8/24,AB$9&lt;14/24)</formula>
    </cfRule>
    <cfRule type="expression" dxfId="5580" priority="15">
      <formula>AB$9&lt;8/24</formula>
    </cfRule>
  </conditionalFormatting>
  <conditionalFormatting sqref="AB30:AF30">
    <cfRule type="expression" dxfId="5579" priority="11">
      <formula>AB30&gt;$AG30</formula>
    </cfRule>
  </conditionalFormatting>
  <conditionalFormatting sqref="K30:AA30">
    <cfRule type="expression" dxfId="5578" priority="7">
      <formula>K$9&gt;=20/24</formula>
    </cfRule>
    <cfRule type="expression" dxfId="5577" priority="8">
      <formula>AND(K$9&gt;=14/24,K$9&lt;20/24)</formula>
    </cfRule>
    <cfRule type="expression" dxfId="5576" priority="9">
      <formula>AND(K$9&gt;=8/24,K$9&lt;14/24)</formula>
    </cfRule>
    <cfRule type="expression" dxfId="5575" priority="10">
      <formula>K$9&lt;8/24</formula>
    </cfRule>
  </conditionalFormatting>
  <conditionalFormatting sqref="K30:AA30">
    <cfRule type="expression" dxfId="5574" priority="6">
      <formula>K30&gt;$AG30</formula>
    </cfRule>
  </conditionalFormatting>
  <conditionalFormatting sqref="B30:J30">
    <cfRule type="expression" dxfId="5573" priority="2">
      <formula>B$9&gt;=20/24</formula>
    </cfRule>
    <cfRule type="expression" dxfId="5572" priority="3">
      <formula>AND(B$9&gt;=14/24,B$9&lt;20/24)</formula>
    </cfRule>
    <cfRule type="expression" dxfId="5571" priority="4">
      <formula>AND(B$9&gt;=8/24,B$9&lt;14/24)</formula>
    </cfRule>
    <cfRule type="expression" dxfId="5570" priority="5">
      <formula>B$9&lt;8/24</formula>
    </cfRule>
  </conditionalFormatting>
  <conditionalFormatting sqref="B30:J30">
    <cfRule type="expression" dxfId="5569" priority="1">
      <formula>B30&gt;$AG30</formula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AEDFFB8F-AD71-4369-80DD-7AD2DD392EDF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DE0B87DB-4BCC-4990-85AA-994E473340BD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D8161087-FF00-4B15-8155-F6F2570A139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6416233A-4375-465D-B15D-A0064A7CD7B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8" id="{E59FCBF0-5C92-464F-BE2D-1291B5282172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20B72007-2A46-4BB0-9B8E-365503DA937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087E6319-A69E-4E57-9B91-332FD15C89D9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952DE4C0-8F37-4AEB-81B1-16E35D9C1353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4" id="{8D886B5C-F6A9-4E56-BB12-A15A95D2DF9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D7A1A0CC-12CE-4AF3-9D11-63D3C90E9E8F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BAFE60AD-8B43-4C17-8C94-59B1D4D631A4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581F661B-C074-46FF-885E-2689690593A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J2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P86" sqref="P86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8" width="6.42578125" style="1" bestFit="1" customWidth="1"/>
    <col min="9" max="9" width="6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30.42578125" style="1" bestFit="1" customWidth="1"/>
    <col min="37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2079/06/19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1605MW at 7:00hr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Load=1202</v>
      </c>
      <c r="B7" s="35">
        <f t="shared" ref="B7:AF7" si="1">B81</f>
        <v>1367.7399999999998</v>
      </c>
      <c r="C7" s="35">
        <f t="shared" si="1"/>
        <v>1375.6399999999999</v>
      </c>
      <c r="D7" s="35">
        <f t="shared" si="1"/>
        <v>1365.6399999999999</v>
      </c>
      <c r="E7" s="35">
        <f t="shared" si="1"/>
        <v>1333.54</v>
      </c>
      <c r="F7" s="35">
        <f t="shared" si="1"/>
        <v>1349.1399999999999</v>
      </c>
      <c r="G7" s="35">
        <f t="shared" si="1"/>
        <v>1383.44</v>
      </c>
      <c r="H7" s="35">
        <f t="shared" si="1"/>
        <v>1426.74</v>
      </c>
      <c r="I7" s="35">
        <f t="shared" si="1"/>
        <v>1468.94</v>
      </c>
      <c r="J7" s="35">
        <f t="shared" si="1"/>
        <v>1498.04</v>
      </c>
      <c r="K7" s="35">
        <f t="shared" si="1"/>
        <v>1604.7399999999998</v>
      </c>
      <c r="L7" s="35">
        <f t="shared" si="1"/>
        <v>1594.2399999999998</v>
      </c>
      <c r="M7" s="35">
        <f t="shared" si="1"/>
        <v>1594.2399999999998</v>
      </c>
      <c r="N7" s="35">
        <f t="shared" si="1"/>
        <v>1430.64</v>
      </c>
      <c r="O7" s="35">
        <f t="shared" si="1"/>
        <v>1430.4399999999998</v>
      </c>
      <c r="P7" s="35">
        <f t="shared" si="1"/>
        <v>1436.8399999999997</v>
      </c>
      <c r="Q7" s="35">
        <f t="shared" si="1"/>
        <v>1340.9399999999998</v>
      </c>
      <c r="R7" s="35">
        <f t="shared" si="1"/>
        <v>1340.9399999999998</v>
      </c>
      <c r="S7" s="35">
        <f t="shared" si="1"/>
        <v>1246.8400000000001</v>
      </c>
      <c r="T7" s="35">
        <f t="shared" si="1"/>
        <v>1202.4399999999998</v>
      </c>
      <c r="U7" s="35">
        <f t="shared" si="1"/>
        <v>1399.54</v>
      </c>
      <c r="V7" s="35">
        <f t="shared" si="1"/>
        <v>1410.0400000000002</v>
      </c>
      <c r="W7" s="35">
        <f t="shared" si="1"/>
        <v>1518.44</v>
      </c>
      <c r="X7" s="35">
        <f t="shared" si="1"/>
        <v>1595.1399999999999</v>
      </c>
      <c r="Y7" s="35">
        <f t="shared" si="1"/>
        <v>1542.1399999999999</v>
      </c>
      <c r="Z7" s="35">
        <f t="shared" si="1"/>
        <v>1416.84</v>
      </c>
      <c r="AA7" s="35">
        <f t="shared" si="1"/>
        <v>1407.94</v>
      </c>
      <c r="AB7" s="35">
        <f t="shared" si="1"/>
        <v>1448.74</v>
      </c>
      <c r="AC7" s="35">
        <f t="shared" si="1"/>
        <v>1427.6399999999999</v>
      </c>
      <c r="AD7" s="35">
        <f t="shared" si="1"/>
        <v>1409.74</v>
      </c>
      <c r="AE7" s="35">
        <f t="shared" si="1"/>
        <v>1291.1399999999999</v>
      </c>
      <c r="AF7" s="35">
        <f t="shared" si="1"/>
        <v>1261.44</v>
      </c>
      <c r="AG7" s="36"/>
      <c r="AI7" s="37"/>
      <c r="AJ7" s="22">
        <f>1350*6-(B7+C7+D7+E7+F7+G7+I7+K7+M7+N7+O7+P7+Q7+R7+S7+T7+U7+V7+X7+Z7+AB7+AD7+AE7+AF7)+B41+C41+D41+E41+F41+G41</f>
        <v>-23724.760000000002</v>
      </c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J8" s="22">
        <f>800+432-F40-F58</f>
        <v>235.26</v>
      </c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32.799999999999997</v>
      </c>
      <c r="C11" s="45">
        <v>52.2</v>
      </c>
      <c r="D11" s="45">
        <v>52.2</v>
      </c>
      <c r="E11" s="45">
        <v>47.7</v>
      </c>
      <c r="F11" s="45">
        <v>47.7</v>
      </c>
      <c r="G11" s="45">
        <v>48.1</v>
      </c>
      <c r="H11" s="45">
        <v>48.1</v>
      </c>
      <c r="I11" s="45">
        <v>48.1</v>
      </c>
      <c r="J11" s="45">
        <v>48.1</v>
      </c>
      <c r="K11" s="45">
        <v>48.1</v>
      </c>
      <c r="L11" s="45">
        <v>48.1</v>
      </c>
      <c r="M11" s="45">
        <v>48</v>
      </c>
      <c r="N11" s="45">
        <v>48</v>
      </c>
      <c r="O11" s="45">
        <v>46.9</v>
      </c>
      <c r="P11" s="45">
        <v>46.9</v>
      </c>
      <c r="Q11" s="45">
        <v>46.9</v>
      </c>
      <c r="R11" s="45">
        <v>46.9</v>
      </c>
      <c r="S11" s="45">
        <v>43</v>
      </c>
      <c r="T11" s="45">
        <v>43</v>
      </c>
      <c r="U11" s="45">
        <v>43</v>
      </c>
      <c r="V11" s="45">
        <v>52.3</v>
      </c>
      <c r="W11" s="45">
        <v>52.3</v>
      </c>
      <c r="X11" s="45">
        <v>52.3</v>
      </c>
      <c r="Y11" s="46">
        <v>52.3</v>
      </c>
      <c r="Z11" s="46">
        <v>52.3</v>
      </c>
      <c r="AA11" s="46">
        <v>52.3</v>
      </c>
      <c r="AB11" s="46">
        <v>52.1</v>
      </c>
      <c r="AC11" s="46">
        <v>51.1</v>
      </c>
      <c r="AD11" s="46">
        <v>48.2</v>
      </c>
      <c r="AE11" s="46">
        <v>44.5</v>
      </c>
      <c r="AF11" s="46">
        <v>47</v>
      </c>
      <c r="AG11" s="47">
        <v>52.4</v>
      </c>
      <c r="AH11" s="48">
        <f>MAX(B11:AF11)</f>
        <v>52.3</v>
      </c>
      <c r="AI11" s="49">
        <f>MIN(B11:AF11)</f>
        <v>32.799999999999997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50.6</v>
      </c>
      <c r="C12" s="45">
        <v>50.6</v>
      </c>
      <c r="D12" s="45">
        <v>50.6</v>
      </c>
      <c r="E12" s="45">
        <v>50.2</v>
      </c>
      <c r="F12" s="45">
        <v>50.2</v>
      </c>
      <c r="G12" s="45">
        <v>50.2</v>
      </c>
      <c r="H12" s="45">
        <v>50.2</v>
      </c>
      <c r="I12" s="45">
        <v>50.2</v>
      </c>
      <c r="J12" s="45">
        <v>50.2</v>
      </c>
      <c r="K12" s="45">
        <v>50.2</v>
      </c>
      <c r="L12" s="45">
        <v>50.2</v>
      </c>
      <c r="M12" s="45">
        <v>50.5</v>
      </c>
      <c r="N12" s="45">
        <v>50.5</v>
      </c>
      <c r="O12" s="45">
        <v>50.3</v>
      </c>
      <c r="P12" s="45">
        <v>50.3</v>
      </c>
      <c r="Q12" s="45">
        <v>50.3</v>
      </c>
      <c r="R12" s="45">
        <v>50.3</v>
      </c>
      <c r="S12" s="45">
        <v>50.3</v>
      </c>
      <c r="T12" s="45">
        <v>50.3</v>
      </c>
      <c r="U12" s="45">
        <v>50.3</v>
      </c>
      <c r="V12" s="45">
        <v>50.3</v>
      </c>
      <c r="W12" s="45">
        <v>50.3</v>
      </c>
      <c r="X12" s="45">
        <v>50.3</v>
      </c>
      <c r="Y12" s="45">
        <v>50.3</v>
      </c>
      <c r="Z12" s="45">
        <v>50.3</v>
      </c>
      <c r="AA12" s="45">
        <v>50.3</v>
      </c>
      <c r="AB12" s="45">
        <v>50.4</v>
      </c>
      <c r="AC12" s="45">
        <v>50.3</v>
      </c>
      <c r="AD12" s="45">
        <v>50.8</v>
      </c>
      <c r="AE12" s="45">
        <v>50.4</v>
      </c>
      <c r="AF12" s="45">
        <v>50.7</v>
      </c>
      <c r="AG12" s="51">
        <v>50</v>
      </c>
      <c r="AH12" s="48">
        <f t="shared" ref="AH12:AH75" si="2">MAX(B12:AF12)</f>
        <v>50.8</v>
      </c>
      <c r="AI12" s="49">
        <f t="shared" ref="AI12:AI75" si="3">MIN(B12:AF12)</f>
        <v>50.2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36.700000000000003</v>
      </c>
      <c r="C13" s="45">
        <v>36.700000000000003</v>
      </c>
      <c r="D13" s="45">
        <v>36.700000000000003</v>
      </c>
      <c r="E13" s="45">
        <v>36.700000000000003</v>
      </c>
      <c r="F13" s="45">
        <v>30.6</v>
      </c>
      <c r="G13" s="45">
        <v>30.6</v>
      </c>
      <c r="H13" s="45">
        <v>30.6</v>
      </c>
      <c r="I13" s="45">
        <v>42.9</v>
      </c>
      <c r="J13" s="45">
        <v>42.9</v>
      </c>
      <c r="K13" s="45">
        <v>41</v>
      </c>
      <c r="L13" s="45">
        <v>41</v>
      </c>
      <c r="M13" s="45">
        <v>40.799999999999997</v>
      </c>
      <c r="N13" s="45">
        <v>40.799999999999997</v>
      </c>
      <c r="O13" s="45">
        <v>40.6</v>
      </c>
      <c r="P13" s="45">
        <v>40.6</v>
      </c>
      <c r="Q13" s="45">
        <v>40.6</v>
      </c>
      <c r="R13" s="45">
        <v>40.6</v>
      </c>
      <c r="S13" s="45">
        <v>40.6</v>
      </c>
      <c r="T13" s="45">
        <v>40.6</v>
      </c>
      <c r="U13" s="45">
        <v>40.6</v>
      </c>
      <c r="V13" s="45">
        <v>40.6</v>
      </c>
      <c r="W13" s="45">
        <v>42.5</v>
      </c>
      <c r="X13" s="45">
        <v>42.5</v>
      </c>
      <c r="Y13" s="45">
        <v>42.5</v>
      </c>
      <c r="Z13" s="45">
        <v>41.8</v>
      </c>
      <c r="AA13" s="45">
        <v>41.8</v>
      </c>
      <c r="AB13" s="45">
        <v>41.3</v>
      </c>
      <c r="AC13" s="45">
        <v>42.2</v>
      </c>
      <c r="AD13" s="45">
        <v>41</v>
      </c>
      <c r="AE13" s="45">
        <v>41.2</v>
      </c>
      <c r="AF13" s="45">
        <v>36.799999999999997</v>
      </c>
      <c r="AG13" s="51">
        <v>45</v>
      </c>
      <c r="AH13" s="48">
        <f t="shared" si="2"/>
        <v>42.9</v>
      </c>
      <c r="AI13" s="49">
        <f t="shared" si="3"/>
        <v>30.6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17</v>
      </c>
      <c r="C14" s="45">
        <v>17</v>
      </c>
      <c r="D14" s="45">
        <v>17</v>
      </c>
      <c r="E14" s="45">
        <v>17</v>
      </c>
      <c r="F14" s="45">
        <v>17</v>
      </c>
      <c r="G14" s="45">
        <v>17</v>
      </c>
      <c r="H14" s="45">
        <v>17</v>
      </c>
      <c r="I14" s="45">
        <v>24</v>
      </c>
      <c r="J14" s="45">
        <v>28</v>
      </c>
      <c r="K14" s="45">
        <v>28</v>
      </c>
      <c r="L14" s="45">
        <v>32</v>
      </c>
      <c r="M14" s="45">
        <v>31</v>
      </c>
      <c r="N14" s="45">
        <v>24</v>
      </c>
      <c r="O14" s="45">
        <v>24</v>
      </c>
      <c r="P14" s="45">
        <v>24</v>
      </c>
      <c r="Q14" s="45">
        <v>24</v>
      </c>
      <c r="R14" s="45">
        <v>24</v>
      </c>
      <c r="S14" s="45">
        <v>24</v>
      </c>
      <c r="T14" s="45">
        <v>24</v>
      </c>
      <c r="U14" s="45">
        <v>24.5</v>
      </c>
      <c r="V14" s="45">
        <v>24.5</v>
      </c>
      <c r="W14" s="45">
        <v>24.5</v>
      </c>
      <c r="X14" s="45">
        <v>26</v>
      </c>
      <c r="Y14" s="45">
        <v>26</v>
      </c>
      <c r="Z14" s="45">
        <v>27</v>
      </c>
      <c r="AA14" s="45">
        <v>27</v>
      </c>
      <c r="AB14" s="45">
        <v>30.5</v>
      </c>
      <c r="AC14" s="45">
        <v>24</v>
      </c>
      <c r="AD14" s="45">
        <v>24</v>
      </c>
      <c r="AE14" s="45">
        <v>24</v>
      </c>
      <c r="AF14" s="45">
        <v>17</v>
      </c>
      <c r="AG14" s="51">
        <v>42</v>
      </c>
      <c r="AH14" s="48">
        <f t="shared" si="2"/>
        <v>32</v>
      </c>
      <c r="AI14" s="49">
        <f t="shared" si="3"/>
        <v>17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10</v>
      </c>
      <c r="K15" s="45">
        <v>22</v>
      </c>
      <c r="L15" s="45">
        <v>15</v>
      </c>
      <c r="M15" s="45">
        <v>15.9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10</v>
      </c>
      <c r="Y15" s="45">
        <v>0</v>
      </c>
      <c r="Z15" s="45">
        <v>0</v>
      </c>
      <c r="AA15" s="45">
        <v>10</v>
      </c>
      <c r="AB15" s="45">
        <v>15</v>
      </c>
      <c r="AC15" s="45">
        <v>0</v>
      </c>
      <c r="AD15" s="45">
        <v>0</v>
      </c>
      <c r="AE15" s="45">
        <v>0</v>
      </c>
      <c r="AF15" s="45">
        <v>0</v>
      </c>
      <c r="AG15" s="52">
        <v>30</v>
      </c>
      <c r="AH15" s="48">
        <f t="shared" si="2"/>
        <v>22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19</v>
      </c>
      <c r="C16" s="45">
        <v>19.5</v>
      </c>
      <c r="D16" s="45">
        <v>19.5</v>
      </c>
      <c r="E16" s="45">
        <v>19.5</v>
      </c>
      <c r="F16" s="45">
        <v>19.5</v>
      </c>
      <c r="G16" s="45">
        <v>19.5</v>
      </c>
      <c r="H16" s="45">
        <v>19.5</v>
      </c>
      <c r="I16" s="45">
        <v>19.5</v>
      </c>
      <c r="J16" s="45">
        <v>19.5</v>
      </c>
      <c r="K16" s="45">
        <v>19.5</v>
      </c>
      <c r="L16" s="45">
        <v>19.5</v>
      </c>
      <c r="M16" s="45">
        <v>19.399999999999999</v>
      </c>
      <c r="N16" s="45">
        <v>26.5</v>
      </c>
      <c r="O16" s="45">
        <v>26.5</v>
      </c>
      <c r="P16" s="45">
        <v>26.5</v>
      </c>
      <c r="Q16" s="45">
        <v>26.5</v>
      </c>
      <c r="R16" s="45">
        <v>26.5</v>
      </c>
      <c r="S16" s="45">
        <v>18.7</v>
      </c>
      <c r="T16" s="45">
        <v>24.5</v>
      </c>
      <c r="U16" s="45">
        <v>24.5</v>
      </c>
      <c r="V16" s="45">
        <v>26.5</v>
      </c>
      <c r="W16" s="45">
        <v>26.5</v>
      </c>
      <c r="X16" s="45">
        <v>26.5</v>
      </c>
      <c r="Y16" s="45">
        <v>26.5</v>
      </c>
      <c r="Z16" s="45">
        <v>26.5</v>
      </c>
      <c r="AA16" s="45">
        <v>26.5</v>
      </c>
      <c r="AB16" s="45">
        <v>20.6</v>
      </c>
      <c r="AC16" s="45">
        <v>20.6</v>
      </c>
      <c r="AD16" s="45">
        <v>20.6</v>
      </c>
      <c r="AE16" s="45">
        <v>20.6</v>
      </c>
      <c r="AF16" s="45">
        <v>20.7</v>
      </c>
      <c r="AG16" s="51">
        <v>24.2</v>
      </c>
      <c r="AH16" s="48">
        <f t="shared" si="2"/>
        <v>26.5</v>
      </c>
      <c r="AI16" s="49">
        <f t="shared" si="3"/>
        <v>18.7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10</v>
      </c>
      <c r="K17" s="45">
        <v>20</v>
      </c>
      <c r="L17" s="45">
        <v>15</v>
      </c>
      <c r="M17" s="45">
        <v>15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6</v>
      </c>
      <c r="Y17" s="45">
        <v>6</v>
      </c>
      <c r="Z17" s="45">
        <v>0</v>
      </c>
      <c r="AA17" s="45">
        <v>0</v>
      </c>
      <c r="AB17" s="45">
        <v>5</v>
      </c>
      <c r="AC17" s="45">
        <v>0</v>
      </c>
      <c r="AD17" s="45">
        <v>0</v>
      </c>
      <c r="AE17" s="45">
        <v>0</v>
      </c>
      <c r="AF17" s="45">
        <v>0</v>
      </c>
      <c r="AG17" s="52">
        <v>30</v>
      </c>
      <c r="AH17" s="48">
        <f t="shared" si="2"/>
        <v>20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20</v>
      </c>
      <c r="C18" s="45">
        <v>20</v>
      </c>
      <c r="D18" s="45">
        <v>20</v>
      </c>
      <c r="E18" s="45">
        <v>20</v>
      </c>
      <c r="F18" s="45">
        <v>20</v>
      </c>
      <c r="G18" s="45">
        <v>20</v>
      </c>
      <c r="H18" s="45">
        <v>20</v>
      </c>
      <c r="I18" s="45">
        <v>25</v>
      </c>
      <c r="J18" s="45">
        <v>25</v>
      </c>
      <c r="K18" s="45">
        <v>25</v>
      </c>
      <c r="L18" s="45">
        <v>25</v>
      </c>
      <c r="M18" s="45">
        <v>24.2</v>
      </c>
      <c r="N18" s="45">
        <v>24.2</v>
      </c>
      <c r="O18" s="45">
        <v>24.5</v>
      </c>
      <c r="P18" s="45">
        <v>24.5</v>
      </c>
      <c r="Q18" s="45">
        <v>24.5</v>
      </c>
      <c r="R18" s="45">
        <v>24.5</v>
      </c>
      <c r="S18" s="45">
        <v>24.5</v>
      </c>
      <c r="T18" s="45">
        <v>24.5</v>
      </c>
      <c r="U18" s="45">
        <v>24.5</v>
      </c>
      <c r="V18" s="45">
        <v>24.5</v>
      </c>
      <c r="W18" s="45">
        <v>24.5</v>
      </c>
      <c r="X18" s="45">
        <v>24.5</v>
      </c>
      <c r="Y18" s="45">
        <v>24.5</v>
      </c>
      <c r="Z18" s="45">
        <v>24.5</v>
      </c>
      <c r="AA18" s="45">
        <v>24.5</v>
      </c>
      <c r="AB18" s="45">
        <v>24.3</v>
      </c>
      <c r="AC18" s="45">
        <v>20.3</v>
      </c>
      <c r="AD18" s="45">
        <v>20.3</v>
      </c>
      <c r="AE18" s="45">
        <v>20.3</v>
      </c>
      <c r="AF18" s="45">
        <v>20.3</v>
      </c>
      <c r="AG18" s="51">
        <v>25</v>
      </c>
      <c r="AH18" s="48">
        <f t="shared" si="2"/>
        <v>25</v>
      </c>
      <c r="AI18" s="49">
        <f t="shared" si="3"/>
        <v>20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25</v>
      </c>
      <c r="C19" s="45">
        <v>25</v>
      </c>
      <c r="D19" s="45">
        <v>25</v>
      </c>
      <c r="E19" s="45">
        <v>25</v>
      </c>
      <c r="F19" s="45">
        <v>25</v>
      </c>
      <c r="G19" s="45">
        <v>25</v>
      </c>
      <c r="H19" s="45">
        <v>25</v>
      </c>
      <c r="I19" s="45">
        <v>25</v>
      </c>
      <c r="J19" s="45">
        <v>25</v>
      </c>
      <c r="K19" s="45">
        <v>25</v>
      </c>
      <c r="L19" s="45">
        <v>25</v>
      </c>
      <c r="M19" s="45">
        <v>25</v>
      </c>
      <c r="N19" s="45">
        <v>25</v>
      </c>
      <c r="O19" s="45">
        <v>25</v>
      </c>
      <c r="P19" s="45">
        <v>25</v>
      </c>
      <c r="Q19" s="45">
        <v>25</v>
      </c>
      <c r="R19" s="45">
        <v>25</v>
      </c>
      <c r="S19" s="45">
        <v>25</v>
      </c>
      <c r="T19" s="45">
        <v>25</v>
      </c>
      <c r="U19" s="45">
        <v>25</v>
      </c>
      <c r="V19" s="45">
        <v>25</v>
      </c>
      <c r="W19" s="45">
        <v>25</v>
      </c>
      <c r="X19" s="45">
        <v>25</v>
      </c>
      <c r="Y19" s="45">
        <v>25</v>
      </c>
      <c r="Z19" s="45">
        <v>25</v>
      </c>
      <c r="AA19" s="45">
        <v>25</v>
      </c>
      <c r="AB19" s="45">
        <v>25</v>
      </c>
      <c r="AC19" s="45">
        <v>25</v>
      </c>
      <c r="AD19" s="45">
        <v>25</v>
      </c>
      <c r="AE19" s="45">
        <v>25</v>
      </c>
      <c r="AF19" s="45">
        <v>25</v>
      </c>
      <c r="AG19" s="51">
        <v>25</v>
      </c>
      <c r="AH19" s="48">
        <f t="shared" si="2"/>
        <v>25</v>
      </c>
      <c r="AI19" s="49">
        <f t="shared" si="3"/>
        <v>25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15</v>
      </c>
      <c r="C20" s="45">
        <v>15</v>
      </c>
      <c r="D20" s="45">
        <v>15</v>
      </c>
      <c r="E20" s="45">
        <v>15</v>
      </c>
      <c r="F20" s="45">
        <v>15</v>
      </c>
      <c r="G20" s="45">
        <v>15</v>
      </c>
      <c r="H20" s="45">
        <v>15</v>
      </c>
      <c r="I20" s="45">
        <v>21</v>
      </c>
      <c r="J20" s="45">
        <v>21</v>
      </c>
      <c r="K20" s="45">
        <v>21</v>
      </c>
      <c r="L20" s="45">
        <v>21</v>
      </c>
      <c r="M20" s="45">
        <v>21</v>
      </c>
      <c r="N20" s="45">
        <v>21</v>
      </c>
      <c r="O20" s="45">
        <v>21</v>
      </c>
      <c r="P20" s="45">
        <v>21</v>
      </c>
      <c r="Q20" s="45">
        <v>21</v>
      </c>
      <c r="R20" s="45">
        <v>21</v>
      </c>
      <c r="S20" s="45">
        <v>21</v>
      </c>
      <c r="T20" s="45">
        <v>21</v>
      </c>
      <c r="U20" s="45">
        <v>21</v>
      </c>
      <c r="V20" s="45">
        <v>21</v>
      </c>
      <c r="W20" s="45">
        <v>21</v>
      </c>
      <c r="X20" s="45">
        <v>21</v>
      </c>
      <c r="Y20" s="45">
        <v>21</v>
      </c>
      <c r="Z20" s="45">
        <v>21</v>
      </c>
      <c r="AA20" s="45">
        <v>21</v>
      </c>
      <c r="AB20" s="45">
        <v>21</v>
      </c>
      <c r="AC20" s="45">
        <v>21</v>
      </c>
      <c r="AD20" s="45">
        <v>21</v>
      </c>
      <c r="AE20" s="45">
        <v>15</v>
      </c>
      <c r="AF20" s="45">
        <v>15</v>
      </c>
      <c r="AG20" s="51">
        <v>25</v>
      </c>
      <c r="AH20" s="48">
        <f t="shared" si="2"/>
        <v>21</v>
      </c>
      <c r="AI20" s="49">
        <f t="shared" si="3"/>
        <v>15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20.5</v>
      </c>
      <c r="C21" s="45">
        <v>20.5</v>
      </c>
      <c r="D21" s="45">
        <v>20.5</v>
      </c>
      <c r="E21" s="45">
        <v>20.5</v>
      </c>
      <c r="F21" s="45">
        <v>20.5</v>
      </c>
      <c r="G21" s="45">
        <v>20.5</v>
      </c>
      <c r="H21" s="45">
        <v>20.5</v>
      </c>
      <c r="I21" s="45">
        <v>20.5</v>
      </c>
      <c r="J21" s="45">
        <v>20.5</v>
      </c>
      <c r="K21" s="45">
        <v>20.5</v>
      </c>
      <c r="L21" s="45">
        <v>20.5</v>
      </c>
      <c r="M21" s="45">
        <v>20.5</v>
      </c>
      <c r="N21" s="45">
        <v>20.5</v>
      </c>
      <c r="O21" s="45">
        <v>20.5</v>
      </c>
      <c r="P21" s="45">
        <v>20.5</v>
      </c>
      <c r="Q21" s="45">
        <v>20.5</v>
      </c>
      <c r="R21" s="45">
        <v>20.5</v>
      </c>
      <c r="S21" s="45">
        <v>20.5</v>
      </c>
      <c r="T21" s="45">
        <v>20.5</v>
      </c>
      <c r="U21" s="45">
        <v>20.5</v>
      </c>
      <c r="V21" s="45">
        <v>20.5</v>
      </c>
      <c r="W21" s="45">
        <v>20.5</v>
      </c>
      <c r="X21" s="45">
        <v>20.5</v>
      </c>
      <c r="Y21" s="45">
        <v>20.5</v>
      </c>
      <c r="Z21" s="45">
        <v>20.5</v>
      </c>
      <c r="AA21" s="45">
        <v>20.5</v>
      </c>
      <c r="AB21" s="45">
        <v>20.5</v>
      </c>
      <c r="AC21" s="45">
        <v>20.5</v>
      </c>
      <c r="AD21" s="45">
        <v>20.5</v>
      </c>
      <c r="AE21" s="45">
        <v>20.5</v>
      </c>
      <c r="AF21" s="45">
        <v>20.5</v>
      </c>
      <c r="AG21" s="51">
        <v>23.5</v>
      </c>
      <c r="AH21" s="48">
        <f t="shared" si="2"/>
        <v>20.5</v>
      </c>
      <c r="AI21" s="49">
        <f t="shared" si="3"/>
        <v>20.5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13</v>
      </c>
      <c r="C22" s="45">
        <v>13</v>
      </c>
      <c r="D22" s="45">
        <v>13</v>
      </c>
      <c r="E22" s="45">
        <v>13</v>
      </c>
      <c r="F22" s="45">
        <v>13</v>
      </c>
      <c r="G22" s="45">
        <v>13</v>
      </c>
      <c r="H22" s="45">
        <v>13</v>
      </c>
      <c r="I22" s="45">
        <v>13</v>
      </c>
      <c r="J22" s="45">
        <v>13</v>
      </c>
      <c r="K22" s="45">
        <v>13</v>
      </c>
      <c r="L22" s="45">
        <v>13</v>
      </c>
      <c r="M22" s="45">
        <v>13</v>
      </c>
      <c r="N22" s="45">
        <v>13</v>
      </c>
      <c r="O22" s="45">
        <v>13</v>
      </c>
      <c r="P22" s="45">
        <v>13</v>
      </c>
      <c r="Q22" s="45">
        <v>13</v>
      </c>
      <c r="R22" s="45">
        <v>13</v>
      </c>
      <c r="S22" s="45">
        <v>13</v>
      </c>
      <c r="T22" s="45">
        <v>13</v>
      </c>
      <c r="U22" s="45">
        <v>13</v>
      </c>
      <c r="V22" s="45">
        <v>13</v>
      </c>
      <c r="W22" s="45">
        <v>13</v>
      </c>
      <c r="X22" s="45">
        <v>13</v>
      </c>
      <c r="Y22" s="45">
        <v>13</v>
      </c>
      <c r="Z22" s="45">
        <v>13</v>
      </c>
      <c r="AA22" s="45">
        <v>13</v>
      </c>
      <c r="AB22" s="45">
        <v>13</v>
      </c>
      <c r="AC22" s="45">
        <v>13</v>
      </c>
      <c r="AD22" s="45">
        <v>13</v>
      </c>
      <c r="AE22" s="45">
        <v>13</v>
      </c>
      <c r="AF22" s="45">
        <v>13</v>
      </c>
      <c r="AG22" s="51">
        <v>22.2</v>
      </c>
      <c r="AH22" s="48">
        <f t="shared" si="2"/>
        <v>13</v>
      </c>
      <c r="AI22" s="49">
        <f t="shared" si="3"/>
        <v>13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18</v>
      </c>
      <c r="C23" s="45">
        <v>18</v>
      </c>
      <c r="D23" s="45">
        <v>18</v>
      </c>
      <c r="E23" s="45">
        <v>18</v>
      </c>
      <c r="F23" s="45">
        <v>18</v>
      </c>
      <c r="G23" s="45">
        <v>18</v>
      </c>
      <c r="H23" s="45">
        <v>18</v>
      </c>
      <c r="I23" s="45">
        <v>18</v>
      </c>
      <c r="J23" s="45">
        <v>18</v>
      </c>
      <c r="K23" s="45">
        <v>18</v>
      </c>
      <c r="L23" s="45">
        <v>18</v>
      </c>
      <c r="M23" s="45">
        <v>18</v>
      </c>
      <c r="N23" s="45">
        <v>18</v>
      </c>
      <c r="O23" s="45">
        <v>18</v>
      </c>
      <c r="P23" s="45">
        <v>18</v>
      </c>
      <c r="Q23" s="45">
        <v>18</v>
      </c>
      <c r="R23" s="45">
        <v>18</v>
      </c>
      <c r="S23" s="45">
        <v>18</v>
      </c>
      <c r="T23" s="45">
        <v>18</v>
      </c>
      <c r="U23" s="45">
        <v>18</v>
      </c>
      <c r="V23" s="45">
        <v>18</v>
      </c>
      <c r="W23" s="45">
        <v>18</v>
      </c>
      <c r="X23" s="45">
        <v>18</v>
      </c>
      <c r="Y23" s="45">
        <v>18</v>
      </c>
      <c r="Z23" s="45">
        <v>18</v>
      </c>
      <c r="AA23" s="45">
        <v>18</v>
      </c>
      <c r="AB23" s="45">
        <v>18</v>
      </c>
      <c r="AC23" s="45">
        <v>18</v>
      </c>
      <c r="AD23" s="45">
        <v>18</v>
      </c>
      <c r="AE23" s="45">
        <v>18</v>
      </c>
      <c r="AF23" s="45">
        <v>18</v>
      </c>
      <c r="AG23" s="51">
        <v>22.1</v>
      </c>
      <c r="AH23" s="48">
        <f t="shared" si="2"/>
        <v>18</v>
      </c>
      <c r="AI23" s="49">
        <f t="shared" si="3"/>
        <v>18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20</v>
      </c>
      <c r="C24" s="45">
        <v>20</v>
      </c>
      <c r="D24" s="45">
        <v>20</v>
      </c>
      <c r="E24" s="45">
        <v>20</v>
      </c>
      <c r="F24" s="45">
        <v>20</v>
      </c>
      <c r="G24" s="45">
        <v>20</v>
      </c>
      <c r="H24" s="45">
        <v>20</v>
      </c>
      <c r="I24" s="45">
        <v>20</v>
      </c>
      <c r="J24" s="45">
        <v>20</v>
      </c>
      <c r="K24" s="45">
        <v>20</v>
      </c>
      <c r="L24" s="45">
        <v>20</v>
      </c>
      <c r="M24" s="45">
        <v>20</v>
      </c>
      <c r="N24" s="45">
        <v>20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18</v>
      </c>
      <c r="AG24" s="51">
        <v>22</v>
      </c>
      <c r="AH24" s="48">
        <f t="shared" si="2"/>
        <v>20</v>
      </c>
      <c r="AI24" s="49">
        <f t="shared" si="3"/>
        <v>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15</v>
      </c>
      <c r="C25" s="45">
        <v>15</v>
      </c>
      <c r="D25" s="45">
        <v>15</v>
      </c>
      <c r="E25" s="45">
        <v>18</v>
      </c>
      <c r="F25" s="45">
        <v>18</v>
      </c>
      <c r="G25" s="45">
        <v>18</v>
      </c>
      <c r="H25" s="45">
        <v>18</v>
      </c>
      <c r="I25" s="45">
        <v>18</v>
      </c>
      <c r="J25" s="45">
        <v>18</v>
      </c>
      <c r="K25" s="45">
        <v>18</v>
      </c>
      <c r="L25" s="45">
        <v>18</v>
      </c>
      <c r="M25" s="45">
        <v>18</v>
      </c>
      <c r="N25" s="45">
        <v>18</v>
      </c>
      <c r="O25" s="45">
        <v>18</v>
      </c>
      <c r="P25" s="45">
        <v>18</v>
      </c>
      <c r="Q25" s="45">
        <v>18</v>
      </c>
      <c r="R25" s="45">
        <v>18</v>
      </c>
      <c r="S25" s="45">
        <v>18</v>
      </c>
      <c r="T25" s="45">
        <v>18</v>
      </c>
      <c r="U25" s="45">
        <v>18</v>
      </c>
      <c r="V25" s="45">
        <v>18</v>
      </c>
      <c r="W25" s="45">
        <v>18</v>
      </c>
      <c r="X25" s="45">
        <v>18</v>
      </c>
      <c r="Y25" s="45">
        <v>18</v>
      </c>
      <c r="Z25" s="45">
        <v>18</v>
      </c>
      <c r="AA25" s="45">
        <v>18</v>
      </c>
      <c r="AB25" s="45">
        <v>18</v>
      </c>
      <c r="AC25" s="45">
        <v>18</v>
      </c>
      <c r="AD25" s="45">
        <v>18</v>
      </c>
      <c r="AE25" s="45">
        <v>18</v>
      </c>
      <c r="AF25" s="45">
        <v>18</v>
      </c>
      <c r="AG25" s="51">
        <v>22</v>
      </c>
      <c r="AH25" s="48">
        <f t="shared" si="2"/>
        <v>18</v>
      </c>
      <c r="AI25" s="49">
        <f t="shared" si="3"/>
        <v>15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5</v>
      </c>
      <c r="L26" s="45">
        <v>5</v>
      </c>
      <c r="M26" s="45">
        <v>5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5</v>
      </c>
      <c r="Y26" s="45">
        <v>5</v>
      </c>
      <c r="Z26" s="45">
        <v>5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51">
        <v>20</v>
      </c>
      <c r="AH26" s="48">
        <f t="shared" si="2"/>
        <v>5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11</v>
      </c>
      <c r="C27" s="45">
        <v>11</v>
      </c>
      <c r="D27" s="45">
        <v>11</v>
      </c>
      <c r="E27" s="45">
        <v>11</v>
      </c>
      <c r="F27" s="45">
        <v>11</v>
      </c>
      <c r="G27" s="45">
        <v>11</v>
      </c>
      <c r="H27" s="45">
        <v>11</v>
      </c>
      <c r="I27" s="45">
        <v>11</v>
      </c>
      <c r="J27" s="45">
        <v>11</v>
      </c>
      <c r="K27" s="45">
        <v>11</v>
      </c>
      <c r="L27" s="45">
        <v>11</v>
      </c>
      <c r="M27" s="45">
        <v>11</v>
      </c>
      <c r="N27" s="45">
        <v>11</v>
      </c>
      <c r="O27" s="45">
        <v>11</v>
      </c>
      <c r="P27" s="45">
        <v>11</v>
      </c>
      <c r="Q27" s="45">
        <v>11</v>
      </c>
      <c r="R27" s="45">
        <v>11</v>
      </c>
      <c r="S27" s="45">
        <v>11</v>
      </c>
      <c r="T27" s="45">
        <v>11</v>
      </c>
      <c r="U27" s="45">
        <v>11</v>
      </c>
      <c r="V27" s="45">
        <v>11</v>
      </c>
      <c r="W27" s="45">
        <v>11</v>
      </c>
      <c r="X27" s="45">
        <v>11</v>
      </c>
      <c r="Y27" s="45">
        <v>11</v>
      </c>
      <c r="Z27" s="45">
        <v>11</v>
      </c>
      <c r="AA27" s="45">
        <v>11</v>
      </c>
      <c r="AB27" s="45">
        <v>11</v>
      </c>
      <c r="AC27" s="45">
        <v>11</v>
      </c>
      <c r="AD27" s="45">
        <v>11</v>
      </c>
      <c r="AE27" s="45">
        <v>11</v>
      </c>
      <c r="AF27" s="45">
        <v>11</v>
      </c>
      <c r="AG27" s="51">
        <v>14.9</v>
      </c>
      <c r="AH27" s="48">
        <f t="shared" si="2"/>
        <v>11</v>
      </c>
      <c r="AI27" s="49">
        <f t="shared" si="3"/>
        <v>11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4</v>
      </c>
      <c r="C28" s="45">
        <v>4</v>
      </c>
      <c r="D28" s="45">
        <v>4</v>
      </c>
      <c r="E28" s="45">
        <v>4</v>
      </c>
      <c r="F28" s="45">
        <v>4</v>
      </c>
      <c r="G28" s="45">
        <v>4</v>
      </c>
      <c r="H28" s="45">
        <v>4</v>
      </c>
      <c r="I28" s="45">
        <v>4</v>
      </c>
      <c r="J28" s="45">
        <v>4</v>
      </c>
      <c r="K28" s="45">
        <v>4</v>
      </c>
      <c r="L28" s="45">
        <v>4</v>
      </c>
      <c r="M28" s="45">
        <v>4</v>
      </c>
      <c r="N28" s="45">
        <v>4</v>
      </c>
      <c r="O28" s="45">
        <v>4</v>
      </c>
      <c r="P28" s="45">
        <v>4</v>
      </c>
      <c r="Q28" s="45">
        <v>4</v>
      </c>
      <c r="R28" s="45">
        <v>4</v>
      </c>
      <c r="S28" s="45">
        <v>4</v>
      </c>
      <c r="T28" s="45">
        <v>4</v>
      </c>
      <c r="U28" s="45">
        <v>4</v>
      </c>
      <c r="V28" s="45">
        <v>4</v>
      </c>
      <c r="W28" s="45">
        <v>4</v>
      </c>
      <c r="X28" s="45">
        <v>4</v>
      </c>
      <c r="Y28" s="45">
        <v>4</v>
      </c>
      <c r="Z28" s="45">
        <v>4</v>
      </c>
      <c r="AA28" s="45">
        <v>4</v>
      </c>
      <c r="AB28" s="45">
        <v>4</v>
      </c>
      <c r="AC28" s="45">
        <v>4</v>
      </c>
      <c r="AD28" s="45">
        <v>4</v>
      </c>
      <c r="AE28" s="45">
        <v>4</v>
      </c>
      <c r="AF28" s="45">
        <v>4</v>
      </c>
      <c r="AG28" s="51">
        <v>13.6</v>
      </c>
      <c r="AH28" s="48">
        <f t="shared" si="2"/>
        <v>4</v>
      </c>
      <c r="AI28" s="49">
        <f t="shared" si="3"/>
        <v>4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12</v>
      </c>
      <c r="C29" s="45">
        <v>12</v>
      </c>
      <c r="D29" s="45">
        <v>12</v>
      </c>
      <c r="E29" s="45">
        <v>12</v>
      </c>
      <c r="F29" s="45">
        <v>12</v>
      </c>
      <c r="G29" s="45">
        <v>12</v>
      </c>
      <c r="H29" s="45">
        <v>12</v>
      </c>
      <c r="I29" s="45">
        <v>12</v>
      </c>
      <c r="J29" s="45">
        <v>12</v>
      </c>
      <c r="K29" s="45">
        <v>12</v>
      </c>
      <c r="L29" s="45">
        <v>12</v>
      </c>
      <c r="M29" s="45">
        <v>12</v>
      </c>
      <c r="N29" s="45">
        <v>12</v>
      </c>
      <c r="O29" s="45">
        <v>12</v>
      </c>
      <c r="P29" s="45">
        <v>12</v>
      </c>
      <c r="Q29" s="45">
        <v>12</v>
      </c>
      <c r="R29" s="45">
        <v>12</v>
      </c>
      <c r="S29" s="45">
        <v>12</v>
      </c>
      <c r="T29" s="45">
        <v>12</v>
      </c>
      <c r="U29" s="45">
        <v>12</v>
      </c>
      <c r="V29" s="45">
        <v>12</v>
      </c>
      <c r="W29" s="45">
        <v>12</v>
      </c>
      <c r="X29" s="45">
        <v>12</v>
      </c>
      <c r="Y29" s="45">
        <v>12</v>
      </c>
      <c r="Z29" s="45">
        <v>12</v>
      </c>
      <c r="AA29" s="45">
        <v>12</v>
      </c>
      <c r="AB29" s="45">
        <v>12</v>
      </c>
      <c r="AC29" s="45">
        <v>12</v>
      </c>
      <c r="AD29" s="45">
        <v>12</v>
      </c>
      <c r="AE29" s="45">
        <v>12</v>
      </c>
      <c r="AF29" s="45">
        <v>12</v>
      </c>
      <c r="AG29" s="51">
        <v>13</v>
      </c>
      <c r="AH29" s="48">
        <f t="shared" si="2"/>
        <v>12</v>
      </c>
      <c r="AI29" s="49">
        <f t="shared" si="3"/>
        <v>12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6</v>
      </c>
      <c r="K30" s="45">
        <v>6</v>
      </c>
      <c r="L30" s="45">
        <v>6</v>
      </c>
      <c r="M30" s="45">
        <v>6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3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51">
        <v>12</v>
      </c>
      <c r="AH30" s="48">
        <f t="shared" si="2"/>
        <v>6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12</v>
      </c>
      <c r="C31" s="45">
        <v>12</v>
      </c>
      <c r="D31" s="45">
        <v>12</v>
      </c>
      <c r="E31" s="45">
        <v>12</v>
      </c>
      <c r="F31" s="45">
        <v>12</v>
      </c>
      <c r="G31" s="45">
        <v>12</v>
      </c>
      <c r="H31" s="45">
        <v>12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2"/>
        <v>12</v>
      </c>
      <c r="AI31" s="49">
        <f t="shared" si="3"/>
        <v>12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7</v>
      </c>
      <c r="C32" s="45">
        <v>7</v>
      </c>
      <c r="D32" s="45">
        <v>7</v>
      </c>
      <c r="E32" s="45">
        <v>7</v>
      </c>
      <c r="F32" s="45">
        <v>7</v>
      </c>
      <c r="G32" s="45">
        <v>7</v>
      </c>
      <c r="H32" s="45">
        <v>7</v>
      </c>
      <c r="I32" s="45">
        <v>7</v>
      </c>
      <c r="J32" s="45">
        <v>7</v>
      </c>
      <c r="K32" s="45">
        <v>7</v>
      </c>
      <c r="L32" s="45">
        <v>7</v>
      </c>
      <c r="M32" s="45">
        <v>7</v>
      </c>
      <c r="N32" s="45">
        <v>9</v>
      </c>
      <c r="O32" s="45">
        <v>9</v>
      </c>
      <c r="P32" s="45">
        <v>9</v>
      </c>
      <c r="Q32" s="45">
        <v>9</v>
      </c>
      <c r="R32" s="45">
        <v>9</v>
      </c>
      <c r="S32" s="45">
        <v>9</v>
      </c>
      <c r="T32" s="45">
        <v>9</v>
      </c>
      <c r="U32" s="45">
        <v>9</v>
      </c>
      <c r="V32" s="45">
        <v>9</v>
      </c>
      <c r="W32" s="45">
        <v>9</v>
      </c>
      <c r="X32" s="45">
        <v>9</v>
      </c>
      <c r="Y32" s="45">
        <v>9</v>
      </c>
      <c r="Z32" s="45">
        <v>9</v>
      </c>
      <c r="AA32" s="45">
        <v>9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1">
        <v>12</v>
      </c>
      <c r="AH32" s="48">
        <f t="shared" si="2"/>
        <v>9</v>
      </c>
      <c r="AI32" s="49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8</v>
      </c>
      <c r="C33" s="45">
        <v>8</v>
      </c>
      <c r="D33" s="45">
        <v>8</v>
      </c>
      <c r="E33" s="45">
        <v>8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3">
        <v>22</v>
      </c>
      <c r="AH33" s="48">
        <f t="shared" si="2"/>
        <v>8</v>
      </c>
      <c r="AI33" s="49">
        <f t="shared" si="3"/>
        <v>8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11</v>
      </c>
      <c r="C34" s="45">
        <v>11</v>
      </c>
      <c r="D34" s="45">
        <v>11</v>
      </c>
      <c r="E34" s="45">
        <v>11</v>
      </c>
      <c r="F34" s="45">
        <v>11</v>
      </c>
      <c r="G34" s="45">
        <v>11</v>
      </c>
      <c r="H34" s="45">
        <v>11</v>
      </c>
      <c r="I34" s="45">
        <v>11</v>
      </c>
      <c r="J34" s="45">
        <v>11</v>
      </c>
      <c r="K34" s="45">
        <v>11</v>
      </c>
      <c r="L34" s="45">
        <v>11</v>
      </c>
      <c r="M34" s="45">
        <v>11</v>
      </c>
      <c r="N34" s="45">
        <v>11</v>
      </c>
      <c r="O34" s="45">
        <v>11</v>
      </c>
      <c r="P34" s="45">
        <v>11</v>
      </c>
      <c r="Q34" s="45">
        <v>11</v>
      </c>
      <c r="R34" s="45">
        <v>11</v>
      </c>
      <c r="S34" s="45">
        <v>11</v>
      </c>
      <c r="T34" s="45">
        <v>11</v>
      </c>
      <c r="U34" s="45">
        <v>11</v>
      </c>
      <c r="V34" s="45">
        <v>11</v>
      </c>
      <c r="W34" s="45">
        <v>11</v>
      </c>
      <c r="X34" s="45">
        <v>11</v>
      </c>
      <c r="Y34" s="45">
        <v>11</v>
      </c>
      <c r="Z34" s="45">
        <v>11</v>
      </c>
      <c r="AA34" s="45">
        <v>11</v>
      </c>
      <c r="AB34" s="45">
        <v>11</v>
      </c>
      <c r="AC34" s="45">
        <v>11</v>
      </c>
      <c r="AD34" s="45">
        <v>11</v>
      </c>
      <c r="AE34" s="45">
        <v>11</v>
      </c>
      <c r="AF34" s="45">
        <v>11</v>
      </c>
      <c r="AG34" s="52">
        <v>11.88</v>
      </c>
      <c r="AH34" s="48">
        <f t="shared" si="2"/>
        <v>11</v>
      </c>
      <c r="AI34" s="49">
        <f t="shared" si="3"/>
        <v>11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9</v>
      </c>
      <c r="C35" s="45">
        <v>9</v>
      </c>
      <c r="D35" s="45">
        <v>9</v>
      </c>
      <c r="E35" s="45">
        <v>9</v>
      </c>
      <c r="F35" s="45">
        <v>9</v>
      </c>
      <c r="G35" s="45">
        <v>9</v>
      </c>
      <c r="H35" s="45">
        <v>9</v>
      </c>
      <c r="I35" s="45">
        <v>9</v>
      </c>
      <c r="J35" s="45">
        <v>9</v>
      </c>
      <c r="K35" s="45">
        <v>9</v>
      </c>
      <c r="L35" s="45">
        <v>9</v>
      </c>
      <c r="M35" s="45">
        <v>9</v>
      </c>
      <c r="N35" s="45">
        <v>9</v>
      </c>
      <c r="O35" s="45">
        <v>9</v>
      </c>
      <c r="P35" s="45">
        <v>9</v>
      </c>
      <c r="Q35" s="45">
        <v>9</v>
      </c>
      <c r="R35" s="45">
        <v>9</v>
      </c>
      <c r="S35" s="45">
        <v>9</v>
      </c>
      <c r="T35" s="45">
        <v>9</v>
      </c>
      <c r="U35" s="45">
        <v>9</v>
      </c>
      <c r="V35" s="45">
        <v>9</v>
      </c>
      <c r="W35" s="45">
        <v>9</v>
      </c>
      <c r="X35" s="45">
        <v>9</v>
      </c>
      <c r="Y35" s="45">
        <v>9</v>
      </c>
      <c r="Z35" s="45">
        <v>9</v>
      </c>
      <c r="AA35" s="45">
        <v>9</v>
      </c>
      <c r="AB35" s="45">
        <v>9</v>
      </c>
      <c r="AC35" s="45">
        <v>9</v>
      </c>
      <c r="AD35" s="45">
        <v>9</v>
      </c>
      <c r="AE35" s="45">
        <v>9</v>
      </c>
      <c r="AF35" s="45">
        <v>9</v>
      </c>
      <c r="AG35" s="55">
        <v>11</v>
      </c>
      <c r="AH35" s="48">
        <f t="shared" si="2"/>
        <v>9</v>
      </c>
      <c r="AI35" s="49">
        <f t="shared" si="3"/>
        <v>9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5">
        <v>10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0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285</v>
      </c>
      <c r="C38" s="57">
        <v>285</v>
      </c>
      <c r="D38" s="57">
        <v>275</v>
      </c>
      <c r="E38" s="57">
        <v>275</v>
      </c>
      <c r="F38" s="57">
        <v>270</v>
      </c>
      <c r="G38" s="57">
        <v>270</v>
      </c>
      <c r="H38" s="57">
        <v>270</v>
      </c>
      <c r="I38" s="57">
        <v>270</v>
      </c>
      <c r="J38" s="57">
        <v>280</v>
      </c>
      <c r="K38" s="57">
        <v>300</v>
      </c>
      <c r="L38" s="57">
        <v>300</v>
      </c>
      <c r="M38" s="57">
        <v>300</v>
      </c>
      <c r="N38" s="57">
        <v>300</v>
      </c>
      <c r="O38" s="57">
        <v>300</v>
      </c>
      <c r="P38" s="57">
        <v>300</v>
      </c>
      <c r="Q38" s="57">
        <v>300</v>
      </c>
      <c r="R38" s="57">
        <v>300</v>
      </c>
      <c r="S38" s="57">
        <v>300</v>
      </c>
      <c r="T38" s="57">
        <v>300</v>
      </c>
      <c r="U38" s="57">
        <v>300</v>
      </c>
      <c r="V38" s="57">
        <v>300</v>
      </c>
      <c r="W38" s="57">
        <v>300</v>
      </c>
      <c r="X38" s="57">
        <v>300</v>
      </c>
      <c r="Y38" s="57">
        <v>300</v>
      </c>
      <c r="Z38" s="57">
        <v>300</v>
      </c>
      <c r="AA38" s="57">
        <v>300</v>
      </c>
      <c r="AB38" s="57">
        <v>300</v>
      </c>
      <c r="AC38" s="57">
        <v>300</v>
      </c>
      <c r="AD38" s="57">
        <v>300</v>
      </c>
      <c r="AE38" s="57">
        <v>300</v>
      </c>
      <c r="AF38" s="57">
        <v>300</v>
      </c>
      <c r="AG38" s="55">
        <v>85</v>
      </c>
      <c r="AH38" s="48">
        <f t="shared" si="2"/>
        <v>300</v>
      </c>
      <c r="AI38" s="49">
        <f t="shared" si="3"/>
        <v>270</v>
      </c>
      <c r="AK38" s="50"/>
    </row>
    <row r="39" spans="1:88" ht="15.75" thickBot="1" x14ac:dyDescent="0.3">
      <c r="A39" s="58" t="s">
        <v>47</v>
      </c>
      <c r="B39" s="59">
        <v>132.1</v>
      </c>
      <c r="C39" s="59">
        <f>73.4+60.2</f>
        <v>133.60000000000002</v>
      </c>
      <c r="D39" s="59">
        <f>73.4+60.2</f>
        <v>133.60000000000002</v>
      </c>
      <c r="E39" s="59">
        <f>72.9+61.1</f>
        <v>134</v>
      </c>
      <c r="F39" s="59">
        <f>73.4+61.3</f>
        <v>134.69999999999999</v>
      </c>
      <c r="G39" s="59">
        <f>72.9+61.2</f>
        <v>134.10000000000002</v>
      </c>
      <c r="H39" s="59">
        <f>71.5+60.9</f>
        <v>132.4</v>
      </c>
      <c r="I39" s="59">
        <f>71.6+62.2</f>
        <v>133.80000000000001</v>
      </c>
      <c r="J39" s="59">
        <f>71.3+63</f>
        <v>134.30000000000001</v>
      </c>
      <c r="K39" s="59">
        <f>72.2+63.2</f>
        <v>135.4</v>
      </c>
      <c r="L39" s="57">
        <f>71+63.4</f>
        <v>134.4</v>
      </c>
      <c r="M39" s="57">
        <f>62.1+71.3</f>
        <v>133.4</v>
      </c>
      <c r="N39" s="57">
        <f>60.9+56.3</f>
        <v>117.19999999999999</v>
      </c>
      <c r="O39" s="57">
        <f>60.2+52</f>
        <v>112.2</v>
      </c>
      <c r="P39" s="57">
        <f>60.2+52</f>
        <v>112.2</v>
      </c>
      <c r="Q39" s="57">
        <f>59.4+49.7</f>
        <v>109.1</v>
      </c>
      <c r="R39" s="57">
        <f>59.4+49.7</f>
        <v>109.1</v>
      </c>
      <c r="S39" s="57">
        <f>59.4+52.9</f>
        <v>112.3</v>
      </c>
      <c r="T39" s="57">
        <f>58.7+55.1</f>
        <v>113.80000000000001</v>
      </c>
      <c r="U39" s="57">
        <f>59.2+52.7</f>
        <v>111.9</v>
      </c>
      <c r="V39" s="59">
        <f>50.8+59.4</f>
        <v>110.19999999999999</v>
      </c>
      <c r="W39" s="59">
        <f>58.8+51</f>
        <v>109.8</v>
      </c>
      <c r="X39" s="59">
        <f>58.8+51</f>
        <v>109.8</v>
      </c>
      <c r="Y39" s="59">
        <v>108.69999999999999</v>
      </c>
      <c r="Z39" s="59">
        <f>56.9+50.7</f>
        <v>107.6</v>
      </c>
      <c r="AA39" s="59">
        <f>56.3+51.7</f>
        <v>108</v>
      </c>
      <c r="AB39" s="59">
        <f>56.3+51.7</f>
        <v>108</v>
      </c>
      <c r="AC39" s="59">
        <f>56.3+51.7</f>
        <v>108</v>
      </c>
      <c r="AD39" s="59">
        <f>56.3+51.7</f>
        <v>108</v>
      </c>
      <c r="AE39" s="59">
        <f>56.3+51.7</f>
        <v>108</v>
      </c>
      <c r="AF39" s="59">
        <v>133</v>
      </c>
      <c r="AG39" s="55">
        <v>240</v>
      </c>
      <c r="AH39" s="48">
        <f t="shared" si="2"/>
        <v>135.4</v>
      </c>
      <c r="AI39" s="49">
        <f t="shared" si="3"/>
        <v>107.6</v>
      </c>
      <c r="AK39" s="50"/>
    </row>
    <row r="40" spans="1:88" ht="15.75" thickBot="1" x14ac:dyDescent="0.3">
      <c r="A40" s="60" t="s">
        <v>48</v>
      </c>
      <c r="B40" s="61">
        <f t="shared" ref="B40:AG40" si="4">SUM(B11:B38)</f>
        <v>668.6</v>
      </c>
      <c r="C40" s="61">
        <f t="shared" si="4"/>
        <v>688.5</v>
      </c>
      <c r="D40" s="61">
        <f t="shared" si="4"/>
        <v>678.5</v>
      </c>
      <c r="E40" s="61">
        <f t="shared" si="4"/>
        <v>676.6</v>
      </c>
      <c r="F40" s="61">
        <f t="shared" si="4"/>
        <v>665.5</v>
      </c>
      <c r="G40" s="61">
        <f t="shared" si="4"/>
        <v>665.9</v>
      </c>
      <c r="H40" s="61">
        <f t="shared" si="4"/>
        <v>665.9</v>
      </c>
      <c r="I40" s="61">
        <f t="shared" si="4"/>
        <v>696.2</v>
      </c>
      <c r="J40" s="61">
        <f t="shared" si="4"/>
        <v>736.2</v>
      </c>
      <c r="K40" s="61">
        <f t="shared" si="4"/>
        <v>781.3</v>
      </c>
      <c r="L40" s="61">
        <f t="shared" si="4"/>
        <v>773.3</v>
      </c>
      <c r="M40" s="61">
        <f t="shared" si="4"/>
        <v>772.3</v>
      </c>
      <c r="N40" s="61">
        <f t="shared" si="4"/>
        <v>732.5</v>
      </c>
      <c r="O40" s="61">
        <f t="shared" si="4"/>
        <v>711.3</v>
      </c>
      <c r="P40" s="61">
        <f t="shared" ref="P40" si="5">SUM(P11:P38)</f>
        <v>711.3</v>
      </c>
      <c r="Q40" s="61">
        <f t="shared" si="4"/>
        <v>711.3</v>
      </c>
      <c r="R40" s="61">
        <f t="shared" si="4"/>
        <v>711.3</v>
      </c>
      <c r="S40" s="61">
        <f t="shared" si="4"/>
        <v>699.6</v>
      </c>
      <c r="T40" s="61">
        <f t="shared" si="4"/>
        <v>705.4</v>
      </c>
      <c r="U40" s="61">
        <f t="shared" si="4"/>
        <v>705.9</v>
      </c>
      <c r="V40" s="61">
        <f t="shared" si="4"/>
        <v>717.2</v>
      </c>
      <c r="W40" s="61">
        <f t="shared" si="4"/>
        <v>719.1</v>
      </c>
      <c r="X40" s="61">
        <f t="shared" si="4"/>
        <v>744.6</v>
      </c>
      <c r="Y40" s="61">
        <f t="shared" si="4"/>
        <v>731.6</v>
      </c>
      <c r="Z40" s="61">
        <f t="shared" si="4"/>
        <v>725.9</v>
      </c>
      <c r="AA40" s="61">
        <f t="shared" si="4"/>
        <v>730.9</v>
      </c>
      <c r="AB40" s="61">
        <f t="shared" si="4"/>
        <v>728.7</v>
      </c>
      <c r="AC40" s="61">
        <f t="shared" si="4"/>
        <v>698</v>
      </c>
      <c r="AD40" s="61">
        <f t="shared" si="4"/>
        <v>694.4</v>
      </c>
      <c r="AE40" s="61">
        <f t="shared" si="4"/>
        <v>684.5</v>
      </c>
      <c r="AF40" s="61">
        <f t="shared" si="4"/>
        <v>694</v>
      </c>
      <c r="AG40" s="62">
        <f t="shared" si="4"/>
        <v>707.78000000000009</v>
      </c>
      <c r="AH40" s="48">
        <f t="shared" si="2"/>
        <v>781.3</v>
      </c>
      <c r="AI40" s="49">
        <f t="shared" si="3"/>
        <v>665.5</v>
      </c>
      <c r="AK40" s="50"/>
    </row>
    <row r="41" spans="1:88" x14ac:dyDescent="0.25">
      <c r="A41" s="63" t="s">
        <v>49</v>
      </c>
      <c r="B41" s="45">
        <v>290</v>
      </c>
      <c r="C41" s="45">
        <v>290</v>
      </c>
      <c r="D41" s="45">
        <v>290</v>
      </c>
      <c r="E41" s="45">
        <v>270</v>
      </c>
      <c r="F41" s="45">
        <v>270</v>
      </c>
      <c r="G41" s="45">
        <v>270</v>
      </c>
      <c r="H41" s="45">
        <v>270</v>
      </c>
      <c r="I41" s="45">
        <v>270</v>
      </c>
      <c r="J41" s="45">
        <v>260</v>
      </c>
      <c r="K41" s="45">
        <v>305</v>
      </c>
      <c r="L41" s="45">
        <v>305</v>
      </c>
      <c r="M41" s="45">
        <v>305</v>
      </c>
      <c r="N41" s="45">
        <v>305</v>
      </c>
      <c r="O41" s="45">
        <v>305</v>
      </c>
      <c r="P41" s="45">
        <v>305</v>
      </c>
      <c r="Q41" s="45">
        <v>270</v>
      </c>
      <c r="R41" s="45">
        <v>270</v>
      </c>
      <c r="S41" s="45">
        <v>135</v>
      </c>
      <c r="T41" s="45">
        <v>101.1</v>
      </c>
      <c r="U41" s="45">
        <v>300</v>
      </c>
      <c r="V41" s="45">
        <v>300</v>
      </c>
      <c r="W41" s="45">
        <v>370</v>
      </c>
      <c r="X41" s="45">
        <v>400</v>
      </c>
      <c r="Y41" s="45">
        <v>360</v>
      </c>
      <c r="Z41" s="45">
        <v>240</v>
      </c>
      <c r="AA41" s="45">
        <v>230</v>
      </c>
      <c r="AB41" s="45">
        <v>208</v>
      </c>
      <c r="AC41" s="45">
        <v>230</v>
      </c>
      <c r="AD41" s="45">
        <v>230</v>
      </c>
      <c r="AE41" s="45">
        <v>230</v>
      </c>
      <c r="AF41" s="45">
        <v>200</v>
      </c>
      <c r="AG41" s="52">
        <v>456</v>
      </c>
      <c r="AH41" s="48">
        <f t="shared" si="2"/>
        <v>400</v>
      </c>
      <c r="AI41" s="49">
        <f t="shared" si="3"/>
        <v>101.1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22</v>
      </c>
      <c r="C43" s="67">
        <v>22</v>
      </c>
      <c r="D43" s="67">
        <v>22</v>
      </c>
      <c r="E43" s="67">
        <v>22.4</v>
      </c>
      <c r="F43" s="67">
        <v>22.4</v>
      </c>
      <c r="G43" s="67">
        <v>22.4</v>
      </c>
      <c r="H43" s="67">
        <v>22.4</v>
      </c>
      <c r="I43" s="67">
        <v>22.4</v>
      </c>
      <c r="J43" s="67">
        <v>22.4</v>
      </c>
      <c r="K43" s="67">
        <v>22.4</v>
      </c>
      <c r="L43" s="67">
        <v>22.4</v>
      </c>
      <c r="M43" s="67">
        <v>22.4</v>
      </c>
      <c r="N43" s="67">
        <v>22.4</v>
      </c>
      <c r="O43" s="67">
        <v>22.4</v>
      </c>
      <c r="P43" s="67">
        <v>22.4</v>
      </c>
      <c r="Q43" s="67">
        <v>22.4</v>
      </c>
      <c r="R43" s="67">
        <v>22.4</v>
      </c>
      <c r="S43" s="67">
        <v>22.1</v>
      </c>
      <c r="T43" s="67">
        <v>22.1</v>
      </c>
      <c r="U43" s="67">
        <v>22.1</v>
      </c>
      <c r="V43" s="67">
        <v>22.1</v>
      </c>
      <c r="W43" s="67">
        <v>22.1</v>
      </c>
      <c r="X43" s="67">
        <v>22</v>
      </c>
      <c r="Y43" s="67">
        <v>22</v>
      </c>
      <c r="Z43" s="67">
        <v>22.4</v>
      </c>
      <c r="AA43" s="67">
        <v>22.5</v>
      </c>
      <c r="AB43" s="67">
        <v>22.5</v>
      </c>
      <c r="AC43" s="67">
        <v>22.5</v>
      </c>
      <c r="AD43" s="67">
        <v>22.5</v>
      </c>
      <c r="AE43" s="67">
        <v>22.5</v>
      </c>
      <c r="AF43" s="67">
        <v>22.5</v>
      </c>
      <c r="AG43" s="68">
        <v>22.1</v>
      </c>
      <c r="AH43" s="48">
        <f t="shared" si="2"/>
        <v>22.5</v>
      </c>
      <c r="AI43" s="49">
        <f t="shared" si="3"/>
        <v>22</v>
      </c>
      <c r="AK43" s="50"/>
    </row>
    <row r="44" spans="1:88" ht="15.75" thickBot="1" x14ac:dyDescent="0.3">
      <c r="A44" s="69" t="s">
        <v>52</v>
      </c>
      <c r="B44" s="61">
        <f t="shared" ref="B44:AG44" si="6">SUM(B41:B43)</f>
        <v>372</v>
      </c>
      <c r="C44" s="61">
        <f t="shared" si="6"/>
        <v>372</v>
      </c>
      <c r="D44" s="61">
        <f t="shared" si="6"/>
        <v>372</v>
      </c>
      <c r="E44" s="61">
        <f t="shared" si="6"/>
        <v>352.4</v>
      </c>
      <c r="F44" s="61">
        <f t="shared" si="6"/>
        <v>352.4</v>
      </c>
      <c r="G44" s="61">
        <f t="shared" si="6"/>
        <v>352.4</v>
      </c>
      <c r="H44" s="61">
        <f t="shared" si="6"/>
        <v>352.4</v>
      </c>
      <c r="I44" s="61">
        <f t="shared" si="6"/>
        <v>352.4</v>
      </c>
      <c r="J44" s="61">
        <f t="shared" si="6"/>
        <v>342.4</v>
      </c>
      <c r="K44" s="61">
        <f t="shared" si="6"/>
        <v>387.4</v>
      </c>
      <c r="L44" s="61">
        <f t="shared" si="6"/>
        <v>387.4</v>
      </c>
      <c r="M44" s="61">
        <f t="shared" si="6"/>
        <v>387.4</v>
      </c>
      <c r="N44" s="61">
        <f t="shared" si="6"/>
        <v>387.4</v>
      </c>
      <c r="O44" s="61">
        <f t="shared" si="6"/>
        <v>387.4</v>
      </c>
      <c r="P44" s="61">
        <f t="shared" si="6"/>
        <v>387.4</v>
      </c>
      <c r="Q44" s="61">
        <f t="shared" si="6"/>
        <v>352.4</v>
      </c>
      <c r="R44" s="61">
        <f t="shared" si="6"/>
        <v>352.4</v>
      </c>
      <c r="S44" s="61">
        <f t="shared" si="6"/>
        <v>217.1</v>
      </c>
      <c r="T44" s="61">
        <f t="shared" si="6"/>
        <v>183.2</v>
      </c>
      <c r="U44" s="61">
        <f t="shared" si="6"/>
        <v>382.1</v>
      </c>
      <c r="V44" s="61">
        <f t="shared" si="6"/>
        <v>382.1</v>
      </c>
      <c r="W44" s="61">
        <f t="shared" si="6"/>
        <v>452.1</v>
      </c>
      <c r="X44" s="61">
        <f t="shared" si="6"/>
        <v>482</v>
      </c>
      <c r="Y44" s="61">
        <f t="shared" si="6"/>
        <v>442</v>
      </c>
      <c r="Z44" s="61">
        <f t="shared" si="6"/>
        <v>322.39999999999998</v>
      </c>
      <c r="AA44" s="61">
        <f t="shared" si="6"/>
        <v>312.5</v>
      </c>
      <c r="AB44" s="61">
        <f t="shared" si="6"/>
        <v>290.5</v>
      </c>
      <c r="AC44" s="61">
        <f t="shared" si="6"/>
        <v>312.5</v>
      </c>
      <c r="AD44" s="61">
        <f t="shared" si="6"/>
        <v>312.5</v>
      </c>
      <c r="AE44" s="61">
        <f t="shared" si="6"/>
        <v>312.5</v>
      </c>
      <c r="AF44" s="61">
        <f t="shared" si="6"/>
        <v>282.5</v>
      </c>
      <c r="AG44" s="62">
        <f t="shared" si="6"/>
        <v>538.1</v>
      </c>
      <c r="AH44" s="48">
        <f t="shared" si="2"/>
        <v>482</v>
      </c>
      <c r="AI44" s="49">
        <f t="shared" si="3"/>
        <v>183.2</v>
      </c>
      <c r="AK44" s="50"/>
    </row>
    <row r="45" spans="1:88" x14ac:dyDescent="0.25">
      <c r="A45" s="44" t="s">
        <v>53</v>
      </c>
      <c r="B45" s="45">
        <v>102</v>
      </c>
      <c r="C45" s="45">
        <v>90</v>
      </c>
      <c r="D45" s="45">
        <v>90</v>
      </c>
      <c r="E45" s="45">
        <v>91.3</v>
      </c>
      <c r="F45" s="45">
        <v>138.5</v>
      </c>
      <c r="G45" s="45">
        <v>139.4</v>
      </c>
      <c r="H45" s="45">
        <v>141.4</v>
      </c>
      <c r="I45" s="45">
        <v>143.4</v>
      </c>
      <c r="J45" s="45">
        <v>143.5</v>
      </c>
      <c r="K45" s="45">
        <v>143.6</v>
      </c>
      <c r="L45" s="45">
        <v>143.5</v>
      </c>
      <c r="M45" s="45">
        <v>143.6</v>
      </c>
      <c r="N45" s="45">
        <v>124.5</v>
      </c>
      <c r="O45" s="45">
        <v>129.5</v>
      </c>
      <c r="P45" s="45">
        <v>132</v>
      </c>
      <c r="Q45" s="45">
        <v>132.4</v>
      </c>
      <c r="R45" s="45">
        <v>132.4</v>
      </c>
      <c r="S45" s="45">
        <v>111.5</v>
      </c>
      <c r="T45" s="45">
        <v>101</v>
      </c>
      <c r="U45" s="45">
        <v>101</v>
      </c>
      <c r="V45" s="45">
        <v>111</v>
      </c>
      <c r="W45" s="45">
        <v>133</v>
      </c>
      <c r="X45" s="45">
        <v>143.5</v>
      </c>
      <c r="Y45" s="45">
        <v>143.5</v>
      </c>
      <c r="Z45" s="45">
        <v>143.5</v>
      </c>
      <c r="AA45" s="45">
        <v>143.5</v>
      </c>
      <c r="AB45" s="45">
        <v>143.30000000000001</v>
      </c>
      <c r="AC45" s="45">
        <v>143.4</v>
      </c>
      <c r="AD45" s="45">
        <v>143</v>
      </c>
      <c r="AE45" s="45">
        <v>93</v>
      </c>
      <c r="AF45" s="45">
        <v>90</v>
      </c>
      <c r="AG45" s="52">
        <v>144</v>
      </c>
      <c r="AH45" s="48">
        <f t="shared" si="2"/>
        <v>143.6</v>
      </c>
      <c r="AI45" s="49">
        <f t="shared" si="3"/>
        <v>90</v>
      </c>
      <c r="AK45" s="50"/>
    </row>
    <row r="46" spans="1:88" x14ac:dyDescent="0.25">
      <c r="A46" s="54" t="s">
        <v>54</v>
      </c>
      <c r="B46" s="65">
        <v>60</v>
      </c>
      <c r="C46" s="65">
        <v>60</v>
      </c>
      <c r="D46" s="65">
        <v>60</v>
      </c>
      <c r="E46" s="65">
        <v>50.4</v>
      </c>
      <c r="F46" s="65">
        <v>62.6</v>
      </c>
      <c r="G46" s="65">
        <v>65.5</v>
      </c>
      <c r="H46" s="65">
        <v>65</v>
      </c>
      <c r="I46" s="65">
        <v>72.099999999999994</v>
      </c>
      <c r="J46" s="65">
        <v>70.8</v>
      </c>
      <c r="K46" s="65">
        <v>72.400000000000006</v>
      </c>
      <c r="L46" s="65">
        <v>73</v>
      </c>
      <c r="M46" s="65">
        <v>71.900000000000006</v>
      </c>
      <c r="N46" s="45">
        <v>57.4</v>
      </c>
      <c r="O46" s="45">
        <v>56.7</v>
      </c>
      <c r="P46" s="45">
        <v>56.7</v>
      </c>
      <c r="Q46" s="45">
        <v>5.5</v>
      </c>
      <c r="R46" s="45">
        <v>5.5</v>
      </c>
      <c r="S46" s="65">
        <v>72.2</v>
      </c>
      <c r="T46" s="65">
        <v>66.400000000000006</v>
      </c>
      <c r="U46" s="65">
        <v>66.400000000000006</v>
      </c>
      <c r="V46" s="65">
        <v>70</v>
      </c>
      <c r="W46" s="65">
        <v>72</v>
      </c>
      <c r="X46" s="65">
        <v>72</v>
      </c>
      <c r="Y46" s="65">
        <v>72</v>
      </c>
      <c r="Z46" s="65">
        <v>72</v>
      </c>
      <c r="AA46" s="65">
        <v>72</v>
      </c>
      <c r="AB46" s="65">
        <v>70.8</v>
      </c>
      <c r="AC46" s="65">
        <v>73.3</v>
      </c>
      <c r="AD46" s="65">
        <v>73</v>
      </c>
      <c r="AE46" s="65">
        <v>53</v>
      </c>
      <c r="AF46" s="65">
        <v>52.6</v>
      </c>
      <c r="AG46" s="55">
        <v>70</v>
      </c>
      <c r="AH46" s="48">
        <f t="shared" si="2"/>
        <v>73.3</v>
      </c>
      <c r="AI46" s="49">
        <f t="shared" si="3"/>
        <v>5.5</v>
      </c>
      <c r="AK46" s="50"/>
    </row>
    <row r="47" spans="1:88" x14ac:dyDescent="0.25">
      <c r="A47" s="54" t="s">
        <v>55</v>
      </c>
      <c r="B47" s="65">
        <v>63</v>
      </c>
      <c r="C47" s="65">
        <v>63</v>
      </c>
      <c r="D47" s="65">
        <v>63</v>
      </c>
      <c r="E47" s="65">
        <v>61.6</v>
      </c>
      <c r="F47" s="65">
        <v>63.6</v>
      </c>
      <c r="G47" s="65">
        <v>69.7</v>
      </c>
      <c r="H47" s="65">
        <v>67</v>
      </c>
      <c r="I47" s="65">
        <v>69.8</v>
      </c>
      <c r="J47" s="65">
        <v>70.099999999999994</v>
      </c>
      <c r="K47" s="65">
        <v>70</v>
      </c>
      <c r="L47" s="65">
        <v>67</v>
      </c>
      <c r="M47" s="65">
        <v>71.3</v>
      </c>
      <c r="N47" s="45">
        <v>49.4</v>
      </c>
      <c r="O47" s="45">
        <v>55.6</v>
      </c>
      <c r="P47" s="45">
        <v>59.5</v>
      </c>
      <c r="Q47" s="45">
        <v>49.4</v>
      </c>
      <c r="R47" s="45">
        <v>49.4</v>
      </c>
      <c r="S47" s="65">
        <v>66.8</v>
      </c>
      <c r="T47" s="65">
        <v>66.8</v>
      </c>
      <c r="U47" s="65">
        <v>66.8</v>
      </c>
      <c r="V47" s="65">
        <v>60.4</v>
      </c>
      <c r="W47" s="65">
        <v>62</v>
      </c>
      <c r="X47" s="65">
        <v>68.099999999999994</v>
      </c>
      <c r="Y47" s="65">
        <v>68.099999999999994</v>
      </c>
      <c r="Z47" s="65">
        <v>68.099999999999994</v>
      </c>
      <c r="AA47" s="65">
        <v>68.099999999999994</v>
      </c>
      <c r="AB47" s="65">
        <v>70.599999999999994</v>
      </c>
      <c r="AC47" s="65">
        <v>71.2</v>
      </c>
      <c r="AD47" s="65">
        <v>71.099999999999994</v>
      </c>
      <c r="AE47" s="65">
        <v>51.5</v>
      </c>
      <c r="AF47" s="65">
        <v>51.6</v>
      </c>
      <c r="AG47" s="55">
        <v>69</v>
      </c>
      <c r="AH47" s="48">
        <f t="shared" si="2"/>
        <v>71.3</v>
      </c>
      <c r="AI47" s="49">
        <f t="shared" si="3"/>
        <v>49.4</v>
      </c>
      <c r="AK47" s="50"/>
    </row>
    <row r="48" spans="1:88" x14ac:dyDescent="0.25">
      <c r="A48" s="54" t="s">
        <v>56</v>
      </c>
      <c r="B48" s="57">
        <v>30</v>
      </c>
      <c r="C48" s="57">
        <v>30</v>
      </c>
      <c r="D48" s="57">
        <v>30</v>
      </c>
      <c r="E48" s="57">
        <v>30</v>
      </c>
      <c r="F48" s="57">
        <v>24</v>
      </c>
      <c r="G48" s="57">
        <v>30</v>
      </c>
      <c r="H48" s="57">
        <v>60</v>
      </c>
      <c r="I48" s="57">
        <v>60</v>
      </c>
      <c r="J48" s="57">
        <v>60</v>
      </c>
      <c r="K48" s="57">
        <v>60</v>
      </c>
      <c r="L48" s="57">
        <v>60</v>
      </c>
      <c r="M48" s="65">
        <v>60.2</v>
      </c>
      <c r="N48" s="45">
        <v>0</v>
      </c>
      <c r="O48" s="45">
        <v>0</v>
      </c>
      <c r="P48" s="45">
        <v>0</v>
      </c>
      <c r="Q48" s="45">
        <v>0</v>
      </c>
      <c r="R48" s="45">
        <v>0</v>
      </c>
      <c r="S48" s="45">
        <v>0</v>
      </c>
      <c r="T48" s="45">
        <v>0</v>
      </c>
      <c r="U48" s="45">
        <v>0</v>
      </c>
      <c r="V48" s="45">
        <v>0</v>
      </c>
      <c r="W48" s="45">
        <v>0</v>
      </c>
      <c r="X48" s="45">
        <v>0</v>
      </c>
      <c r="Y48" s="65">
        <v>0</v>
      </c>
      <c r="Z48" s="65">
        <v>0</v>
      </c>
      <c r="AA48" s="65">
        <v>0</v>
      </c>
      <c r="AB48" s="57">
        <v>60.2</v>
      </c>
      <c r="AC48" s="57">
        <v>60.2</v>
      </c>
      <c r="AD48" s="57">
        <v>60.2</v>
      </c>
      <c r="AE48" s="57">
        <v>40.5</v>
      </c>
      <c r="AF48" s="57">
        <v>40.5</v>
      </c>
      <c r="AG48" s="55">
        <v>60</v>
      </c>
      <c r="AH48" s="48">
        <f t="shared" si="2"/>
        <v>60.2</v>
      </c>
      <c r="AI48" s="49">
        <f t="shared" si="3"/>
        <v>0</v>
      </c>
      <c r="AK48" s="50"/>
    </row>
    <row r="49" spans="1:41" x14ac:dyDescent="0.25">
      <c r="A49" s="54" t="s">
        <v>57</v>
      </c>
      <c r="B49" s="57">
        <v>15</v>
      </c>
      <c r="C49" s="57">
        <v>15</v>
      </c>
      <c r="D49" s="57">
        <v>15</v>
      </c>
      <c r="E49" s="57">
        <v>14.1</v>
      </c>
      <c r="F49" s="57">
        <v>0</v>
      </c>
      <c r="G49" s="57">
        <v>0</v>
      </c>
      <c r="H49" s="57">
        <v>15</v>
      </c>
      <c r="I49" s="57">
        <v>15</v>
      </c>
      <c r="J49" s="57">
        <v>15</v>
      </c>
      <c r="K49" s="57">
        <v>30</v>
      </c>
      <c r="L49" s="57">
        <v>30</v>
      </c>
      <c r="M49" s="65">
        <v>29.6</v>
      </c>
      <c r="N49" s="45">
        <v>25.4</v>
      </c>
      <c r="O49" s="45">
        <v>25.4</v>
      </c>
      <c r="P49" s="45">
        <v>25.4</v>
      </c>
      <c r="Q49" s="45">
        <v>25.4</v>
      </c>
      <c r="R49" s="45">
        <v>25.4</v>
      </c>
      <c r="S49" s="45">
        <v>15.1</v>
      </c>
      <c r="T49" s="45">
        <v>15.1</v>
      </c>
      <c r="U49" s="45">
        <v>15.1</v>
      </c>
      <c r="V49" s="45">
        <v>15.1</v>
      </c>
      <c r="W49" s="45">
        <v>26</v>
      </c>
      <c r="X49" s="45">
        <v>30</v>
      </c>
      <c r="Y49" s="65">
        <v>30</v>
      </c>
      <c r="Z49" s="65">
        <v>30</v>
      </c>
      <c r="AA49" s="65">
        <v>26</v>
      </c>
      <c r="AB49" s="57">
        <v>29.1</v>
      </c>
      <c r="AC49" s="57">
        <v>13.5</v>
      </c>
      <c r="AD49" s="57">
        <v>0</v>
      </c>
      <c r="AE49" s="57">
        <v>0</v>
      </c>
      <c r="AF49" s="57">
        <v>0</v>
      </c>
      <c r="AG49" s="55">
        <v>30</v>
      </c>
      <c r="AH49" s="48">
        <f t="shared" si="2"/>
        <v>30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8</v>
      </c>
      <c r="P50" s="65">
        <v>8</v>
      </c>
      <c r="Q50" s="65">
        <v>8</v>
      </c>
      <c r="R50" s="65">
        <v>8</v>
      </c>
      <c r="S50" s="45">
        <v>8</v>
      </c>
      <c r="T50" s="45">
        <v>8</v>
      </c>
      <c r="U50" s="45">
        <v>8</v>
      </c>
      <c r="V50" s="45">
        <v>0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  <c r="AG50" s="55">
        <v>25</v>
      </c>
      <c r="AH50" s="48">
        <f t="shared" si="2"/>
        <v>8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14.1</v>
      </c>
      <c r="C51" s="65">
        <v>14.1</v>
      </c>
      <c r="D51" s="65">
        <v>14.1</v>
      </c>
      <c r="E51" s="65">
        <v>14.1</v>
      </c>
      <c r="F51" s="65">
        <v>13.7</v>
      </c>
      <c r="G51" s="65">
        <v>13.7</v>
      </c>
      <c r="H51" s="65">
        <v>13.7</v>
      </c>
      <c r="I51" s="65">
        <v>13.7</v>
      </c>
      <c r="J51" s="65">
        <v>13.7</v>
      </c>
      <c r="K51" s="65">
        <v>13.7</v>
      </c>
      <c r="L51" s="65">
        <v>13.7</v>
      </c>
      <c r="M51" s="65">
        <v>14.4</v>
      </c>
      <c r="N51" s="65">
        <v>14.1</v>
      </c>
      <c r="O51" s="65">
        <v>14.2</v>
      </c>
      <c r="P51" s="65">
        <v>14.2</v>
      </c>
      <c r="Q51" s="65">
        <v>14.2</v>
      </c>
      <c r="R51" s="65">
        <v>14.2</v>
      </c>
      <c r="S51" s="65">
        <v>14.2</v>
      </c>
      <c r="T51" s="65">
        <v>14.2</v>
      </c>
      <c r="U51" s="65">
        <v>14.2</v>
      </c>
      <c r="V51" s="65">
        <v>14.2</v>
      </c>
      <c r="W51" s="65">
        <v>14.2</v>
      </c>
      <c r="X51" s="65">
        <v>14.2</v>
      </c>
      <c r="Y51" s="45">
        <v>14.2</v>
      </c>
      <c r="Z51" s="45">
        <v>14.2</v>
      </c>
      <c r="AA51" s="45">
        <v>14.2</v>
      </c>
      <c r="AB51" s="65">
        <v>14.4</v>
      </c>
      <c r="AC51" s="65">
        <v>14.4</v>
      </c>
      <c r="AD51" s="65">
        <v>14.4</v>
      </c>
      <c r="AE51" s="65">
        <v>13.7</v>
      </c>
      <c r="AF51" s="65">
        <v>12.2</v>
      </c>
      <c r="AG51" s="55">
        <v>24</v>
      </c>
      <c r="AH51" s="48">
        <f t="shared" si="2"/>
        <v>14.4</v>
      </c>
      <c r="AI51" s="49">
        <f t="shared" si="3"/>
        <v>12.2</v>
      </c>
      <c r="AK51" s="50"/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10.4</v>
      </c>
      <c r="C53" s="65">
        <v>10.4</v>
      </c>
      <c r="D53" s="65">
        <v>10.4</v>
      </c>
      <c r="E53" s="65">
        <v>10.4</v>
      </c>
      <c r="F53" s="65">
        <v>0</v>
      </c>
      <c r="G53" s="65">
        <v>14</v>
      </c>
      <c r="H53" s="65">
        <v>13.6</v>
      </c>
      <c r="I53" s="65">
        <v>13.6</v>
      </c>
      <c r="J53" s="65">
        <v>13.6</v>
      </c>
      <c r="K53" s="65">
        <v>13.6</v>
      </c>
      <c r="L53" s="65">
        <v>13.6</v>
      </c>
      <c r="M53" s="65">
        <v>11.4</v>
      </c>
      <c r="N53" s="65">
        <v>11.4</v>
      </c>
      <c r="O53" s="65">
        <v>11.4</v>
      </c>
      <c r="P53" s="65">
        <v>11.4</v>
      </c>
      <c r="Q53" s="65">
        <v>11.4</v>
      </c>
      <c r="R53" s="65">
        <v>11.4</v>
      </c>
      <c r="S53" s="65">
        <v>11.4</v>
      </c>
      <c r="T53" s="65">
        <v>11.4</v>
      </c>
      <c r="U53" s="65">
        <v>11.4</v>
      </c>
      <c r="V53" s="65">
        <v>11.4</v>
      </c>
      <c r="W53" s="65">
        <v>11.4</v>
      </c>
      <c r="X53" s="65">
        <v>11.4</v>
      </c>
      <c r="Y53" s="65">
        <v>11.4</v>
      </c>
      <c r="Z53" s="65">
        <v>11.4</v>
      </c>
      <c r="AA53" s="65">
        <v>11.4</v>
      </c>
      <c r="AB53" s="65">
        <v>11.7</v>
      </c>
      <c r="AC53" s="65">
        <v>11.7</v>
      </c>
      <c r="AD53" s="65">
        <v>11.7</v>
      </c>
      <c r="AE53" s="65">
        <v>12.3</v>
      </c>
      <c r="AF53" s="65">
        <v>12</v>
      </c>
      <c r="AG53" s="55">
        <v>14.1</v>
      </c>
      <c r="AH53" s="48">
        <f t="shared" si="2"/>
        <v>14</v>
      </c>
      <c r="AI53" s="49">
        <f t="shared" si="3"/>
        <v>0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13.9</v>
      </c>
      <c r="C54" s="65">
        <v>13.9</v>
      </c>
      <c r="D54" s="65">
        <v>13.9</v>
      </c>
      <c r="E54" s="65">
        <v>13.9</v>
      </c>
      <c r="F54" s="65">
        <v>10.1</v>
      </c>
      <c r="G54" s="65">
        <v>14.1</v>
      </c>
      <c r="H54" s="65">
        <v>14</v>
      </c>
      <c r="I54" s="65">
        <v>14</v>
      </c>
      <c r="J54" s="65">
        <v>14</v>
      </c>
      <c r="K54" s="65">
        <v>14</v>
      </c>
      <c r="L54" s="65">
        <v>14</v>
      </c>
      <c r="M54" s="65">
        <v>13.4</v>
      </c>
      <c r="N54" s="65">
        <v>12</v>
      </c>
      <c r="O54" s="65">
        <v>12.2</v>
      </c>
      <c r="P54" s="65">
        <v>12.2</v>
      </c>
      <c r="Q54" s="65">
        <v>12.2</v>
      </c>
      <c r="R54" s="65">
        <v>12.2</v>
      </c>
      <c r="S54" s="65">
        <v>12.2</v>
      </c>
      <c r="T54" s="65">
        <v>12.2</v>
      </c>
      <c r="U54" s="65">
        <v>12.2</v>
      </c>
      <c r="V54" s="65">
        <v>12.2</v>
      </c>
      <c r="W54" s="65">
        <v>12.2</v>
      </c>
      <c r="X54" s="65">
        <v>12.9</v>
      </c>
      <c r="Y54" s="65">
        <v>12.9</v>
      </c>
      <c r="Z54" s="65">
        <v>12.9</v>
      </c>
      <c r="AA54" s="65">
        <v>12.9</v>
      </c>
      <c r="AB54" s="65">
        <v>13</v>
      </c>
      <c r="AC54" s="65">
        <v>13</v>
      </c>
      <c r="AD54" s="65">
        <v>13</v>
      </c>
      <c r="AE54" s="65">
        <v>13.7</v>
      </c>
      <c r="AF54" s="65">
        <v>9.5</v>
      </c>
      <c r="AG54" s="55">
        <v>14</v>
      </c>
      <c r="AH54" s="48">
        <f t="shared" si="2"/>
        <v>14.1</v>
      </c>
      <c r="AI54" s="49">
        <f t="shared" si="3"/>
        <v>9.5</v>
      </c>
      <c r="AK54" s="50"/>
    </row>
    <row r="55" spans="1:41" x14ac:dyDescent="0.25">
      <c r="A55" s="54" t="s">
        <v>63</v>
      </c>
      <c r="B55" s="65">
        <v>9</v>
      </c>
      <c r="C55" s="65">
        <v>9</v>
      </c>
      <c r="D55" s="65">
        <v>9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6.8</v>
      </c>
      <c r="O55" s="65">
        <v>9</v>
      </c>
      <c r="P55" s="65">
        <v>9</v>
      </c>
      <c r="Q55" s="65">
        <v>9</v>
      </c>
      <c r="R55" s="65">
        <v>9</v>
      </c>
      <c r="S55" s="65">
        <v>9</v>
      </c>
      <c r="T55" s="65">
        <v>9</v>
      </c>
      <c r="U55" s="65">
        <v>6.7</v>
      </c>
      <c r="V55" s="65">
        <v>6.7</v>
      </c>
      <c r="W55" s="65">
        <v>6.7</v>
      </c>
      <c r="X55" s="65">
        <v>6.7</v>
      </c>
      <c r="Y55" s="65">
        <v>6.7</v>
      </c>
      <c r="Z55" s="65">
        <v>6.7</v>
      </c>
      <c r="AA55" s="65">
        <v>6.7</v>
      </c>
      <c r="AB55" s="65">
        <v>6.7</v>
      </c>
      <c r="AC55" s="65">
        <v>6.7</v>
      </c>
      <c r="AD55" s="65">
        <v>6.7</v>
      </c>
      <c r="AE55" s="65">
        <v>6.7</v>
      </c>
      <c r="AF55" s="65">
        <v>6.8</v>
      </c>
      <c r="AG55" s="55">
        <v>10.050000000000001</v>
      </c>
      <c r="AH55" s="48">
        <f t="shared" si="2"/>
        <v>9</v>
      </c>
      <c r="AI55" s="49">
        <f t="shared" si="3"/>
        <v>6.7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:AG58" si="7">SUM(B45:B57)</f>
        <v>327.14</v>
      </c>
      <c r="C58" s="61">
        <f t="shared" si="7"/>
        <v>315.14</v>
      </c>
      <c r="D58" s="61">
        <f t="shared" si="7"/>
        <v>315.14</v>
      </c>
      <c r="E58" s="61">
        <f t="shared" si="7"/>
        <v>304.53999999999996</v>
      </c>
      <c r="F58" s="61">
        <f t="shared" si="7"/>
        <v>331.24</v>
      </c>
      <c r="G58" s="61">
        <f t="shared" si="7"/>
        <v>365.14000000000004</v>
      </c>
      <c r="H58" s="61">
        <f t="shared" si="7"/>
        <v>408.44</v>
      </c>
      <c r="I58" s="61">
        <f t="shared" si="7"/>
        <v>420.34000000000003</v>
      </c>
      <c r="J58" s="61">
        <f t="shared" si="7"/>
        <v>419.44</v>
      </c>
      <c r="K58" s="61">
        <f t="shared" si="7"/>
        <v>436.04</v>
      </c>
      <c r="L58" s="61">
        <f t="shared" si="7"/>
        <v>433.54</v>
      </c>
      <c r="M58" s="61">
        <f t="shared" si="7"/>
        <v>434.53999999999996</v>
      </c>
      <c r="N58" s="61">
        <f t="shared" si="7"/>
        <v>310.74</v>
      </c>
      <c r="O58" s="61">
        <f t="shared" si="7"/>
        <v>331.73999999999995</v>
      </c>
      <c r="P58" s="61">
        <f t="shared" si="7"/>
        <v>338.13999999999993</v>
      </c>
      <c r="Q58" s="61">
        <f t="shared" si="7"/>
        <v>277.24</v>
      </c>
      <c r="R58" s="61">
        <f t="shared" si="7"/>
        <v>277.24</v>
      </c>
      <c r="S58" s="61">
        <f t="shared" si="7"/>
        <v>330.14</v>
      </c>
      <c r="T58" s="61">
        <f t="shared" si="7"/>
        <v>313.83999999999992</v>
      </c>
      <c r="U58" s="61">
        <f t="shared" si="7"/>
        <v>311.53999999999991</v>
      </c>
      <c r="V58" s="61">
        <f t="shared" si="7"/>
        <v>310.73999999999995</v>
      </c>
      <c r="W58" s="61">
        <f t="shared" si="7"/>
        <v>347.23999999999995</v>
      </c>
      <c r="X58" s="61">
        <f t="shared" si="7"/>
        <v>368.53999999999996</v>
      </c>
      <c r="Y58" s="61">
        <f t="shared" si="7"/>
        <v>368.53999999999996</v>
      </c>
      <c r="Z58" s="61">
        <f t="shared" si="7"/>
        <v>368.53999999999996</v>
      </c>
      <c r="AA58" s="61">
        <f t="shared" si="7"/>
        <v>364.53999999999996</v>
      </c>
      <c r="AB58" s="61">
        <f t="shared" si="7"/>
        <v>429.54</v>
      </c>
      <c r="AC58" s="61">
        <f t="shared" si="7"/>
        <v>417.13999999999993</v>
      </c>
      <c r="AD58" s="61">
        <f t="shared" si="7"/>
        <v>402.84</v>
      </c>
      <c r="AE58" s="61">
        <f t="shared" si="7"/>
        <v>294.14</v>
      </c>
      <c r="AF58" s="61">
        <f t="shared" si="7"/>
        <v>284.94</v>
      </c>
      <c r="AG58" s="62">
        <f t="shared" si="7"/>
        <v>489.91</v>
      </c>
      <c r="AH58" s="48">
        <f t="shared" si="2"/>
        <v>436.04</v>
      </c>
      <c r="AI58" s="49">
        <f t="shared" si="3"/>
        <v>277.24</v>
      </c>
      <c r="AK58" s="50"/>
    </row>
    <row r="59" spans="1:41" x14ac:dyDescent="0.25">
      <c r="A59" s="44" t="s">
        <v>67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AG62" si="8">SUM(B59:B61)</f>
        <v>0</v>
      </c>
      <c r="C62" s="61">
        <f t="shared" si="8"/>
        <v>0</v>
      </c>
      <c r="D62" s="61">
        <f t="shared" si="8"/>
        <v>0</v>
      </c>
      <c r="E62" s="61">
        <f t="shared" si="8"/>
        <v>0</v>
      </c>
      <c r="F62" s="61">
        <f t="shared" si="8"/>
        <v>0</v>
      </c>
      <c r="G62" s="61">
        <f t="shared" si="8"/>
        <v>0</v>
      </c>
      <c r="H62" s="61">
        <f t="shared" si="8"/>
        <v>0</v>
      </c>
      <c r="I62" s="61">
        <f t="shared" si="8"/>
        <v>0</v>
      </c>
      <c r="J62" s="61">
        <f t="shared" si="8"/>
        <v>0</v>
      </c>
      <c r="K62" s="61">
        <f t="shared" si="8"/>
        <v>0</v>
      </c>
      <c r="L62" s="61">
        <f t="shared" si="8"/>
        <v>0</v>
      </c>
      <c r="M62" s="61">
        <f t="shared" si="8"/>
        <v>0</v>
      </c>
      <c r="N62" s="61">
        <f t="shared" si="8"/>
        <v>0</v>
      </c>
      <c r="O62" s="61">
        <f t="shared" si="8"/>
        <v>0</v>
      </c>
      <c r="P62" s="61">
        <f t="shared" si="8"/>
        <v>0</v>
      </c>
      <c r="Q62" s="61">
        <f t="shared" si="8"/>
        <v>0</v>
      </c>
      <c r="R62" s="61">
        <f t="shared" si="8"/>
        <v>0</v>
      </c>
      <c r="S62" s="61">
        <f t="shared" si="8"/>
        <v>0</v>
      </c>
      <c r="T62" s="61">
        <f t="shared" si="8"/>
        <v>0</v>
      </c>
      <c r="U62" s="61">
        <f t="shared" si="8"/>
        <v>0</v>
      </c>
      <c r="V62" s="61">
        <f t="shared" si="8"/>
        <v>0</v>
      </c>
      <c r="W62" s="61">
        <f t="shared" si="8"/>
        <v>0</v>
      </c>
      <c r="X62" s="61">
        <f t="shared" si="8"/>
        <v>0</v>
      </c>
      <c r="Y62" s="61">
        <f t="shared" si="8"/>
        <v>0</v>
      </c>
      <c r="Z62" s="61">
        <f t="shared" si="8"/>
        <v>0</v>
      </c>
      <c r="AA62" s="61">
        <f t="shared" si="8"/>
        <v>0</v>
      </c>
      <c r="AB62" s="61">
        <f t="shared" si="8"/>
        <v>0</v>
      </c>
      <c r="AC62" s="61">
        <f t="shared" si="8"/>
        <v>0</v>
      </c>
      <c r="AD62" s="61">
        <f t="shared" si="8"/>
        <v>0</v>
      </c>
      <c r="AE62" s="61">
        <f t="shared" si="8"/>
        <v>0</v>
      </c>
      <c r="AF62" s="61">
        <f t="shared" si="8"/>
        <v>0</v>
      </c>
      <c r="AG62" s="62">
        <f t="shared" si="8"/>
        <v>106</v>
      </c>
      <c r="AH62" s="48">
        <f t="shared" si="2"/>
        <v>0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-365</v>
      </c>
      <c r="C65" s="65">
        <v>-409</v>
      </c>
      <c r="D65" s="65">
        <v>-404</v>
      </c>
      <c r="E65" s="65">
        <v>-390</v>
      </c>
      <c r="F65" s="65">
        <v>-409</v>
      </c>
      <c r="G65" s="65">
        <v>-401</v>
      </c>
      <c r="H65" s="65">
        <v>-396</v>
      </c>
      <c r="I65" s="65">
        <v>-400</v>
      </c>
      <c r="J65" s="65">
        <v>-383</v>
      </c>
      <c r="K65" s="65">
        <v>-420</v>
      </c>
      <c r="L65" s="65">
        <v>-405</v>
      </c>
      <c r="M65" s="65">
        <v>-389.1</v>
      </c>
      <c r="N65" s="65">
        <v>-282.89999999999998</v>
      </c>
      <c r="O65" s="65">
        <v>-312</v>
      </c>
      <c r="P65" s="65">
        <v>-340</v>
      </c>
      <c r="Q65" s="65">
        <v>-343</v>
      </c>
      <c r="R65" s="65">
        <v>-343</v>
      </c>
      <c r="S65" s="65">
        <v>-191</v>
      </c>
      <c r="T65" s="65">
        <v>-201</v>
      </c>
      <c r="U65" s="65">
        <v>-349</v>
      </c>
      <c r="V65" s="65">
        <v>-351</v>
      </c>
      <c r="W65" s="65">
        <v>-351</v>
      </c>
      <c r="X65" s="65">
        <v>-273</v>
      </c>
      <c r="Y65" s="65">
        <v>-286</v>
      </c>
      <c r="Z65" s="65">
        <v>-260</v>
      </c>
      <c r="AA65" s="65">
        <v>-303</v>
      </c>
      <c r="AB65" s="65">
        <v>-345</v>
      </c>
      <c r="AC65" s="65">
        <v>-385</v>
      </c>
      <c r="AD65" s="65">
        <v>-394</v>
      </c>
      <c r="AE65" s="65">
        <v>-402</v>
      </c>
      <c r="AF65" s="65">
        <v>-386</v>
      </c>
      <c r="AG65" s="75"/>
      <c r="AH65" s="48">
        <f t="shared" si="2"/>
        <v>-191</v>
      </c>
      <c r="AI65" s="49">
        <f t="shared" si="3"/>
        <v>-420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>
        <v>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9">
        <v>0</v>
      </c>
      <c r="C72" s="79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9">
        <v>0</v>
      </c>
      <c r="C73" s="79">
        <v>0</v>
      </c>
      <c r="D73" s="79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:AF74" si="9">SUMIF(B63:B73,"&gt;0")</f>
        <v>0</v>
      </c>
      <c r="C74" s="61">
        <f t="shared" si="9"/>
        <v>0</v>
      </c>
      <c r="D74" s="61">
        <f t="shared" si="9"/>
        <v>0</v>
      </c>
      <c r="E74" s="61">
        <f t="shared" si="9"/>
        <v>0</v>
      </c>
      <c r="F74" s="61">
        <f t="shared" si="9"/>
        <v>0</v>
      </c>
      <c r="G74" s="61">
        <f t="shared" si="9"/>
        <v>0</v>
      </c>
      <c r="H74" s="61">
        <f t="shared" si="9"/>
        <v>0</v>
      </c>
      <c r="I74" s="61">
        <f t="shared" si="9"/>
        <v>0</v>
      </c>
      <c r="J74" s="61">
        <f t="shared" si="9"/>
        <v>0</v>
      </c>
      <c r="K74" s="61">
        <f t="shared" si="9"/>
        <v>0</v>
      </c>
      <c r="L74" s="61">
        <f t="shared" si="9"/>
        <v>0</v>
      </c>
      <c r="M74" s="61">
        <f t="shared" si="9"/>
        <v>0</v>
      </c>
      <c r="N74" s="61">
        <f t="shared" si="9"/>
        <v>0</v>
      </c>
      <c r="O74" s="61">
        <f t="shared" si="9"/>
        <v>0</v>
      </c>
      <c r="P74" s="61">
        <f t="shared" si="9"/>
        <v>0</v>
      </c>
      <c r="Q74" s="61">
        <f t="shared" si="9"/>
        <v>0</v>
      </c>
      <c r="R74" s="61">
        <f t="shared" si="9"/>
        <v>0</v>
      </c>
      <c r="S74" s="61">
        <f t="shared" si="9"/>
        <v>0</v>
      </c>
      <c r="T74" s="61">
        <f t="shared" si="9"/>
        <v>0</v>
      </c>
      <c r="U74" s="61">
        <f t="shared" si="9"/>
        <v>0</v>
      </c>
      <c r="V74" s="61">
        <f t="shared" si="9"/>
        <v>0</v>
      </c>
      <c r="W74" s="61">
        <f t="shared" si="9"/>
        <v>0</v>
      </c>
      <c r="X74" s="61">
        <f t="shared" si="9"/>
        <v>0</v>
      </c>
      <c r="Y74" s="61">
        <f t="shared" si="9"/>
        <v>0</v>
      </c>
      <c r="Z74" s="61">
        <f t="shared" si="9"/>
        <v>0</v>
      </c>
      <c r="AA74" s="61">
        <f t="shared" si="9"/>
        <v>0</v>
      </c>
      <c r="AB74" s="61">
        <f t="shared" si="9"/>
        <v>0</v>
      </c>
      <c r="AC74" s="61">
        <f t="shared" si="9"/>
        <v>0</v>
      </c>
      <c r="AD74" s="61">
        <f t="shared" si="9"/>
        <v>0</v>
      </c>
      <c r="AE74" s="61">
        <f t="shared" si="9"/>
        <v>0</v>
      </c>
      <c r="AF74" s="61">
        <f t="shared" si="9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44" t="s">
        <v>83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5">
        <v>14.4</v>
      </c>
      <c r="AH76" s="48">
        <f t="shared" ref="AH76:AH109" si="10">MAX(B76:AF76)</f>
        <v>0</v>
      </c>
      <c r="AI76" s="49">
        <f t="shared" ref="AI76:AI109" si="11">MIN(B76:AF76)</f>
        <v>0</v>
      </c>
      <c r="AK76" s="50"/>
    </row>
    <row r="77" spans="1:37" ht="15.75" thickBot="1" x14ac:dyDescent="0.3">
      <c r="A77" s="78" t="s">
        <v>85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80">
        <v>2</v>
      </c>
      <c r="AH77" s="48">
        <f t="shared" si="10"/>
        <v>0</v>
      </c>
      <c r="AI77" s="49">
        <f t="shared" si="11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10"/>
        <v>0</v>
      </c>
      <c r="AI78" s="49">
        <f t="shared" si="11"/>
        <v>0</v>
      </c>
    </row>
    <row r="79" spans="1:37" ht="15.75" thickBot="1" x14ac:dyDescent="0.3">
      <c r="A79" s="74" t="s">
        <v>87</v>
      </c>
      <c r="B79" s="83">
        <f t="shared" ref="B79:AG79" si="12">B40+B44+B62+B58+B74+B78</f>
        <v>1367.7399999999998</v>
      </c>
      <c r="C79" s="83">
        <f t="shared" si="12"/>
        <v>1375.6399999999999</v>
      </c>
      <c r="D79" s="83">
        <f t="shared" si="12"/>
        <v>1365.6399999999999</v>
      </c>
      <c r="E79" s="83">
        <f t="shared" si="12"/>
        <v>1333.54</v>
      </c>
      <c r="F79" s="83">
        <f t="shared" si="12"/>
        <v>1349.1399999999999</v>
      </c>
      <c r="G79" s="83">
        <f t="shared" si="12"/>
        <v>1383.44</v>
      </c>
      <c r="H79" s="83">
        <f t="shared" si="12"/>
        <v>1426.74</v>
      </c>
      <c r="I79" s="83">
        <f t="shared" si="12"/>
        <v>1468.94</v>
      </c>
      <c r="J79" s="83">
        <f t="shared" si="12"/>
        <v>1498.04</v>
      </c>
      <c r="K79" s="83">
        <f t="shared" si="12"/>
        <v>1604.7399999999998</v>
      </c>
      <c r="L79" s="83">
        <f t="shared" si="12"/>
        <v>1594.2399999999998</v>
      </c>
      <c r="M79" s="83">
        <f t="shared" si="12"/>
        <v>1594.2399999999998</v>
      </c>
      <c r="N79" s="83">
        <f t="shared" si="12"/>
        <v>1430.64</v>
      </c>
      <c r="O79" s="83">
        <f t="shared" si="12"/>
        <v>1430.4399999999998</v>
      </c>
      <c r="P79" s="83">
        <f t="shared" si="12"/>
        <v>1436.8399999999997</v>
      </c>
      <c r="Q79" s="83">
        <f t="shared" si="12"/>
        <v>1340.9399999999998</v>
      </c>
      <c r="R79" s="83">
        <f t="shared" si="12"/>
        <v>1340.9399999999998</v>
      </c>
      <c r="S79" s="83">
        <f t="shared" si="12"/>
        <v>1246.8400000000001</v>
      </c>
      <c r="T79" s="83">
        <f t="shared" si="12"/>
        <v>1202.4399999999998</v>
      </c>
      <c r="U79" s="83">
        <f t="shared" si="12"/>
        <v>1399.54</v>
      </c>
      <c r="V79" s="83">
        <f t="shared" si="12"/>
        <v>1410.0400000000002</v>
      </c>
      <c r="W79" s="83">
        <f t="shared" si="12"/>
        <v>1518.44</v>
      </c>
      <c r="X79" s="83">
        <f t="shared" si="12"/>
        <v>1595.1399999999999</v>
      </c>
      <c r="Y79" s="83">
        <f t="shared" si="12"/>
        <v>1542.1399999999999</v>
      </c>
      <c r="Z79" s="83">
        <f t="shared" si="12"/>
        <v>1416.84</v>
      </c>
      <c r="AA79" s="83">
        <f t="shared" si="12"/>
        <v>1407.94</v>
      </c>
      <c r="AB79" s="83">
        <f t="shared" si="12"/>
        <v>1448.74</v>
      </c>
      <c r="AC79" s="83">
        <f t="shared" si="12"/>
        <v>1427.6399999999999</v>
      </c>
      <c r="AD79" s="83">
        <f t="shared" si="12"/>
        <v>1409.74</v>
      </c>
      <c r="AE79" s="83">
        <f t="shared" si="12"/>
        <v>1291.1399999999999</v>
      </c>
      <c r="AF79" s="83">
        <f t="shared" si="12"/>
        <v>1261.44</v>
      </c>
      <c r="AG79" s="62">
        <f t="shared" si="12"/>
        <v>1897.1900000000003</v>
      </c>
      <c r="AH79" s="48">
        <f t="shared" si="10"/>
        <v>1604.7399999999998</v>
      </c>
      <c r="AI79" s="49">
        <f t="shared" si="11"/>
        <v>1202.4399999999998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10"/>
        <v>0</v>
      </c>
      <c r="AI80" s="49">
        <f t="shared" si="11"/>
        <v>0</v>
      </c>
    </row>
    <row r="81" spans="1:37" ht="15.75" thickBot="1" x14ac:dyDescent="0.3">
      <c r="A81" s="74" t="s">
        <v>89</v>
      </c>
      <c r="B81" s="83">
        <f t="shared" ref="B81:AF81" si="13">B79+B80</f>
        <v>1367.7399999999998</v>
      </c>
      <c r="C81" s="83">
        <f t="shared" si="13"/>
        <v>1375.6399999999999</v>
      </c>
      <c r="D81" s="83">
        <f t="shared" si="13"/>
        <v>1365.6399999999999</v>
      </c>
      <c r="E81" s="83">
        <f t="shared" si="13"/>
        <v>1333.54</v>
      </c>
      <c r="F81" s="83">
        <f t="shared" si="13"/>
        <v>1349.1399999999999</v>
      </c>
      <c r="G81" s="83">
        <f t="shared" si="13"/>
        <v>1383.44</v>
      </c>
      <c r="H81" s="83">
        <f t="shared" si="13"/>
        <v>1426.74</v>
      </c>
      <c r="I81" s="83">
        <f t="shared" si="13"/>
        <v>1468.94</v>
      </c>
      <c r="J81" s="83">
        <f t="shared" si="13"/>
        <v>1498.04</v>
      </c>
      <c r="K81" s="83">
        <f t="shared" si="13"/>
        <v>1604.7399999999998</v>
      </c>
      <c r="L81" s="83">
        <f t="shared" si="13"/>
        <v>1594.2399999999998</v>
      </c>
      <c r="M81" s="83">
        <f t="shared" si="13"/>
        <v>1594.2399999999998</v>
      </c>
      <c r="N81" s="83">
        <f t="shared" si="13"/>
        <v>1430.64</v>
      </c>
      <c r="O81" s="83">
        <f t="shared" si="13"/>
        <v>1430.4399999999998</v>
      </c>
      <c r="P81" s="83">
        <f t="shared" si="13"/>
        <v>1436.8399999999997</v>
      </c>
      <c r="Q81" s="83">
        <f t="shared" si="13"/>
        <v>1340.9399999999998</v>
      </c>
      <c r="R81" s="83">
        <f t="shared" si="13"/>
        <v>1340.9399999999998</v>
      </c>
      <c r="S81" s="83">
        <f t="shared" si="13"/>
        <v>1246.8400000000001</v>
      </c>
      <c r="T81" s="83">
        <f t="shared" si="13"/>
        <v>1202.4399999999998</v>
      </c>
      <c r="U81" s="83">
        <f t="shared" si="13"/>
        <v>1399.54</v>
      </c>
      <c r="V81" s="83">
        <f t="shared" si="13"/>
        <v>1410.0400000000002</v>
      </c>
      <c r="W81" s="83">
        <f t="shared" si="13"/>
        <v>1518.44</v>
      </c>
      <c r="X81" s="83">
        <f t="shared" si="13"/>
        <v>1595.1399999999999</v>
      </c>
      <c r="Y81" s="83">
        <f t="shared" si="13"/>
        <v>1542.1399999999999</v>
      </c>
      <c r="Z81" s="83">
        <f t="shared" si="13"/>
        <v>1416.84</v>
      </c>
      <c r="AA81" s="83">
        <f t="shared" si="13"/>
        <v>1407.94</v>
      </c>
      <c r="AB81" s="83">
        <f t="shared" si="13"/>
        <v>1448.74</v>
      </c>
      <c r="AC81" s="83">
        <f t="shared" si="13"/>
        <v>1427.6399999999999</v>
      </c>
      <c r="AD81" s="83">
        <f t="shared" si="13"/>
        <v>1409.74</v>
      </c>
      <c r="AE81" s="83">
        <f t="shared" si="13"/>
        <v>1291.1399999999999</v>
      </c>
      <c r="AF81" s="83">
        <f t="shared" si="13"/>
        <v>1261.44</v>
      </c>
      <c r="AG81" s="81">
        <f>AG78+AG74+AG62+AG58+AG40+AG80</f>
        <v>1359.0900000000001</v>
      </c>
      <c r="AH81" s="48">
        <f t="shared" si="10"/>
        <v>1604.7399999999998</v>
      </c>
      <c r="AI81" s="49">
        <f t="shared" si="11"/>
        <v>1202.4399999999998</v>
      </c>
    </row>
    <row r="82" spans="1:37" ht="15.75" thickBot="1" x14ac:dyDescent="0.3">
      <c r="A82" s="74" t="s">
        <v>90</v>
      </c>
      <c r="B82" s="83">
        <f t="shared" ref="B82:AF82" si="14">B81-B89</f>
        <v>1002.7399999999998</v>
      </c>
      <c r="C82" s="83">
        <f t="shared" si="14"/>
        <v>966.63999999999987</v>
      </c>
      <c r="D82" s="83">
        <f t="shared" si="14"/>
        <v>961.63999999999987</v>
      </c>
      <c r="E82" s="83">
        <f t="shared" si="14"/>
        <v>943.54</v>
      </c>
      <c r="F82" s="83">
        <f t="shared" si="14"/>
        <v>940.13999999999987</v>
      </c>
      <c r="G82" s="83">
        <f t="shared" si="14"/>
        <v>982.44</v>
      </c>
      <c r="H82" s="83">
        <f t="shared" si="14"/>
        <v>1030.74</v>
      </c>
      <c r="I82" s="83">
        <f t="shared" si="14"/>
        <v>1068.94</v>
      </c>
      <c r="J82" s="83">
        <f t="shared" si="14"/>
        <v>1115.04</v>
      </c>
      <c r="K82" s="83">
        <f t="shared" si="14"/>
        <v>1184.7399999999998</v>
      </c>
      <c r="L82" s="83">
        <f t="shared" si="14"/>
        <v>1189.2399999999998</v>
      </c>
      <c r="M82" s="83">
        <f t="shared" si="14"/>
        <v>1205.1399999999999</v>
      </c>
      <c r="N82" s="83">
        <f t="shared" si="14"/>
        <v>1147.7400000000002</v>
      </c>
      <c r="O82" s="83">
        <f t="shared" si="14"/>
        <v>1118.4399999999998</v>
      </c>
      <c r="P82" s="83">
        <f t="shared" si="14"/>
        <v>1096.8399999999997</v>
      </c>
      <c r="Q82" s="83">
        <f t="shared" si="14"/>
        <v>997.93999999999983</v>
      </c>
      <c r="R82" s="83">
        <f t="shared" si="14"/>
        <v>997.93999999999983</v>
      </c>
      <c r="S82" s="83">
        <f t="shared" si="14"/>
        <v>1055.8400000000001</v>
      </c>
      <c r="T82" s="83">
        <f t="shared" si="14"/>
        <v>1001.4399999999998</v>
      </c>
      <c r="U82" s="83">
        <f t="shared" si="14"/>
        <v>1050.54</v>
      </c>
      <c r="V82" s="83">
        <f t="shared" si="14"/>
        <v>1059.0400000000002</v>
      </c>
      <c r="W82" s="83">
        <f t="shared" si="14"/>
        <v>1167.44</v>
      </c>
      <c r="X82" s="83">
        <f t="shared" si="14"/>
        <v>1322.1399999999999</v>
      </c>
      <c r="Y82" s="83">
        <f t="shared" si="14"/>
        <v>1256.1399999999999</v>
      </c>
      <c r="Z82" s="83">
        <f t="shared" si="14"/>
        <v>1156.8399999999999</v>
      </c>
      <c r="AA82" s="83">
        <f t="shared" si="14"/>
        <v>1104.94</v>
      </c>
      <c r="AB82" s="83">
        <f t="shared" si="14"/>
        <v>1103.74</v>
      </c>
      <c r="AC82" s="83">
        <f t="shared" si="14"/>
        <v>1042.6399999999999</v>
      </c>
      <c r="AD82" s="83">
        <f t="shared" si="14"/>
        <v>1015.74</v>
      </c>
      <c r="AE82" s="83">
        <f t="shared" si="14"/>
        <v>889.13999999999987</v>
      </c>
      <c r="AF82" s="83">
        <f t="shared" si="14"/>
        <v>875.44</v>
      </c>
      <c r="AG82" s="81"/>
      <c r="AH82" s="48">
        <f t="shared" si="10"/>
        <v>1322.1399999999999</v>
      </c>
      <c r="AI82" s="49">
        <f t="shared" si="11"/>
        <v>875.44</v>
      </c>
    </row>
    <row r="83" spans="1:37" x14ac:dyDescent="0.25">
      <c r="A83" s="44" t="s">
        <v>74</v>
      </c>
      <c r="B83" s="76">
        <f t="shared" ref="B83:AF83" si="15">IF(B66&lt;0,B66*-1,0)</f>
        <v>0</v>
      </c>
      <c r="C83" s="76">
        <f t="shared" si="15"/>
        <v>0</v>
      </c>
      <c r="D83" s="76">
        <f t="shared" si="15"/>
        <v>0</v>
      </c>
      <c r="E83" s="76">
        <f t="shared" si="15"/>
        <v>0</v>
      </c>
      <c r="F83" s="76">
        <f t="shared" si="15"/>
        <v>0</v>
      </c>
      <c r="G83" s="76">
        <f t="shared" si="15"/>
        <v>0</v>
      </c>
      <c r="H83" s="76">
        <f t="shared" si="15"/>
        <v>0</v>
      </c>
      <c r="I83" s="76">
        <f t="shared" si="15"/>
        <v>0</v>
      </c>
      <c r="J83" s="76">
        <f t="shared" si="15"/>
        <v>0</v>
      </c>
      <c r="K83" s="76">
        <f t="shared" si="15"/>
        <v>0</v>
      </c>
      <c r="L83" s="76">
        <f t="shared" si="15"/>
        <v>0</v>
      </c>
      <c r="M83" s="76">
        <f t="shared" si="15"/>
        <v>0</v>
      </c>
      <c r="N83" s="76">
        <f t="shared" si="15"/>
        <v>0</v>
      </c>
      <c r="O83" s="76">
        <f t="shared" si="15"/>
        <v>0</v>
      </c>
      <c r="P83" s="76">
        <f t="shared" si="15"/>
        <v>0</v>
      </c>
      <c r="Q83" s="76">
        <f t="shared" si="15"/>
        <v>0</v>
      </c>
      <c r="R83" s="76">
        <f t="shared" si="15"/>
        <v>0</v>
      </c>
      <c r="S83" s="76">
        <f t="shared" si="15"/>
        <v>0</v>
      </c>
      <c r="T83" s="76">
        <f t="shared" si="15"/>
        <v>0</v>
      </c>
      <c r="U83" s="76">
        <f t="shared" si="15"/>
        <v>0</v>
      </c>
      <c r="V83" s="76">
        <f t="shared" si="15"/>
        <v>0</v>
      </c>
      <c r="W83" s="76">
        <f t="shared" si="15"/>
        <v>0</v>
      </c>
      <c r="X83" s="76">
        <f t="shared" si="15"/>
        <v>0</v>
      </c>
      <c r="Y83" s="76">
        <f t="shared" si="15"/>
        <v>0</v>
      </c>
      <c r="Z83" s="76">
        <f t="shared" si="15"/>
        <v>0</v>
      </c>
      <c r="AA83" s="76">
        <f t="shared" si="15"/>
        <v>0</v>
      </c>
      <c r="AB83" s="76">
        <f t="shared" si="15"/>
        <v>0</v>
      </c>
      <c r="AC83" s="76">
        <f t="shared" si="15"/>
        <v>0</v>
      </c>
      <c r="AD83" s="76">
        <f t="shared" si="15"/>
        <v>0</v>
      </c>
      <c r="AE83" s="76">
        <f t="shared" si="15"/>
        <v>0</v>
      </c>
      <c r="AF83" s="76">
        <f t="shared" si="15"/>
        <v>0</v>
      </c>
      <c r="AG83" s="52"/>
      <c r="AH83" s="48">
        <f t="shared" si="10"/>
        <v>0</v>
      </c>
      <c r="AI83" s="49">
        <f t="shared" si="11"/>
        <v>0</v>
      </c>
    </row>
    <row r="84" spans="1:37" x14ac:dyDescent="0.25">
      <c r="A84" s="54" t="s">
        <v>72</v>
      </c>
      <c r="B84" s="76">
        <f t="shared" ref="B84:AF84" si="16">IF(B64&lt;0,B64*-1,0)</f>
        <v>0</v>
      </c>
      <c r="C84" s="76">
        <f t="shared" si="16"/>
        <v>0</v>
      </c>
      <c r="D84" s="76">
        <f t="shared" si="16"/>
        <v>0</v>
      </c>
      <c r="E84" s="76">
        <f t="shared" si="16"/>
        <v>0</v>
      </c>
      <c r="F84" s="76">
        <f t="shared" si="16"/>
        <v>0</v>
      </c>
      <c r="G84" s="76">
        <f t="shared" si="16"/>
        <v>0</v>
      </c>
      <c r="H84" s="76">
        <f t="shared" si="16"/>
        <v>0</v>
      </c>
      <c r="I84" s="76">
        <f t="shared" si="16"/>
        <v>0</v>
      </c>
      <c r="J84" s="76">
        <f t="shared" si="16"/>
        <v>0</v>
      </c>
      <c r="K84" s="76">
        <f t="shared" si="16"/>
        <v>0</v>
      </c>
      <c r="L84" s="76">
        <f t="shared" si="16"/>
        <v>0</v>
      </c>
      <c r="M84" s="76">
        <f t="shared" si="16"/>
        <v>0</v>
      </c>
      <c r="N84" s="76">
        <f t="shared" si="16"/>
        <v>0</v>
      </c>
      <c r="O84" s="76">
        <f t="shared" si="16"/>
        <v>0</v>
      </c>
      <c r="P84" s="76">
        <f t="shared" si="16"/>
        <v>0</v>
      </c>
      <c r="Q84" s="76">
        <f t="shared" si="16"/>
        <v>0</v>
      </c>
      <c r="R84" s="76">
        <f t="shared" si="16"/>
        <v>0</v>
      </c>
      <c r="S84" s="76">
        <f t="shared" si="16"/>
        <v>0</v>
      </c>
      <c r="T84" s="76">
        <f t="shared" si="16"/>
        <v>0</v>
      </c>
      <c r="U84" s="76">
        <f t="shared" si="16"/>
        <v>0</v>
      </c>
      <c r="V84" s="76">
        <f t="shared" si="16"/>
        <v>0</v>
      </c>
      <c r="W84" s="76">
        <f t="shared" si="16"/>
        <v>0</v>
      </c>
      <c r="X84" s="76">
        <f t="shared" si="16"/>
        <v>0</v>
      </c>
      <c r="Y84" s="76">
        <f t="shared" si="16"/>
        <v>0</v>
      </c>
      <c r="Z84" s="76">
        <f t="shared" si="16"/>
        <v>0</v>
      </c>
      <c r="AA84" s="76">
        <f t="shared" si="16"/>
        <v>0</v>
      </c>
      <c r="AB84" s="76">
        <f t="shared" si="16"/>
        <v>0</v>
      </c>
      <c r="AC84" s="76">
        <f t="shared" si="16"/>
        <v>0</v>
      </c>
      <c r="AD84" s="76">
        <f t="shared" si="16"/>
        <v>0</v>
      </c>
      <c r="AE84" s="76">
        <f t="shared" si="16"/>
        <v>0</v>
      </c>
      <c r="AF84" s="76">
        <f t="shared" si="16"/>
        <v>0</v>
      </c>
      <c r="AG84" s="55"/>
      <c r="AH84" s="48">
        <f t="shared" si="10"/>
        <v>0</v>
      </c>
      <c r="AI84" s="49">
        <f t="shared" si="11"/>
        <v>0</v>
      </c>
    </row>
    <row r="85" spans="1:37" x14ac:dyDescent="0.25">
      <c r="A85" s="78" t="s">
        <v>91</v>
      </c>
      <c r="B85" s="76">
        <f t="shared" ref="B85:AF85" si="17">IF(B67&lt;0,B67*-1,0)</f>
        <v>0</v>
      </c>
      <c r="C85" s="76">
        <f t="shared" si="17"/>
        <v>0</v>
      </c>
      <c r="D85" s="76">
        <f t="shared" si="17"/>
        <v>0</v>
      </c>
      <c r="E85" s="76">
        <f t="shared" si="17"/>
        <v>0</v>
      </c>
      <c r="F85" s="76">
        <f t="shared" si="17"/>
        <v>0</v>
      </c>
      <c r="G85" s="76">
        <f t="shared" si="17"/>
        <v>0</v>
      </c>
      <c r="H85" s="76">
        <f t="shared" si="17"/>
        <v>0</v>
      </c>
      <c r="I85" s="76">
        <f t="shared" si="17"/>
        <v>0</v>
      </c>
      <c r="J85" s="76">
        <f t="shared" si="17"/>
        <v>0</v>
      </c>
      <c r="K85" s="76">
        <f t="shared" si="17"/>
        <v>0</v>
      </c>
      <c r="L85" s="76">
        <f t="shared" si="17"/>
        <v>0</v>
      </c>
      <c r="M85" s="76">
        <f t="shared" si="17"/>
        <v>0</v>
      </c>
      <c r="N85" s="76">
        <f t="shared" si="17"/>
        <v>0</v>
      </c>
      <c r="O85" s="76">
        <f t="shared" si="17"/>
        <v>0</v>
      </c>
      <c r="P85" s="76">
        <f t="shared" si="17"/>
        <v>0</v>
      </c>
      <c r="Q85" s="76">
        <f t="shared" si="17"/>
        <v>0</v>
      </c>
      <c r="R85" s="76">
        <f t="shared" si="17"/>
        <v>0</v>
      </c>
      <c r="S85" s="76">
        <f t="shared" si="17"/>
        <v>0</v>
      </c>
      <c r="T85" s="76">
        <f t="shared" si="17"/>
        <v>0</v>
      </c>
      <c r="U85" s="76">
        <f t="shared" si="17"/>
        <v>0</v>
      </c>
      <c r="V85" s="76">
        <f t="shared" si="17"/>
        <v>0</v>
      </c>
      <c r="W85" s="76">
        <f t="shared" si="17"/>
        <v>0</v>
      </c>
      <c r="X85" s="76">
        <f t="shared" si="17"/>
        <v>0</v>
      </c>
      <c r="Y85" s="76">
        <f t="shared" si="17"/>
        <v>0</v>
      </c>
      <c r="Z85" s="76">
        <f t="shared" si="17"/>
        <v>0</v>
      </c>
      <c r="AA85" s="76">
        <f t="shared" si="17"/>
        <v>0</v>
      </c>
      <c r="AB85" s="76">
        <f t="shared" si="17"/>
        <v>0</v>
      </c>
      <c r="AC85" s="76">
        <f t="shared" si="17"/>
        <v>0</v>
      </c>
      <c r="AD85" s="76">
        <f t="shared" si="17"/>
        <v>0</v>
      </c>
      <c r="AE85" s="76">
        <f t="shared" si="17"/>
        <v>0</v>
      </c>
      <c r="AF85" s="76">
        <f t="shared" si="17"/>
        <v>0</v>
      </c>
      <c r="AG85" s="86"/>
      <c r="AH85" s="48">
        <f t="shared" si="10"/>
        <v>0</v>
      </c>
      <c r="AI85" s="49">
        <f t="shared" si="11"/>
        <v>0</v>
      </c>
    </row>
    <row r="86" spans="1:37" x14ac:dyDescent="0.25">
      <c r="A86" s="78" t="s">
        <v>92</v>
      </c>
      <c r="B86" s="76">
        <f t="shared" ref="B86:AF86" si="18">IF(B65&lt;0,B65*-1,0)</f>
        <v>365</v>
      </c>
      <c r="C86" s="76">
        <f t="shared" si="18"/>
        <v>409</v>
      </c>
      <c r="D86" s="76">
        <f t="shared" si="18"/>
        <v>404</v>
      </c>
      <c r="E86" s="76">
        <f t="shared" si="18"/>
        <v>390</v>
      </c>
      <c r="F86" s="76">
        <f t="shared" si="18"/>
        <v>409</v>
      </c>
      <c r="G86" s="76">
        <f t="shared" si="18"/>
        <v>401</v>
      </c>
      <c r="H86" s="76">
        <f t="shared" si="18"/>
        <v>396</v>
      </c>
      <c r="I86" s="76">
        <f t="shared" si="18"/>
        <v>400</v>
      </c>
      <c r="J86" s="76">
        <f t="shared" si="18"/>
        <v>383</v>
      </c>
      <c r="K86" s="76">
        <f t="shared" si="18"/>
        <v>420</v>
      </c>
      <c r="L86" s="76">
        <f t="shared" si="18"/>
        <v>405</v>
      </c>
      <c r="M86" s="76">
        <f t="shared" si="18"/>
        <v>389.1</v>
      </c>
      <c r="N86" s="76">
        <f t="shared" si="18"/>
        <v>282.89999999999998</v>
      </c>
      <c r="O86" s="76">
        <f t="shared" si="18"/>
        <v>312</v>
      </c>
      <c r="P86" s="76">
        <f t="shared" si="18"/>
        <v>340</v>
      </c>
      <c r="Q86" s="76">
        <f t="shared" si="18"/>
        <v>343</v>
      </c>
      <c r="R86" s="76">
        <f t="shared" si="18"/>
        <v>343</v>
      </c>
      <c r="S86" s="76">
        <f t="shared" si="18"/>
        <v>191</v>
      </c>
      <c r="T86" s="76">
        <f t="shared" si="18"/>
        <v>201</v>
      </c>
      <c r="U86" s="76">
        <f t="shared" si="18"/>
        <v>349</v>
      </c>
      <c r="V86" s="76">
        <f t="shared" si="18"/>
        <v>351</v>
      </c>
      <c r="W86" s="76">
        <f t="shared" si="18"/>
        <v>351</v>
      </c>
      <c r="X86" s="76">
        <f t="shared" si="18"/>
        <v>273</v>
      </c>
      <c r="Y86" s="76">
        <f t="shared" si="18"/>
        <v>286</v>
      </c>
      <c r="Z86" s="76">
        <f t="shared" si="18"/>
        <v>260</v>
      </c>
      <c r="AA86" s="76">
        <f t="shared" si="18"/>
        <v>303</v>
      </c>
      <c r="AB86" s="76">
        <f t="shared" si="18"/>
        <v>345</v>
      </c>
      <c r="AC86" s="76">
        <f t="shared" si="18"/>
        <v>385</v>
      </c>
      <c r="AD86" s="76">
        <f t="shared" si="18"/>
        <v>394</v>
      </c>
      <c r="AE86" s="76">
        <f t="shared" si="18"/>
        <v>402</v>
      </c>
      <c r="AF86" s="76">
        <f t="shared" si="18"/>
        <v>386</v>
      </c>
      <c r="AG86" s="86"/>
      <c r="AH86" s="48">
        <f t="shared" si="10"/>
        <v>420</v>
      </c>
      <c r="AI86" s="49">
        <f t="shared" si="11"/>
        <v>191</v>
      </c>
    </row>
    <row r="87" spans="1:37" x14ac:dyDescent="0.25">
      <c r="A87" s="78" t="s">
        <v>71</v>
      </c>
      <c r="B87" s="76">
        <f t="shared" ref="B87:AF87" si="19">IF(B63&lt;0,B63*-1,0)</f>
        <v>0</v>
      </c>
      <c r="C87" s="76">
        <f t="shared" si="19"/>
        <v>0</v>
      </c>
      <c r="D87" s="76">
        <f t="shared" si="19"/>
        <v>0</v>
      </c>
      <c r="E87" s="76">
        <f t="shared" si="19"/>
        <v>0</v>
      </c>
      <c r="F87" s="76">
        <f t="shared" si="19"/>
        <v>0</v>
      </c>
      <c r="G87" s="76">
        <f t="shared" si="19"/>
        <v>0</v>
      </c>
      <c r="H87" s="76">
        <f t="shared" si="19"/>
        <v>0</v>
      </c>
      <c r="I87" s="76">
        <f t="shared" si="19"/>
        <v>0</v>
      </c>
      <c r="J87" s="76">
        <f t="shared" si="19"/>
        <v>0</v>
      </c>
      <c r="K87" s="76">
        <f t="shared" si="19"/>
        <v>0</v>
      </c>
      <c r="L87" s="76">
        <f t="shared" si="19"/>
        <v>0</v>
      </c>
      <c r="M87" s="76">
        <f t="shared" si="19"/>
        <v>0</v>
      </c>
      <c r="N87" s="76">
        <f t="shared" si="19"/>
        <v>0</v>
      </c>
      <c r="O87" s="76">
        <f t="shared" si="19"/>
        <v>0</v>
      </c>
      <c r="P87" s="76">
        <f t="shared" si="19"/>
        <v>0</v>
      </c>
      <c r="Q87" s="76">
        <f t="shared" si="19"/>
        <v>0</v>
      </c>
      <c r="R87" s="76">
        <f t="shared" si="19"/>
        <v>0</v>
      </c>
      <c r="S87" s="76">
        <f t="shared" si="19"/>
        <v>0</v>
      </c>
      <c r="T87" s="76">
        <f t="shared" si="19"/>
        <v>0</v>
      </c>
      <c r="U87" s="76">
        <f t="shared" si="19"/>
        <v>0</v>
      </c>
      <c r="V87" s="76">
        <f t="shared" si="19"/>
        <v>0</v>
      </c>
      <c r="W87" s="76">
        <f t="shared" si="19"/>
        <v>0</v>
      </c>
      <c r="X87" s="76">
        <f t="shared" si="19"/>
        <v>0</v>
      </c>
      <c r="Y87" s="76">
        <f t="shared" si="19"/>
        <v>0</v>
      </c>
      <c r="Z87" s="76">
        <f t="shared" si="19"/>
        <v>0</v>
      </c>
      <c r="AA87" s="76">
        <f t="shared" si="19"/>
        <v>0</v>
      </c>
      <c r="AB87" s="76">
        <f t="shared" si="19"/>
        <v>0</v>
      </c>
      <c r="AC87" s="76">
        <f t="shared" si="19"/>
        <v>0</v>
      </c>
      <c r="AD87" s="76">
        <f t="shared" si="19"/>
        <v>0</v>
      </c>
      <c r="AE87" s="76">
        <f t="shared" si="19"/>
        <v>0</v>
      </c>
      <c r="AF87" s="76">
        <f t="shared" si="19"/>
        <v>0</v>
      </c>
      <c r="AG87" s="86"/>
      <c r="AH87" s="48">
        <f t="shared" si="10"/>
        <v>0</v>
      </c>
      <c r="AI87" s="49">
        <f t="shared" si="11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10"/>
        <v>0</v>
      </c>
      <c r="AI88" s="49">
        <f t="shared" si="11"/>
        <v>0</v>
      </c>
    </row>
    <row r="89" spans="1:37" ht="15.75" thickBot="1" x14ac:dyDescent="0.3">
      <c r="A89" s="87" t="s">
        <v>94</v>
      </c>
      <c r="B89" s="61">
        <f t="shared" ref="B89:AF89" si="20">SUM(B83:B88)</f>
        <v>365</v>
      </c>
      <c r="C89" s="61">
        <f t="shared" si="20"/>
        <v>409</v>
      </c>
      <c r="D89" s="61">
        <f t="shared" si="20"/>
        <v>404</v>
      </c>
      <c r="E89" s="61">
        <f t="shared" si="20"/>
        <v>390</v>
      </c>
      <c r="F89" s="61">
        <f t="shared" si="20"/>
        <v>409</v>
      </c>
      <c r="G89" s="61">
        <f t="shared" si="20"/>
        <v>401</v>
      </c>
      <c r="H89" s="61">
        <f t="shared" si="20"/>
        <v>396</v>
      </c>
      <c r="I89" s="61">
        <f t="shared" si="20"/>
        <v>400</v>
      </c>
      <c r="J89" s="61">
        <f t="shared" si="20"/>
        <v>383</v>
      </c>
      <c r="K89" s="61">
        <f t="shared" si="20"/>
        <v>420</v>
      </c>
      <c r="L89" s="61">
        <f t="shared" si="20"/>
        <v>405</v>
      </c>
      <c r="M89" s="61">
        <f t="shared" si="20"/>
        <v>389.1</v>
      </c>
      <c r="N89" s="61">
        <f t="shared" si="20"/>
        <v>282.89999999999998</v>
      </c>
      <c r="O89" s="61">
        <f t="shared" si="20"/>
        <v>312</v>
      </c>
      <c r="P89" s="61">
        <f t="shared" si="20"/>
        <v>340</v>
      </c>
      <c r="Q89" s="61">
        <f t="shared" si="20"/>
        <v>343</v>
      </c>
      <c r="R89" s="61">
        <f t="shared" si="20"/>
        <v>343</v>
      </c>
      <c r="S89" s="61">
        <f t="shared" si="20"/>
        <v>191</v>
      </c>
      <c r="T89" s="61">
        <f t="shared" si="20"/>
        <v>201</v>
      </c>
      <c r="U89" s="61">
        <f t="shared" si="20"/>
        <v>349</v>
      </c>
      <c r="V89" s="61">
        <f t="shared" si="20"/>
        <v>351</v>
      </c>
      <c r="W89" s="61">
        <f t="shared" si="20"/>
        <v>351</v>
      </c>
      <c r="X89" s="61">
        <f t="shared" si="20"/>
        <v>273</v>
      </c>
      <c r="Y89" s="61">
        <f t="shared" si="20"/>
        <v>286</v>
      </c>
      <c r="Z89" s="61">
        <f t="shared" si="20"/>
        <v>260</v>
      </c>
      <c r="AA89" s="61">
        <f t="shared" si="20"/>
        <v>303</v>
      </c>
      <c r="AB89" s="61">
        <f t="shared" si="20"/>
        <v>345</v>
      </c>
      <c r="AC89" s="61">
        <f t="shared" si="20"/>
        <v>385</v>
      </c>
      <c r="AD89" s="61">
        <f t="shared" si="20"/>
        <v>394</v>
      </c>
      <c r="AE89" s="61">
        <f t="shared" si="20"/>
        <v>402</v>
      </c>
      <c r="AF89" s="61">
        <f t="shared" si="20"/>
        <v>386</v>
      </c>
      <c r="AG89" s="81"/>
      <c r="AH89" s="48">
        <f t="shared" si="10"/>
        <v>420</v>
      </c>
      <c r="AI89" s="49">
        <f t="shared" si="11"/>
        <v>191</v>
      </c>
      <c r="AK89" s="50"/>
    </row>
    <row r="90" spans="1:37" ht="15.75" thickBot="1" x14ac:dyDescent="0.3">
      <c r="A90" s="74" t="s">
        <v>95</v>
      </c>
      <c r="B90" s="61">
        <f t="shared" ref="B90:AF90" si="21">B74-B89</f>
        <v>-365</v>
      </c>
      <c r="C90" s="61">
        <f t="shared" si="21"/>
        <v>-409</v>
      </c>
      <c r="D90" s="61">
        <f t="shared" si="21"/>
        <v>-404</v>
      </c>
      <c r="E90" s="61">
        <f t="shared" si="21"/>
        <v>-390</v>
      </c>
      <c r="F90" s="61">
        <f t="shared" si="21"/>
        <v>-409</v>
      </c>
      <c r="G90" s="61">
        <f t="shared" si="21"/>
        <v>-401</v>
      </c>
      <c r="H90" s="61">
        <f t="shared" si="21"/>
        <v>-396</v>
      </c>
      <c r="I90" s="61">
        <f t="shared" si="21"/>
        <v>-400</v>
      </c>
      <c r="J90" s="61">
        <f t="shared" si="21"/>
        <v>-383</v>
      </c>
      <c r="K90" s="61">
        <f t="shared" si="21"/>
        <v>-420</v>
      </c>
      <c r="L90" s="61">
        <f t="shared" si="21"/>
        <v>-405</v>
      </c>
      <c r="M90" s="61">
        <f t="shared" si="21"/>
        <v>-389.1</v>
      </c>
      <c r="N90" s="61">
        <f t="shared" si="21"/>
        <v>-282.89999999999998</v>
      </c>
      <c r="O90" s="61">
        <f t="shared" si="21"/>
        <v>-312</v>
      </c>
      <c r="P90" s="61">
        <f t="shared" si="21"/>
        <v>-340</v>
      </c>
      <c r="Q90" s="61">
        <f t="shared" si="21"/>
        <v>-343</v>
      </c>
      <c r="R90" s="61">
        <f t="shared" si="21"/>
        <v>-343</v>
      </c>
      <c r="S90" s="61">
        <f t="shared" si="21"/>
        <v>-191</v>
      </c>
      <c r="T90" s="61">
        <f t="shared" si="21"/>
        <v>-201</v>
      </c>
      <c r="U90" s="61">
        <f t="shared" si="21"/>
        <v>-349</v>
      </c>
      <c r="V90" s="61">
        <f t="shared" si="21"/>
        <v>-351</v>
      </c>
      <c r="W90" s="61">
        <f t="shared" si="21"/>
        <v>-351</v>
      </c>
      <c r="X90" s="61">
        <f t="shared" si="21"/>
        <v>-273</v>
      </c>
      <c r="Y90" s="61">
        <f t="shared" si="21"/>
        <v>-286</v>
      </c>
      <c r="Z90" s="61">
        <f t="shared" si="21"/>
        <v>-260</v>
      </c>
      <c r="AA90" s="61">
        <f t="shared" si="21"/>
        <v>-303</v>
      </c>
      <c r="AB90" s="61">
        <f t="shared" si="21"/>
        <v>-345</v>
      </c>
      <c r="AC90" s="61">
        <f t="shared" si="21"/>
        <v>-385</v>
      </c>
      <c r="AD90" s="61">
        <f t="shared" si="21"/>
        <v>-394</v>
      </c>
      <c r="AE90" s="61">
        <f t="shared" si="21"/>
        <v>-402</v>
      </c>
      <c r="AF90" s="61">
        <f t="shared" si="21"/>
        <v>-386</v>
      </c>
      <c r="AG90" s="81"/>
      <c r="AH90" s="48">
        <f t="shared" si="10"/>
        <v>-191</v>
      </c>
      <c r="AI90" s="49">
        <f t="shared" si="11"/>
        <v>-420</v>
      </c>
    </row>
    <row r="91" spans="1:37" x14ac:dyDescent="0.25">
      <c r="A91" s="88" t="s">
        <v>96</v>
      </c>
      <c r="B91" s="89">
        <v>49.99</v>
      </c>
      <c r="C91" s="89">
        <v>49.93</v>
      </c>
      <c r="D91" s="89">
        <v>49.99</v>
      </c>
      <c r="E91" s="89">
        <v>49.98</v>
      </c>
      <c r="F91" s="89">
        <v>49.945999999999998</v>
      </c>
      <c r="G91" s="89">
        <v>49.942999999999998</v>
      </c>
      <c r="H91" s="89">
        <v>50.082999999999998</v>
      </c>
      <c r="I91" s="89">
        <v>49.993000000000002</v>
      </c>
      <c r="J91" s="89">
        <v>50.05</v>
      </c>
      <c r="K91" s="89">
        <v>49.856999999999999</v>
      </c>
      <c r="L91" s="89">
        <v>49.92</v>
      </c>
      <c r="M91" s="89">
        <v>50.03</v>
      </c>
      <c r="N91" s="89">
        <v>50.02</v>
      </c>
      <c r="O91" s="89">
        <v>49.98</v>
      </c>
      <c r="P91" s="89">
        <v>50.023000000000003</v>
      </c>
      <c r="Q91" s="89">
        <v>50</v>
      </c>
      <c r="R91" s="89">
        <v>50</v>
      </c>
      <c r="S91" s="89">
        <v>50.064999999999998</v>
      </c>
      <c r="T91" s="89">
        <v>49.860999999999997</v>
      </c>
      <c r="U91" s="89">
        <v>49.957000000000001</v>
      </c>
      <c r="V91" s="89">
        <v>49.606000000000002</v>
      </c>
      <c r="W91" s="89">
        <v>49.765000000000001</v>
      </c>
      <c r="X91" s="89">
        <v>49.781999999999996</v>
      </c>
      <c r="Y91" s="89">
        <v>49.695</v>
      </c>
      <c r="Z91" s="89">
        <v>49.981999999999999</v>
      </c>
      <c r="AA91" s="89">
        <v>50.021000000000001</v>
      </c>
      <c r="AB91" s="89">
        <v>50.09</v>
      </c>
      <c r="AC91" s="89">
        <v>49.79</v>
      </c>
      <c r="AD91" s="89">
        <v>49.88</v>
      </c>
      <c r="AE91" s="89">
        <v>49.98</v>
      </c>
      <c r="AF91" s="89">
        <v>49.88</v>
      </c>
      <c r="AG91" s="90"/>
      <c r="AH91" s="48">
        <f t="shared" si="10"/>
        <v>50.09</v>
      </c>
      <c r="AI91" s="49">
        <f t="shared" si="11"/>
        <v>49.606000000000002</v>
      </c>
    </row>
    <row r="92" spans="1:37" x14ac:dyDescent="0.25">
      <c r="A92" s="91" t="s">
        <v>97</v>
      </c>
      <c r="B92" s="65">
        <v>126.6</v>
      </c>
      <c r="C92" s="65">
        <v>126.4</v>
      </c>
      <c r="D92" s="65">
        <v>126.8</v>
      </c>
      <c r="E92" s="65">
        <v>127.2</v>
      </c>
      <c r="F92" s="65">
        <v>126.3</v>
      </c>
      <c r="G92" s="65">
        <v>127</v>
      </c>
      <c r="H92" s="65">
        <v>126.8</v>
      </c>
      <c r="I92" s="65">
        <v>125.8</v>
      </c>
      <c r="J92" s="65">
        <v>125.6</v>
      </c>
      <c r="K92" s="65">
        <v>124.5</v>
      </c>
      <c r="L92" s="65">
        <v>123.5</v>
      </c>
      <c r="M92" s="65">
        <v>124.4</v>
      </c>
      <c r="N92" s="65">
        <v>123.8</v>
      </c>
      <c r="O92" s="65">
        <v>122.8</v>
      </c>
      <c r="P92" s="65">
        <v>124.1</v>
      </c>
      <c r="Q92" s="65">
        <v>124</v>
      </c>
      <c r="R92" s="65">
        <v>124</v>
      </c>
      <c r="S92" s="65">
        <v>124.5</v>
      </c>
      <c r="T92" s="65">
        <v>124.2</v>
      </c>
      <c r="U92" s="65">
        <v>124.1</v>
      </c>
      <c r="V92" s="65">
        <v>125.4</v>
      </c>
      <c r="W92" s="65">
        <v>125.1</v>
      </c>
      <c r="X92" s="65">
        <v>124.2</v>
      </c>
      <c r="Y92" s="65">
        <v>126.3</v>
      </c>
      <c r="Z92" s="65">
        <v>127.5</v>
      </c>
      <c r="AA92" s="65">
        <v>127</v>
      </c>
      <c r="AB92" s="65">
        <v>126.8</v>
      </c>
      <c r="AC92" s="65">
        <v>16.8</v>
      </c>
      <c r="AD92" s="65">
        <v>131</v>
      </c>
      <c r="AE92" s="65">
        <v>128</v>
      </c>
      <c r="AF92" s="65">
        <v>127</v>
      </c>
      <c r="AG92" s="92"/>
      <c r="AH92" s="48">
        <f t="shared" si="10"/>
        <v>131</v>
      </c>
      <c r="AI92" s="49">
        <f t="shared" si="11"/>
        <v>16.8</v>
      </c>
    </row>
    <row r="93" spans="1:37" x14ac:dyDescent="0.25">
      <c r="A93" s="91" t="s">
        <v>98</v>
      </c>
      <c r="B93" s="65">
        <v>130.6</v>
      </c>
      <c r="C93" s="65">
        <v>130.6</v>
      </c>
      <c r="D93" s="65">
        <v>130.80000000000001</v>
      </c>
      <c r="E93" s="65">
        <v>131.30000000000001</v>
      </c>
      <c r="F93" s="65">
        <v>130.6</v>
      </c>
      <c r="G93" s="65">
        <v>130.9</v>
      </c>
      <c r="H93" s="65">
        <v>130.9</v>
      </c>
      <c r="I93" s="65">
        <v>129.80000000000001</v>
      </c>
      <c r="J93" s="65">
        <v>129.6</v>
      </c>
      <c r="K93" s="65">
        <v>128.19999999999999</v>
      </c>
      <c r="L93" s="65">
        <v>127.4</v>
      </c>
      <c r="M93" s="65">
        <v>127.3</v>
      </c>
      <c r="N93" s="65">
        <v>125.9</v>
      </c>
      <c r="O93" s="65">
        <v>125.4</v>
      </c>
      <c r="P93" s="65">
        <v>126.8</v>
      </c>
      <c r="Q93" s="65">
        <v>126.8</v>
      </c>
      <c r="R93" s="65">
        <v>126.8</v>
      </c>
      <c r="S93" s="65">
        <v>127.3</v>
      </c>
      <c r="T93" s="65">
        <v>127.2</v>
      </c>
      <c r="U93" s="65">
        <v>127.2</v>
      </c>
      <c r="V93" s="65">
        <v>128</v>
      </c>
      <c r="W93" s="65">
        <v>127.5</v>
      </c>
      <c r="X93" s="65">
        <v>126.3</v>
      </c>
      <c r="Y93" s="65">
        <v>128.6</v>
      </c>
      <c r="Z93" s="65">
        <v>130.6</v>
      </c>
      <c r="AA93" s="65">
        <v>130.30000000000001</v>
      </c>
      <c r="AB93" s="65">
        <v>130.4</v>
      </c>
      <c r="AC93" s="65">
        <v>130.69999999999999</v>
      </c>
      <c r="AD93" s="65">
        <v>131</v>
      </c>
      <c r="AE93" s="65">
        <v>132</v>
      </c>
      <c r="AF93" s="65">
        <v>131</v>
      </c>
      <c r="AG93" s="92"/>
      <c r="AH93" s="48">
        <f t="shared" si="10"/>
        <v>132</v>
      </c>
      <c r="AI93" s="49">
        <f t="shared" si="11"/>
        <v>125.4</v>
      </c>
    </row>
    <row r="94" spans="1:37" x14ac:dyDescent="0.25">
      <c r="A94" s="91" t="s">
        <v>99</v>
      </c>
      <c r="B94" s="65">
        <v>132.69999999999999</v>
      </c>
      <c r="C94" s="65">
        <v>131.1</v>
      </c>
      <c r="D94" s="65">
        <v>132.19999999999999</v>
      </c>
      <c r="E94" s="65">
        <v>132.4</v>
      </c>
      <c r="F94" s="65">
        <v>132.4</v>
      </c>
      <c r="G94" s="65">
        <v>131.19999999999999</v>
      </c>
      <c r="H94" s="65">
        <v>132.80000000000001</v>
      </c>
      <c r="I94" s="65">
        <v>132.19999999999999</v>
      </c>
      <c r="J94" s="65">
        <v>130.30000000000001</v>
      </c>
      <c r="K94" s="65">
        <v>128</v>
      </c>
      <c r="L94" s="65">
        <v>128.30000000000001</v>
      </c>
      <c r="M94" s="65">
        <v>129.19999999999999</v>
      </c>
      <c r="N94" s="65">
        <v>128.30000000000001</v>
      </c>
      <c r="O94" s="65">
        <v>129</v>
      </c>
      <c r="P94" s="65">
        <v>130</v>
      </c>
      <c r="Q94" s="65">
        <v>130</v>
      </c>
      <c r="R94" s="65">
        <v>130</v>
      </c>
      <c r="S94" s="65">
        <v>131.1</v>
      </c>
      <c r="T94" s="65">
        <v>130.6</v>
      </c>
      <c r="U94" s="65">
        <v>129.19999999999999</v>
      </c>
      <c r="V94" s="65">
        <v>130</v>
      </c>
      <c r="W94" s="65">
        <v>129</v>
      </c>
      <c r="X94" s="65">
        <v>128.19999999999999</v>
      </c>
      <c r="Y94" s="65">
        <v>130.5</v>
      </c>
      <c r="Z94" s="65">
        <v>132.19999999999999</v>
      </c>
      <c r="AA94" s="65">
        <v>132.1</v>
      </c>
      <c r="AB94" s="65">
        <v>131.6</v>
      </c>
      <c r="AC94" s="65">
        <v>130.9</v>
      </c>
      <c r="AD94" s="65">
        <v>130</v>
      </c>
      <c r="AE94" s="65">
        <v>132</v>
      </c>
      <c r="AF94" s="65">
        <v>131.69999999999999</v>
      </c>
      <c r="AG94" s="92"/>
      <c r="AH94" s="48">
        <f t="shared" si="10"/>
        <v>132.80000000000001</v>
      </c>
      <c r="AI94" s="49">
        <f t="shared" si="11"/>
        <v>128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10"/>
        <v>0</v>
      </c>
      <c r="AI95" s="49">
        <f t="shared" si="11"/>
        <v>0</v>
      </c>
    </row>
    <row r="96" spans="1:37" x14ac:dyDescent="0.25">
      <c r="A96" s="93" t="s">
        <v>101</v>
      </c>
      <c r="B96" s="94">
        <v>133.19999999999999</v>
      </c>
      <c r="C96" s="94">
        <v>133.1</v>
      </c>
      <c r="D96" s="94">
        <v>133.69999999999999</v>
      </c>
      <c r="E96" s="94">
        <v>134.5</v>
      </c>
      <c r="F96" s="94">
        <v>134.80000000000001</v>
      </c>
      <c r="G96" s="94">
        <v>134.69999999999999</v>
      </c>
      <c r="H96" s="94">
        <v>134.5</v>
      </c>
      <c r="I96" s="94">
        <v>131.9</v>
      </c>
      <c r="J96" s="94">
        <v>132.69999999999999</v>
      </c>
      <c r="K96" s="94">
        <v>131.6</v>
      </c>
      <c r="L96" s="94">
        <v>131.9</v>
      </c>
      <c r="M96" s="94">
        <v>133.19999999999999</v>
      </c>
      <c r="N96" s="94">
        <v>134.19999999999999</v>
      </c>
      <c r="O96" s="94">
        <v>132.19999999999999</v>
      </c>
      <c r="P96" s="94">
        <v>132.19999999999999</v>
      </c>
      <c r="Q96" s="94">
        <v>132.19999999999999</v>
      </c>
      <c r="R96" s="94">
        <v>132.19999999999999</v>
      </c>
      <c r="S96" s="94">
        <v>133.69999999999999</v>
      </c>
      <c r="T96" s="94">
        <v>132.30000000000001</v>
      </c>
      <c r="U96" s="94">
        <v>132.30000000000001</v>
      </c>
      <c r="V96" s="94">
        <v>135.5</v>
      </c>
      <c r="W96" s="94">
        <v>135</v>
      </c>
      <c r="X96" s="94">
        <v>134.9</v>
      </c>
      <c r="Y96" s="94">
        <v>134.30000000000001</v>
      </c>
      <c r="Z96" s="94">
        <v>135.69999999999999</v>
      </c>
      <c r="AA96" s="94">
        <v>135.4</v>
      </c>
      <c r="AB96" s="94">
        <v>135.4</v>
      </c>
      <c r="AC96" s="94">
        <v>134.69999999999999</v>
      </c>
      <c r="AD96" s="94">
        <v>134</v>
      </c>
      <c r="AE96" s="94">
        <v>134</v>
      </c>
      <c r="AF96" s="94">
        <v>132</v>
      </c>
      <c r="AG96" s="95"/>
      <c r="AH96" s="48">
        <f t="shared" si="10"/>
        <v>135.69999999999999</v>
      </c>
      <c r="AI96" s="49">
        <f t="shared" si="11"/>
        <v>131.6</v>
      </c>
    </row>
    <row r="97" spans="1:37" x14ac:dyDescent="0.25">
      <c r="A97" s="91" t="s">
        <v>102</v>
      </c>
      <c r="B97" s="65">
        <v>130.69999999999999</v>
      </c>
      <c r="C97" s="65">
        <v>133.30000000000001</v>
      </c>
      <c r="D97" s="65">
        <v>133.69999999999999</v>
      </c>
      <c r="E97" s="65">
        <v>130.6</v>
      </c>
      <c r="F97" s="65">
        <v>131.19999999999999</v>
      </c>
      <c r="G97" s="65">
        <v>131.19999999999999</v>
      </c>
      <c r="H97" s="65">
        <v>130</v>
      </c>
      <c r="I97" s="65">
        <v>126.9</v>
      </c>
      <c r="J97" s="65">
        <v>130.1</v>
      </c>
      <c r="K97" s="65">
        <v>129.4</v>
      </c>
      <c r="L97" s="65">
        <v>129.69999999999999</v>
      </c>
      <c r="M97" s="65">
        <v>128</v>
      </c>
      <c r="N97" s="65">
        <v>130.6</v>
      </c>
      <c r="O97" s="65">
        <v>130.5</v>
      </c>
      <c r="P97" s="65">
        <v>132.80000000000001</v>
      </c>
      <c r="Q97" s="65">
        <v>132.80000000000001</v>
      </c>
      <c r="R97" s="65">
        <v>132.80000000000001</v>
      </c>
      <c r="S97" s="65">
        <v>131.1</v>
      </c>
      <c r="T97" s="65">
        <v>129.19999999999999</v>
      </c>
      <c r="U97" s="65">
        <v>128.6</v>
      </c>
      <c r="V97" s="65">
        <v>131.6</v>
      </c>
      <c r="W97" s="65">
        <v>133.5</v>
      </c>
      <c r="X97" s="65">
        <v>133.30000000000001</v>
      </c>
      <c r="Y97" s="65">
        <v>132.69999999999999</v>
      </c>
      <c r="Z97" s="65">
        <v>137.19999999999999</v>
      </c>
      <c r="AA97" s="65">
        <v>133.69999999999999</v>
      </c>
      <c r="AB97" s="65">
        <v>135</v>
      </c>
      <c r="AC97" s="65">
        <v>134.69999999999999</v>
      </c>
      <c r="AD97" s="65">
        <v>134</v>
      </c>
      <c r="AE97" s="65">
        <v>134</v>
      </c>
      <c r="AF97" s="65">
        <v>131.4</v>
      </c>
      <c r="AG97" s="92"/>
      <c r="AH97" s="48">
        <f t="shared" si="10"/>
        <v>137.19999999999999</v>
      </c>
      <c r="AI97" s="49">
        <f t="shared" si="11"/>
        <v>126.9</v>
      </c>
    </row>
    <row r="98" spans="1:37" ht="15.75" thickBot="1" x14ac:dyDescent="0.3">
      <c r="A98" s="91" t="s">
        <v>103</v>
      </c>
      <c r="B98" s="96">
        <v>65.8</v>
      </c>
      <c r="C98" s="96">
        <v>65.7</v>
      </c>
      <c r="D98" s="96">
        <v>65.900000000000006</v>
      </c>
      <c r="E98" s="96">
        <v>66.2</v>
      </c>
      <c r="F98" s="96">
        <v>65.8</v>
      </c>
      <c r="G98" s="96">
        <v>65.8</v>
      </c>
      <c r="H98" s="96">
        <v>65.8</v>
      </c>
      <c r="I98" s="96">
        <v>65.3</v>
      </c>
      <c r="J98" s="96">
        <v>65.400000000000006</v>
      </c>
      <c r="K98" s="96">
        <v>64.599999999999994</v>
      </c>
      <c r="L98" s="96">
        <v>64</v>
      </c>
      <c r="M98" s="96">
        <v>63.8</v>
      </c>
      <c r="N98" s="96">
        <v>63.5</v>
      </c>
      <c r="O98" s="96">
        <v>63.2</v>
      </c>
      <c r="P98" s="96">
        <v>64.099999999999994</v>
      </c>
      <c r="Q98" s="96">
        <v>64.099999999999994</v>
      </c>
      <c r="R98" s="96">
        <v>64.099999999999994</v>
      </c>
      <c r="S98" s="96">
        <v>64.5</v>
      </c>
      <c r="T98" s="96">
        <v>64.400000000000006</v>
      </c>
      <c r="U98" s="96">
        <v>64.5</v>
      </c>
      <c r="V98" s="96">
        <v>64.7</v>
      </c>
      <c r="W98" s="96">
        <v>64.599999999999994</v>
      </c>
      <c r="X98" s="96">
        <v>63.8</v>
      </c>
      <c r="Y98" s="96">
        <v>64.8</v>
      </c>
      <c r="Z98" s="96">
        <v>65.400000000000006</v>
      </c>
      <c r="AA98" s="96">
        <v>65.400000000000006</v>
      </c>
      <c r="AB98" s="96">
        <v>65.599999999999994</v>
      </c>
      <c r="AC98" s="96">
        <v>65.7</v>
      </c>
      <c r="AD98" s="96">
        <v>66</v>
      </c>
      <c r="AE98" s="96">
        <v>66.599999999999994</v>
      </c>
      <c r="AF98" s="96">
        <v>66.2</v>
      </c>
      <c r="AG98" s="97"/>
      <c r="AH98" s="48">
        <f t="shared" si="10"/>
        <v>66.599999999999994</v>
      </c>
      <c r="AI98" s="49">
        <f t="shared" si="11"/>
        <v>63.2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10"/>
        <v>0</v>
      </c>
      <c r="AI99" s="49">
        <f t="shared" si="11"/>
        <v>0</v>
      </c>
    </row>
    <row r="100" spans="1:37" ht="15.75" thickBot="1" x14ac:dyDescent="0.3">
      <c r="A100" s="99" t="s">
        <v>104</v>
      </c>
      <c r="B100" s="100">
        <f t="shared" ref="B100:AF100" si="22">SUM(B15,B20,B22:B23,B48,B50:B51,B53,B55,B101:B105,B127,B133,B139,B148,B150,B162,B169,B172:B173,B180,B182,B184,B188:B190,B192:B194,B199,B205:B206,B208:B210,B218,B223)</f>
        <v>45.699999999999989</v>
      </c>
      <c r="C100" s="100">
        <f t="shared" si="22"/>
        <v>39.94</v>
      </c>
      <c r="D100" s="100">
        <f t="shared" si="22"/>
        <v>35.14</v>
      </c>
      <c r="E100" s="100">
        <f t="shared" si="22"/>
        <v>40.44</v>
      </c>
      <c r="F100" s="100">
        <f t="shared" si="22"/>
        <v>52.639999999999986</v>
      </c>
      <c r="G100" s="100">
        <f t="shared" si="22"/>
        <v>76.639999999999986</v>
      </c>
      <c r="H100" s="100">
        <f t="shared" si="22"/>
        <v>91.240000000000009</v>
      </c>
      <c r="I100" s="100">
        <f t="shared" si="22"/>
        <v>111.24000000000001</v>
      </c>
      <c r="J100" s="100">
        <f t="shared" si="22"/>
        <v>150.83999999999995</v>
      </c>
      <c r="K100" s="100">
        <f t="shared" si="22"/>
        <v>187.53999999999996</v>
      </c>
      <c r="L100" s="100">
        <f t="shared" si="22"/>
        <v>186.23999999999995</v>
      </c>
      <c r="M100" s="100">
        <f t="shared" si="22"/>
        <v>195.54000000000005</v>
      </c>
      <c r="N100" s="100">
        <f t="shared" si="22"/>
        <v>130.13999999999999</v>
      </c>
      <c r="O100" s="100">
        <f t="shared" si="22"/>
        <v>178.24</v>
      </c>
      <c r="P100" s="100">
        <f t="shared" si="22"/>
        <v>142.94</v>
      </c>
      <c r="Q100" s="100">
        <f t="shared" si="22"/>
        <v>137.5</v>
      </c>
      <c r="R100" s="100">
        <f t="shared" si="22"/>
        <v>137.5</v>
      </c>
      <c r="S100" s="100">
        <f t="shared" si="22"/>
        <v>131.79999999999998</v>
      </c>
      <c r="T100" s="100">
        <f t="shared" si="22"/>
        <v>131</v>
      </c>
      <c r="U100" s="100">
        <f t="shared" si="22"/>
        <v>138.69999999999999</v>
      </c>
      <c r="V100" s="100">
        <f t="shared" si="22"/>
        <v>153.20000000000002</v>
      </c>
      <c r="W100" s="100">
        <f t="shared" si="22"/>
        <v>176.3</v>
      </c>
      <c r="X100" s="100">
        <f t="shared" si="22"/>
        <v>243.40000000000003</v>
      </c>
      <c r="Y100" s="100">
        <f t="shared" si="22"/>
        <v>217.79999999999995</v>
      </c>
      <c r="Z100" s="100">
        <f t="shared" si="22"/>
        <v>131.70000000000002</v>
      </c>
      <c r="AA100" s="100">
        <f t="shared" si="22"/>
        <v>129.9</v>
      </c>
      <c r="AB100" s="100">
        <f t="shared" si="22"/>
        <v>181</v>
      </c>
      <c r="AC100" s="100">
        <f t="shared" si="22"/>
        <v>154</v>
      </c>
      <c r="AD100" s="100">
        <f t="shared" si="22"/>
        <v>129</v>
      </c>
      <c r="AE100" s="100">
        <f t="shared" si="22"/>
        <v>73.199999999999989</v>
      </c>
      <c r="AF100" s="100">
        <f t="shared" si="22"/>
        <v>44.900000000000006</v>
      </c>
      <c r="AG100" s="101"/>
      <c r="AH100" s="48">
        <f t="shared" si="10"/>
        <v>243.40000000000003</v>
      </c>
      <c r="AI100" s="49">
        <f t="shared" si="11"/>
        <v>35.14</v>
      </c>
    </row>
    <row r="101" spans="1:37" x14ac:dyDescent="0.25">
      <c r="A101" s="88" t="s">
        <v>105</v>
      </c>
      <c r="B101" s="102">
        <v>31.4</v>
      </c>
      <c r="C101" s="102">
        <v>33.5</v>
      </c>
      <c r="D101" s="102">
        <v>31.5</v>
      </c>
      <c r="E101" s="102">
        <v>29</v>
      </c>
      <c r="F101" s="102">
        <v>40</v>
      </c>
      <c r="G101" s="102">
        <v>40</v>
      </c>
      <c r="H101" s="102">
        <v>38</v>
      </c>
      <c r="I101" s="102">
        <v>39</v>
      </c>
      <c r="J101" s="102">
        <v>44</v>
      </c>
      <c r="K101" s="102">
        <v>54</v>
      </c>
      <c r="L101" s="102">
        <v>52</v>
      </c>
      <c r="M101" s="102">
        <v>57.1</v>
      </c>
      <c r="N101" s="102">
        <v>66.599999999999994</v>
      </c>
      <c r="O101" s="102">
        <v>64.3</v>
      </c>
      <c r="P101" s="102">
        <v>72.8</v>
      </c>
      <c r="Q101" s="102">
        <v>74.900000000000006</v>
      </c>
      <c r="R101" s="102">
        <v>74.900000000000006</v>
      </c>
      <c r="S101" s="102">
        <v>71.599999999999994</v>
      </c>
      <c r="T101" s="102">
        <v>72.400000000000006</v>
      </c>
      <c r="U101" s="102">
        <v>63</v>
      </c>
      <c r="V101" s="102">
        <v>68.3</v>
      </c>
      <c r="W101" s="102">
        <v>73.5</v>
      </c>
      <c r="X101" s="102">
        <v>78.3</v>
      </c>
      <c r="Y101" s="102">
        <v>46.1</v>
      </c>
      <c r="Z101" s="102">
        <v>45.6</v>
      </c>
      <c r="AA101" s="102">
        <v>47.9</v>
      </c>
      <c r="AB101" s="102">
        <v>57</v>
      </c>
      <c r="AC101" s="102">
        <v>51</v>
      </c>
      <c r="AD101" s="102">
        <v>49</v>
      </c>
      <c r="AE101" s="102">
        <v>36</v>
      </c>
      <c r="AF101" s="102">
        <v>30.4</v>
      </c>
      <c r="AG101" s="103">
        <v>75</v>
      </c>
      <c r="AH101" s="48">
        <f t="shared" si="10"/>
        <v>78.3</v>
      </c>
      <c r="AI101" s="49">
        <f t="shared" si="11"/>
        <v>29</v>
      </c>
    </row>
    <row r="102" spans="1:37" x14ac:dyDescent="0.25">
      <c r="A102" s="91" t="s">
        <v>106</v>
      </c>
      <c r="B102" s="104">
        <v>51.8</v>
      </c>
      <c r="C102" s="104">
        <v>54.4</v>
      </c>
      <c r="D102" s="104">
        <v>51.8</v>
      </c>
      <c r="E102" s="104">
        <v>48</v>
      </c>
      <c r="F102" s="104">
        <v>63</v>
      </c>
      <c r="G102" s="104">
        <v>62</v>
      </c>
      <c r="H102" s="104">
        <v>60</v>
      </c>
      <c r="I102" s="104">
        <v>61</v>
      </c>
      <c r="J102" s="104">
        <v>70</v>
      </c>
      <c r="K102" s="104">
        <v>84</v>
      </c>
      <c r="L102" s="104">
        <v>82</v>
      </c>
      <c r="M102" s="104">
        <v>86.2</v>
      </c>
      <c r="N102" s="104">
        <v>0</v>
      </c>
      <c r="O102" s="104">
        <v>0</v>
      </c>
      <c r="P102" s="104">
        <v>0</v>
      </c>
      <c r="Q102" s="104">
        <v>0</v>
      </c>
      <c r="R102" s="104">
        <v>0</v>
      </c>
      <c r="S102" s="104">
        <v>0</v>
      </c>
      <c r="T102" s="104">
        <v>0</v>
      </c>
      <c r="U102" s="104">
        <v>0</v>
      </c>
      <c r="V102" s="104">
        <v>0</v>
      </c>
      <c r="W102" s="104">
        <v>0</v>
      </c>
      <c r="X102" s="104">
        <v>0</v>
      </c>
      <c r="Y102" s="104">
        <v>66.3</v>
      </c>
      <c r="Z102" s="104">
        <v>65</v>
      </c>
      <c r="AA102" s="104">
        <v>69.3</v>
      </c>
      <c r="AB102" s="104">
        <v>82</v>
      </c>
      <c r="AC102" s="104">
        <v>80</v>
      </c>
      <c r="AD102" s="104">
        <v>70</v>
      </c>
      <c r="AE102" s="104">
        <v>54</v>
      </c>
      <c r="AF102" s="104">
        <v>50</v>
      </c>
      <c r="AG102" s="103">
        <v>240</v>
      </c>
      <c r="AH102" s="48">
        <f t="shared" si="10"/>
        <v>86.2</v>
      </c>
      <c r="AI102" s="49">
        <f t="shared" si="11"/>
        <v>0</v>
      </c>
    </row>
    <row r="103" spans="1:37" x14ac:dyDescent="0.25">
      <c r="A103" s="91" t="s">
        <v>107</v>
      </c>
      <c r="B103" s="104">
        <f>-68-73</f>
        <v>-141</v>
      </c>
      <c r="C103" s="104">
        <f>-73-76.4</f>
        <v>-149.4</v>
      </c>
      <c r="D103" s="104">
        <f>-71.4-74.9</f>
        <v>-146.30000000000001</v>
      </c>
      <c r="E103" s="104">
        <v>-136</v>
      </c>
      <c r="F103" s="104">
        <v>-135</v>
      </c>
      <c r="G103" s="104">
        <v>-130</v>
      </c>
      <c r="H103" s="104">
        <v>-140</v>
      </c>
      <c r="I103" s="104">
        <v>-134</v>
      </c>
      <c r="J103" s="104">
        <v>-120</v>
      </c>
      <c r="K103" s="104">
        <v>-120</v>
      </c>
      <c r="L103" s="104">
        <v>-112</v>
      </c>
      <c r="M103" s="104">
        <f>-54.1-57.5</f>
        <v>-111.6</v>
      </c>
      <c r="N103" s="104">
        <f>-14.5-16.2</f>
        <v>-30.7</v>
      </c>
      <c r="O103" s="104">
        <f>-18.1-18.9</f>
        <v>-37</v>
      </c>
      <c r="P103" s="104">
        <f>-16.9-18</f>
        <v>-34.9</v>
      </c>
      <c r="Q103" s="104">
        <f>-20-21.7</f>
        <v>-41.7</v>
      </c>
      <c r="R103" s="104">
        <f>-20-21.7</f>
        <v>-41.7</v>
      </c>
      <c r="S103" s="104">
        <f>-22-23</f>
        <v>-45</v>
      </c>
      <c r="T103" s="104">
        <f>-24-26</f>
        <v>-50</v>
      </c>
      <c r="U103" s="104">
        <f>-30.7-32.7</f>
        <v>-63.400000000000006</v>
      </c>
      <c r="V103" s="104">
        <f>-26.2-28.5</f>
        <v>-54.7</v>
      </c>
      <c r="W103" s="104">
        <f>-21-20</f>
        <v>-41</v>
      </c>
      <c r="X103" s="104">
        <f>3.1+3.9</f>
        <v>7</v>
      </c>
      <c r="Y103" s="104">
        <f>-19.5-20.8</f>
        <v>-40.299999999999997</v>
      </c>
      <c r="Z103" s="104">
        <f>-55-59.6</f>
        <v>-114.6</v>
      </c>
      <c r="AA103" s="104">
        <f>-63.3-67.2</f>
        <v>-130.5</v>
      </c>
      <c r="AB103" s="104">
        <v>-128</v>
      </c>
      <c r="AC103" s="104">
        <v>-130</v>
      </c>
      <c r="AD103" s="104">
        <v>-140</v>
      </c>
      <c r="AE103" s="104">
        <v>-135</v>
      </c>
      <c r="AF103" s="104">
        <v>-147</v>
      </c>
      <c r="AG103" s="103">
        <v>240</v>
      </c>
      <c r="AH103" s="48">
        <f t="shared" si="10"/>
        <v>7</v>
      </c>
      <c r="AI103" s="49">
        <f t="shared" si="11"/>
        <v>-149.4</v>
      </c>
    </row>
    <row r="104" spans="1:37" x14ac:dyDescent="0.25">
      <c r="A104" s="91" t="s">
        <v>108</v>
      </c>
      <c r="B104" s="104">
        <v>-6</v>
      </c>
      <c r="C104" s="104">
        <v>-9</v>
      </c>
      <c r="D104" s="104">
        <v>-12.3</v>
      </c>
      <c r="E104" s="104">
        <v>-11</v>
      </c>
      <c r="F104" s="104">
        <v>-9</v>
      </c>
      <c r="G104" s="104">
        <v>-9</v>
      </c>
      <c r="H104" s="104">
        <v>-10</v>
      </c>
      <c r="I104" s="104">
        <v>-4</v>
      </c>
      <c r="J104" s="104">
        <v>-2.4</v>
      </c>
      <c r="K104" s="104">
        <v>-1.7</v>
      </c>
      <c r="L104" s="104">
        <v>0</v>
      </c>
      <c r="M104" s="104">
        <v>0</v>
      </c>
      <c r="N104" s="104">
        <v>9</v>
      </c>
      <c r="O104" s="104">
        <v>9.1</v>
      </c>
      <c r="P104" s="104">
        <v>9.5</v>
      </c>
      <c r="Q104" s="104">
        <v>9.6999999999999993</v>
      </c>
      <c r="R104" s="104">
        <v>9.6999999999999993</v>
      </c>
      <c r="S104" s="104">
        <v>10.6</v>
      </c>
      <c r="T104" s="104">
        <v>14</v>
      </c>
      <c r="U104" s="104">
        <v>10.8</v>
      </c>
      <c r="V104" s="104">
        <v>13.2</v>
      </c>
      <c r="W104" s="104">
        <v>17.399999999999999</v>
      </c>
      <c r="X104" s="104">
        <v>22.5</v>
      </c>
      <c r="Y104" s="104">
        <v>19.7</v>
      </c>
      <c r="Z104" s="104">
        <v>12.7</v>
      </c>
      <c r="AA104" s="104">
        <v>10.199999999999999</v>
      </c>
      <c r="AB104" s="104">
        <v>10</v>
      </c>
      <c r="AC104" s="104">
        <v>8</v>
      </c>
      <c r="AD104" s="104">
        <v>5</v>
      </c>
      <c r="AE104" s="104">
        <v>-1</v>
      </c>
      <c r="AF104" s="104">
        <v>-6</v>
      </c>
      <c r="AG104" s="103">
        <v>60</v>
      </c>
      <c r="AH104" s="48">
        <f t="shared" si="10"/>
        <v>22.5</v>
      </c>
      <c r="AI104" s="49">
        <f t="shared" si="11"/>
        <v>-12.3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46.3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36</v>
      </c>
      <c r="V105" s="106">
        <v>42.1</v>
      </c>
      <c r="W105" s="106">
        <v>42.1</v>
      </c>
      <c r="X105" s="106">
        <v>41.3</v>
      </c>
      <c r="Y105" s="106">
        <v>41.7</v>
      </c>
      <c r="Z105" s="106">
        <v>38.700000000000003</v>
      </c>
      <c r="AA105" s="106">
        <v>38.700000000000003</v>
      </c>
      <c r="AB105" s="106">
        <v>0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10"/>
        <v>46.3</v>
      </c>
      <c r="AI105" s="49">
        <f t="shared" si="11"/>
        <v>0</v>
      </c>
    </row>
    <row r="106" spans="1:37" x14ac:dyDescent="0.25">
      <c r="A106" s="105" t="s">
        <v>110</v>
      </c>
      <c r="B106" s="106">
        <v>-17</v>
      </c>
      <c r="C106" s="106">
        <v>-24</v>
      </c>
      <c r="D106" s="106">
        <v>-19.399999999999999</v>
      </c>
      <c r="E106" s="106">
        <v>-17</v>
      </c>
      <c r="F106" s="106">
        <v>-25</v>
      </c>
      <c r="G106" s="106">
        <v>-24</v>
      </c>
      <c r="H106" s="106">
        <v>-23</v>
      </c>
      <c r="I106" s="106">
        <v>-16</v>
      </c>
      <c r="J106" s="106">
        <v>-11</v>
      </c>
      <c r="K106" s="106">
        <v>-26</v>
      </c>
      <c r="L106" s="106">
        <v>-8</v>
      </c>
      <c r="M106" s="106">
        <v>-10.8</v>
      </c>
      <c r="N106" s="106">
        <v>-32.299999999999997</v>
      </c>
      <c r="O106" s="106">
        <v>25.6</v>
      </c>
      <c r="P106" s="106">
        <v>-17.600000000000001</v>
      </c>
      <c r="Q106" s="106">
        <v>-17.600000000000001</v>
      </c>
      <c r="R106" s="106">
        <v>-17.600000000000001</v>
      </c>
      <c r="S106" s="106">
        <v>15.8</v>
      </c>
      <c r="T106" s="106">
        <v>11.7</v>
      </c>
      <c r="U106" s="106">
        <v>6.8</v>
      </c>
      <c r="V106" s="106">
        <v>3.3</v>
      </c>
      <c r="W106" s="106">
        <v>12.3</v>
      </c>
      <c r="X106" s="106">
        <v>51.6</v>
      </c>
      <c r="Y106" s="106">
        <v>30.9</v>
      </c>
      <c r="Z106" s="106">
        <v>-25.6</v>
      </c>
      <c r="AA106" s="106">
        <v>-35.9</v>
      </c>
      <c r="AB106" s="106">
        <v>43</v>
      </c>
      <c r="AC106" s="106">
        <v>43</v>
      </c>
      <c r="AD106" s="106">
        <v>48</v>
      </c>
      <c r="AE106" s="106">
        <v>36.799999999999997</v>
      </c>
      <c r="AF106" s="106">
        <v>26</v>
      </c>
      <c r="AG106" s="107"/>
      <c r="AH106" s="48">
        <f t="shared" si="10"/>
        <v>51.6</v>
      </c>
      <c r="AI106" s="49">
        <f t="shared" si="11"/>
        <v>-35.9</v>
      </c>
    </row>
    <row r="107" spans="1:37" x14ac:dyDescent="0.25">
      <c r="A107" s="105" t="s">
        <v>111</v>
      </c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>
        <v>-52.7</v>
      </c>
      <c r="P107" s="106"/>
      <c r="Q107" s="106">
        <v>-42.6</v>
      </c>
      <c r="R107" s="106">
        <v>-42.6</v>
      </c>
      <c r="S107" s="106"/>
      <c r="T107" s="106"/>
      <c r="U107" s="106"/>
      <c r="V107" s="106"/>
      <c r="W107" s="106"/>
      <c r="X107" s="106"/>
      <c r="Y107" s="106"/>
      <c r="Z107" s="106"/>
      <c r="AA107" s="106">
        <v>-20</v>
      </c>
      <c r="AB107" s="106">
        <v>38</v>
      </c>
      <c r="AC107" s="106">
        <v>44</v>
      </c>
      <c r="AD107" s="106">
        <v>45</v>
      </c>
      <c r="AE107" s="106">
        <v>49.7</v>
      </c>
      <c r="AF107" s="106">
        <v>55</v>
      </c>
      <c r="AG107" s="108"/>
      <c r="AH107" s="48">
        <f t="shared" si="10"/>
        <v>55</v>
      </c>
      <c r="AI107" s="49">
        <f t="shared" si="11"/>
        <v>-52.7</v>
      </c>
    </row>
    <row r="108" spans="1:37" x14ac:dyDescent="0.25">
      <c r="A108" s="109" t="s">
        <v>112</v>
      </c>
      <c r="B108" s="94">
        <v>92</v>
      </c>
      <c r="C108" s="94">
        <v>94.2</v>
      </c>
      <c r="D108" s="94">
        <v>94.6</v>
      </c>
      <c r="E108" s="94">
        <v>964</v>
      </c>
      <c r="F108" s="94">
        <v>97</v>
      </c>
      <c r="G108" s="94">
        <v>96</v>
      </c>
      <c r="H108" s="94">
        <v>93</v>
      </c>
      <c r="I108" s="94">
        <v>90</v>
      </c>
      <c r="J108" s="94">
        <v>89</v>
      </c>
      <c r="K108" s="94">
        <v>86</v>
      </c>
      <c r="L108" s="94">
        <v>86</v>
      </c>
      <c r="M108" s="94">
        <v>80.8</v>
      </c>
      <c r="N108" s="94">
        <v>71.3</v>
      </c>
      <c r="O108" s="94">
        <v>65.5</v>
      </c>
      <c r="P108" s="94">
        <v>67</v>
      </c>
      <c r="Q108" s="94">
        <v>64.7</v>
      </c>
      <c r="R108" s="94">
        <v>64.7</v>
      </c>
      <c r="S108" s="94">
        <v>70.099999999999994</v>
      </c>
      <c r="T108" s="94">
        <v>71</v>
      </c>
      <c r="U108" s="94">
        <v>67.2</v>
      </c>
      <c r="V108" s="94">
        <v>58.5</v>
      </c>
      <c r="W108" s="94">
        <v>47.5</v>
      </c>
      <c r="X108" s="94">
        <v>44.5</v>
      </c>
      <c r="Y108" s="94">
        <v>51.2</v>
      </c>
      <c r="Z108" s="94">
        <v>55.7</v>
      </c>
      <c r="AA108" s="94">
        <v>57.4</v>
      </c>
      <c r="AB108" s="94">
        <v>65</v>
      </c>
      <c r="AC108" s="94">
        <v>68</v>
      </c>
      <c r="AD108" s="94">
        <v>71</v>
      </c>
      <c r="AE108" s="94">
        <v>82</v>
      </c>
      <c r="AF108" s="94">
        <v>96</v>
      </c>
      <c r="AG108" s="108"/>
      <c r="AH108" s="48">
        <f t="shared" si="10"/>
        <v>964</v>
      </c>
      <c r="AI108" s="49">
        <f t="shared" si="11"/>
        <v>44.5</v>
      </c>
    </row>
    <row r="109" spans="1:37" ht="15.75" thickBot="1" x14ac:dyDescent="0.3">
      <c r="A109" s="109" t="s">
        <v>113</v>
      </c>
      <c r="B109" s="94">
        <v>102</v>
      </c>
      <c r="C109" s="94">
        <v>105</v>
      </c>
      <c r="D109" s="94">
        <v>100.2</v>
      </c>
      <c r="E109" s="94">
        <v>95</v>
      </c>
      <c r="F109" s="94">
        <v>105</v>
      </c>
      <c r="G109" s="94">
        <v>97</v>
      </c>
      <c r="H109" s="94">
        <v>103</v>
      </c>
      <c r="I109" s="94">
        <v>96</v>
      </c>
      <c r="J109" s="94">
        <v>90</v>
      </c>
      <c r="K109" s="94">
        <v>99</v>
      </c>
      <c r="L109" s="94">
        <v>86</v>
      </c>
      <c r="M109" s="94">
        <v>83</v>
      </c>
      <c r="N109" s="94">
        <v>41.3</v>
      </c>
      <c r="O109" s="94">
        <v>46.1</v>
      </c>
      <c r="P109" s="94">
        <v>45.7</v>
      </c>
      <c r="Q109" s="94">
        <v>53.1</v>
      </c>
      <c r="R109" s="94">
        <v>53.1</v>
      </c>
      <c r="S109" s="94">
        <v>55</v>
      </c>
      <c r="T109" s="94">
        <v>60</v>
      </c>
      <c r="U109" s="94">
        <v>64.400000000000006</v>
      </c>
      <c r="V109" s="94">
        <v>57</v>
      </c>
      <c r="W109" s="94">
        <v>50</v>
      </c>
      <c r="X109" s="94">
        <v>19.2</v>
      </c>
      <c r="Y109" s="94">
        <v>36.299999999999997</v>
      </c>
      <c r="Z109" s="94">
        <v>89.8</v>
      </c>
      <c r="AA109" s="94">
        <v>98.1</v>
      </c>
      <c r="AB109" s="94">
        <v>100</v>
      </c>
      <c r="AC109" s="94">
        <v>103</v>
      </c>
      <c r="AD109" s="94">
        <v>107</v>
      </c>
      <c r="AE109" s="94">
        <v>102</v>
      </c>
      <c r="AF109" s="94">
        <v>104</v>
      </c>
      <c r="AG109" s="108"/>
      <c r="AH109" s="48">
        <f t="shared" si="10"/>
        <v>107</v>
      </c>
      <c r="AI109" s="49">
        <f t="shared" si="11"/>
        <v>19.2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23">SUM(B111:B215)</f>
        <v>0</v>
      </c>
      <c r="C216" s="125">
        <f t="shared" si="23"/>
        <v>0</v>
      </c>
      <c r="D216" s="125">
        <f t="shared" si="23"/>
        <v>0</v>
      </c>
      <c r="E216" s="125">
        <f t="shared" si="23"/>
        <v>0</v>
      </c>
      <c r="F216" s="125">
        <f t="shared" si="23"/>
        <v>0</v>
      </c>
      <c r="G216" s="125">
        <f t="shared" si="23"/>
        <v>0</v>
      </c>
      <c r="H216" s="125">
        <f t="shared" si="23"/>
        <v>0</v>
      </c>
      <c r="I216" s="125">
        <f t="shared" si="23"/>
        <v>0</v>
      </c>
      <c r="J216" s="125">
        <f t="shared" si="23"/>
        <v>0</v>
      </c>
      <c r="K216" s="125">
        <f t="shared" si="23"/>
        <v>0</v>
      </c>
      <c r="L216" s="125">
        <f t="shared" si="23"/>
        <v>0</v>
      </c>
      <c r="M216" s="125">
        <f t="shared" si="23"/>
        <v>0</v>
      </c>
      <c r="N216" s="125">
        <f t="shared" si="23"/>
        <v>0</v>
      </c>
      <c r="O216" s="125">
        <f t="shared" si="23"/>
        <v>0</v>
      </c>
      <c r="P216" s="125">
        <f t="shared" si="23"/>
        <v>0</v>
      </c>
      <c r="Q216" s="125">
        <f t="shared" si="23"/>
        <v>0</v>
      </c>
      <c r="R216" s="125">
        <f t="shared" si="23"/>
        <v>0</v>
      </c>
      <c r="S216" s="125">
        <f t="shared" si="23"/>
        <v>0</v>
      </c>
      <c r="T216" s="125">
        <f t="shared" si="23"/>
        <v>0</v>
      </c>
      <c r="U216" s="125">
        <f t="shared" si="23"/>
        <v>0</v>
      </c>
      <c r="V216" s="125">
        <f t="shared" si="23"/>
        <v>0</v>
      </c>
      <c r="W216" s="125">
        <f t="shared" si="23"/>
        <v>0</v>
      </c>
      <c r="X216" s="125">
        <f t="shared" si="23"/>
        <v>0</v>
      </c>
      <c r="Y216" s="125">
        <f t="shared" si="23"/>
        <v>0</v>
      </c>
      <c r="Z216" s="125">
        <f t="shared" si="23"/>
        <v>0</v>
      </c>
      <c r="AA216" s="125">
        <f t="shared" si="23"/>
        <v>0</v>
      </c>
      <c r="AB216" s="125">
        <f t="shared" si="23"/>
        <v>0</v>
      </c>
      <c r="AC216" s="125">
        <f t="shared" si="23"/>
        <v>0</v>
      </c>
      <c r="AD216" s="125">
        <f t="shared" si="23"/>
        <v>0</v>
      </c>
      <c r="AE216" s="125">
        <f t="shared" si="23"/>
        <v>0</v>
      </c>
      <c r="AF216" s="126">
        <f t="shared" si="23"/>
        <v>0</v>
      </c>
      <c r="AG216" s="127">
        <f t="shared" si="23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24">AF218</f>
        <v>0</v>
      </c>
      <c r="C218" s="129">
        <v>0.3</v>
      </c>
      <c r="D218" s="129">
        <f t="shared" ref="D218:P223" si="25">C218</f>
        <v>0.3</v>
      </c>
      <c r="E218" s="129">
        <f t="shared" si="25"/>
        <v>0.3</v>
      </c>
      <c r="F218" s="129">
        <f t="shared" si="25"/>
        <v>0.3</v>
      </c>
      <c r="G218" s="129">
        <f t="shared" si="25"/>
        <v>0.3</v>
      </c>
      <c r="H218" s="129">
        <f t="shared" si="25"/>
        <v>0.3</v>
      </c>
      <c r="I218" s="129">
        <f t="shared" si="25"/>
        <v>0.3</v>
      </c>
      <c r="J218" s="129">
        <f t="shared" si="25"/>
        <v>0.3</v>
      </c>
      <c r="K218" s="129">
        <f t="shared" si="25"/>
        <v>0.3</v>
      </c>
      <c r="L218" s="129">
        <f t="shared" si="25"/>
        <v>0.3</v>
      </c>
      <c r="M218" s="129">
        <f t="shared" si="25"/>
        <v>0.3</v>
      </c>
      <c r="N218" s="129">
        <f t="shared" si="25"/>
        <v>0.3</v>
      </c>
      <c r="O218" s="129">
        <f t="shared" si="25"/>
        <v>0.3</v>
      </c>
      <c r="P218" s="129">
        <f t="shared" si="25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24"/>
        <v>0</v>
      </c>
      <c r="C219" s="117">
        <v>0.4</v>
      </c>
      <c r="D219" s="117">
        <f t="shared" si="25"/>
        <v>0.4</v>
      </c>
      <c r="E219" s="117">
        <f t="shared" si="25"/>
        <v>0.4</v>
      </c>
      <c r="F219" s="117">
        <f t="shared" si="25"/>
        <v>0.4</v>
      </c>
      <c r="G219" s="117">
        <f t="shared" si="25"/>
        <v>0.4</v>
      </c>
      <c r="H219" s="117">
        <f t="shared" si="25"/>
        <v>0.4</v>
      </c>
      <c r="I219" s="117">
        <f t="shared" si="25"/>
        <v>0.4</v>
      </c>
      <c r="J219" s="117">
        <f t="shared" si="25"/>
        <v>0.4</v>
      </c>
      <c r="K219" s="117">
        <f t="shared" si="25"/>
        <v>0.4</v>
      </c>
      <c r="L219" s="117">
        <f t="shared" si="25"/>
        <v>0.4</v>
      </c>
      <c r="M219" s="117">
        <f t="shared" si="25"/>
        <v>0.4</v>
      </c>
      <c r="N219" s="117">
        <f t="shared" si="25"/>
        <v>0.4</v>
      </c>
      <c r="O219" s="117">
        <f t="shared" si="25"/>
        <v>0.4</v>
      </c>
      <c r="P219" s="117">
        <f t="shared" si="25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24"/>
        <v>0</v>
      </c>
      <c r="C220" s="117">
        <v>1.5</v>
      </c>
      <c r="D220" s="117">
        <f t="shared" si="25"/>
        <v>1.5</v>
      </c>
      <c r="E220" s="117">
        <f t="shared" si="25"/>
        <v>1.5</v>
      </c>
      <c r="F220" s="117">
        <f t="shared" si="25"/>
        <v>1.5</v>
      </c>
      <c r="G220" s="117">
        <f t="shared" si="25"/>
        <v>1.5</v>
      </c>
      <c r="H220" s="117">
        <f t="shared" si="25"/>
        <v>1.5</v>
      </c>
      <c r="I220" s="117">
        <f t="shared" si="25"/>
        <v>1.5</v>
      </c>
      <c r="J220" s="117">
        <f t="shared" si="25"/>
        <v>1.5</v>
      </c>
      <c r="K220" s="117">
        <f t="shared" si="25"/>
        <v>1.5</v>
      </c>
      <c r="L220" s="117">
        <f t="shared" si="25"/>
        <v>1.5</v>
      </c>
      <c r="M220" s="117">
        <f t="shared" si="25"/>
        <v>1.5</v>
      </c>
      <c r="N220" s="117">
        <f t="shared" si="25"/>
        <v>1.5</v>
      </c>
      <c r="O220" s="117">
        <f t="shared" si="25"/>
        <v>1.5</v>
      </c>
      <c r="P220" s="117">
        <f t="shared" si="25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24"/>
        <v>0</v>
      </c>
      <c r="C221" s="117">
        <v>0.3</v>
      </c>
      <c r="D221" s="117">
        <f t="shared" si="25"/>
        <v>0.3</v>
      </c>
      <c r="E221" s="117">
        <f t="shared" si="25"/>
        <v>0.3</v>
      </c>
      <c r="F221" s="117">
        <f t="shared" si="25"/>
        <v>0.3</v>
      </c>
      <c r="G221" s="117">
        <f t="shared" si="25"/>
        <v>0.3</v>
      </c>
      <c r="H221" s="117">
        <f t="shared" si="25"/>
        <v>0.3</v>
      </c>
      <c r="I221" s="117">
        <f t="shared" si="25"/>
        <v>0.3</v>
      </c>
      <c r="J221" s="117">
        <f t="shared" si="25"/>
        <v>0.3</v>
      </c>
      <c r="K221" s="117">
        <f t="shared" si="25"/>
        <v>0.3</v>
      </c>
      <c r="L221" s="117">
        <f t="shared" si="25"/>
        <v>0.3</v>
      </c>
      <c r="M221" s="117">
        <f t="shared" si="25"/>
        <v>0.3</v>
      </c>
      <c r="N221" s="117">
        <f t="shared" si="25"/>
        <v>0.3</v>
      </c>
      <c r="O221" s="117">
        <f t="shared" si="25"/>
        <v>0.3</v>
      </c>
      <c r="P221" s="117">
        <f t="shared" si="25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24"/>
        <v>0</v>
      </c>
      <c r="C222" s="117">
        <v>0.4</v>
      </c>
      <c r="D222" s="117">
        <f t="shared" si="25"/>
        <v>0.4</v>
      </c>
      <c r="E222" s="117">
        <f t="shared" si="25"/>
        <v>0.4</v>
      </c>
      <c r="F222" s="117">
        <f t="shared" si="25"/>
        <v>0.4</v>
      </c>
      <c r="G222" s="117">
        <f t="shared" si="25"/>
        <v>0.4</v>
      </c>
      <c r="H222" s="117">
        <f t="shared" si="25"/>
        <v>0.4</v>
      </c>
      <c r="I222" s="117">
        <f t="shared" si="25"/>
        <v>0.4</v>
      </c>
      <c r="J222" s="117">
        <f t="shared" si="25"/>
        <v>0.4</v>
      </c>
      <c r="K222" s="117">
        <f t="shared" si="25"/>
        <v>0.4</v>
      </c>
      <c r="L222" s="117">
        <f t="shared" si="25"/>
        <v>0.4</v>
      </c>
      <c r="M222" s="117">
        <f t="shared" si="25"/>
        <v>0.4</v>
      </c>
      <c r="N222" s="117">
        <f t="shared" si="25"/>
        <v>0.4</v>
      </c>
      <c r="O222" s="117">
        <f t="shared" si="25"/>
        <v>0.4</v>
      </c>
      <c r="P222" s="117">
        <f t="shared" si="25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24"/>
        <v>0</v>
      </c>
      <c r="C223" s="121">
        <v>0.64</v>
      </c>
      <c r="D223" s="121">
        <f t="shared" si="25"/>
        <v>0.64</v>
      </c>
      <c r="E223" s="121">
        <f t="shared" si="25"/>
        <v>0.64</v>
      </c>
      <c r="F223" s="121">
        <f t="shared" si="25"/>
        <v>0.64</v>
      </c>
      <c r="G223" s="121">
        <f t="shared" si="25"/>
        <v>0.64</v>
      </c>
      <c r="H223" s="121">
        <f t="shared" si="25"/>
        <v>0.64</v>
      </c>
      <c r="I223" s="121">
        <f t="shared" si="25"/>
        <v>0.64</v>
      </c>
      <c r="J223" s="121">
        <f t="shared" si="25"/>
        <v>0.64</v>
      </c>
      <c r="K223" s="121">
        <f t="shared" si="25"/>
        <v>0.64</v>
      </c>
      <c r="L223" s="121">
        <f t="shared" si="25"/>
        <v>0.64</v>
      </c>
      <c r="M223" s="121">
        <f t="shared" si="25"/>
        <v>0.64</v>
      </c>
      <c r="N223" s="121">
        <f t="shared" si="25"/>
        <v>0.64</v>
      </c>
      <c r="O223" s="121">
        <f t="shared" si="25"/>
        <v>0.64</v>
      </c>
      <c r="P223" s="121">
        <f t="shared" si="25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6">SUM(B218:B223)</f>
        <v>0</v>
      </c>
      <c r="C224" s="125">
        <f t="shared" si="26"/>
        <v>3.54</v>
      </c>
      <c r="D224" s="125">
        <f t="shared" si="26"/>
        <v>3.54</v>
      </c>
      <c r="E224" s="125">
        <f t="shared" si="26"/>
        <v>3.54</v>
      </c>
      <c r="F224" s="125">
        <f t="shared" si="26"/>
        <v>3.54</v>
      </c>
      <c r="G224" s="125">
        <f t="shared" si="26"/>
        <v>3.54</v>
      </c>
      <c r="H224" s="125">
        <f t="shared" si="26"/>
        <v>3.54</v>
      </c>
      <c r="I224" s="125">
        <f t="shared" si="26"/>
        <v>3.54</v>
      </c>
      <c r="J224" s="125">
        <f t="shared" si="26"/>
        <v>3.54</v>
      </c>
      <c r="K224" s="125">
        <f t="shared" si="26"/>
        <v>3.54</v>
      </c>
      <c r="L224" s="125">
        <f t="shared" si="26"/>
        <v>3.54</v>
      </c>
      <c r="M224" s="125">
        <f t="shared" si="26"/>
        <v>3.54</v>
      </c>
      <c r="N224" s="125">
        <f t="shared" si="26"/>
        <v>3.54</v>
      </c>
      <c r="O224" s="125">
        <f t="shared" si="26"/>
        <v>3.54</v>
      </c>
      <c r="P224" s="125">
        <f t="shared" si="26"/>
        <v>3.54</v>
      </c>
      <c r="Q224" s="125">
        <f t="shared" si="26"/>
        <v>0</v>
      </c>
      <c r="R224" s="125">
        <f t="shared" si="26"/>
        <v>0</v>
      </c>
      <c r="S224" s="125">
        <f t="shared" si="26"/>
        <v>0</v>
      </c>
      <c r="T224" s="125">
        <f t="shared" si="26"/>
        <v>0</v>
      </c>
      <c r="U224" s="125">
        <f t="shared" si="26"/>
        <v>0</v>
      </c>
      <c r="V224" s="125">
        <f t="shared" si="26"/>
        <v>0</v>
      </c>
      <c r="W224" s="125">
        <f t="shared" si="26"/>
        <v>0</v>
      </c>
      <c r="X224" s="125">
        <f t="shared" si="26"/>
        <v>0</v>
      </c>
      <c r="Y224" s="125">
        <f t="shared" si="26"/>
        <v>0</v>
      </c>
      <c r="Z224" s="125">
        <f t="shared" si="26"/>
        <v>0</v>
      </c>
      <c r="AA224" s="125">
        <f t="shared" si="26"/>
        <v>0</v>
      </c>
      <c r="AB224" s="125">
        <f t="shared" si="26"/>
        <v>0</v>
      </c>
      <c r="AC224" s="125">
        <f t="shared" si="26"/>
        <v>0</v>
      </c>
      <c r="AD224" s="125">
        <f t="shared" si="26"/>
        <v>0</v>
      </c>
      <c r="AE224" s="125">
        <f t="shared" si="26"/>
        <v>0</v>
      </c>
      <c r="AF224" s="125">
        <f t="shared" si="26"/>
        <v>0</v>
      </c>
      <c r="AG224" s="134">
        <f t="shared" si="26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1604.7399999999998</v>
      </c>
      <c r="C233" s="150">
        <f>INDEX(G9:N9,1,MATCH(MAX(G81:N81),G81:N81,0))</f>
        <v>0.29166666666666669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19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2079/06/19)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2079/06/19)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27">B81</f>
        <v>1367.7399999999998</v>
      </c>
      <c r="U238" s="159">
        <f t="shared" si="27"/>
        <v>1375.6399999999999</v>
      </c>
      <c r="V238" s="159">
        <f t="shared" si="27"/>
        <v>1365.6399999999999</v>
      </c>
      <c r="W238" s="159">
        <f t="shared" si="27"/>
        <v>1333.54</v>
      </c>
      <c r="X238" s="159">
        <f t="shared" si="27"/>
        <v>1349.1399999999999</v>
      </c>
      <c r="Y238" s="159">
        <f t="shared" si="27"/>
        <v>1383.44</v>
      </c>
      <c r="Z238" s="159">
        <f t="shared" si="27"/>
        <v>1426.74</v>
      </c>
      <c r="AA238" s="159">
        <f t="shared" si="27"/>
        <v>1468.94</v>
      </c>
      <c r="AB238" s="159">
        <f t="shared" si="27"/>
        <v>1498.04</v>
      </c>
      <c r="AC238" s="159">
        <f t="shared" si="27"/>
        <v>1604.7399999999998</v>
      </c>
      <c r="AD238" s="159">
        <f t="shared" si="27"/>
        <v>1594.2399999999998</v>
      </c>
      <c r="AE238" s="159">
        <f t="shared" si="27"/>
        <v>1594.2399999999998</v>
      </c>
      <c r="AF238" s="159">
        <f t="shared" si="27"/>
        <v>1430.64</v>
      </c>
      <c r="AG238" s="159">
        <f t="shared" si="27"/>
        <v>1430.4399999999998</v>
      </c>
      <c r="AH238" s="159">
        <f t="shared" si="27"/>
        <v>1436.8399999999997</v>
      </c>
      <c r="AI238" s="159">
        <f t="shared" si="27"/>
        <v>1340.9399999999998</v>
      </c>
      <c r="AJ238" s="159">
        <f t="shared" si="27"/>
        <v>1340.9399999999998</v>
      </c>
      <c r="AK238" s="159">
        <f t="shared" si="27"/>
        <v>1246.8400000000001</v>
      </c>
      <c r="AL238" s="159">
        <f t="shared" si="27"/>
        <v>1202.4399999999998</v>
      </c>
      <c r="AM238" s="159">
        <f t="shared" si="27"/>
        <v>1399.54</v>
      </c>
      <c r="AN238" s="159">
        <f t="shared" si="27"/>
        <v>1410.0400000000002</v>
      </c>
      <c r="AO238" s="159">
        <f t="shared" si="27"/>
        <v>1518.44</v>
      </c>
      <c r="AP238" s="159">
        <f t="shared" si="27"/>
        <v>1595.1399999999999</v>
      </c>
      <c r="AQ238" s="159">
        <f t="shared" si="27"/>
        <v>1542.1399999999999</v>
      </c>
      <c r="AR238" s="159">
        <f t="shared" si="27"/>
        <v>1416.84</v>
      </c>
      <c r="AS238" s="159">
        <f t="shared" si="27"/>
        <v>1407.94</v>
      </c>
      <c r="AT238" s="159">
        <f t="shared" si="27"/>
        <v>1448.74</v>
      </c>
      <c r="AU238" s="159">
        <f t="shared" si="27"/>
        <v>1427.6399999999999</v>
      </c>
      <c r="AV238" s="159">
        <f t="shared" si="27"/>
        <v>1409.74</v>
      </c>
      <c r="AW238" s="159">
        <f t="shared" si="27"/>
        <v>1291.1399999999999</v>
      </c>
      <c r="AX238" s="159">
        <f t="shared" si="27"/>
        <v>1261.44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28">C223</f>
        <v>0.64</v>
      </c>
      <c r="C259" s="162">
        <f t="shared" si="28"/>
        <v>0.64</v>
      </c>
      <c r="D259" s="162">
        <f t="shared" si="28"/>
        <v>0.64</v>
      </c>
      <c r="E259" s="162">
        <f t="shared" si="28"/>
        <v>0.64</v>
      </c>
      <c r="F259" s="162">
        <f t="shared" si="28"/>
        <v>0.64</v>
      </c>
      <c r="G259" s="162">
        <f t="shared" si="28"/>
        <v>0.64</v>
      </c>
      <c r="H259" s="162">
        <f t="shared" si="28"/>
        <v>0.64</v>
      </c>
      <c r="I259" s="162">
        <f t="shared" si="28"/>
        <v>0.64</v>
      </c>
      <c r="J259" s="162">
        <f t="shared" si="28"/>
        <v>0.64</v>
      </c>
      <c r="K259" s="162">
        <f t="shared" si="28"/>
        <v>0.64</v>
      </c>
      <c r="L259" s="162">
        <f t="shared" si="28"/>
        <v>0.64</v>
      </c>
      <c r="M259" s="162">
        <f t="shared" si="28"/>
        <v>0.64</v>
      </c>
      <c r="N259" s="162">
        <f t="shared" si="28"/>
        <v>0.64</v>
      </c>
      <c r="O259" s="162">
        <f t="shared" si="28"/>
        <v>0.64</v>
      </c>
      <c r="P259" s="162">
        <f t="shared" si="28"/>
        <v>0</v>
      </c>
      <c r="Q259" s="162">
        <f t="shared" si="28"/>
        <v>0</v>
      </c>
      <c r="R259" s="162">
        <f t="shared" si="28"/>
        <v>0</v>
      </c>
      <c r="S259" s="162">
        <f t="shared" si="28"/>
        <v>0</v>
      </c>
      <c r="T259" s="162">
        <f t="shared" si="28"/>
        <v>0</v>
      </c>
      <c r="U259" s="162">
        <f t="shared" si="28"/>
        <v>0</v>
      </c>
      <c r="V259" s="162">
        <f t="shared" si="28"/>
        <v>0</v>
      </c>
      <c r="W259" s="162">
        <f t="shared" si="28"/>
        <v>0</v>
      </c>
      <c r="X259" s="162">
        <f t="shared" si="28"/>
        <v>0</v>
      </c>
      <c r="Y259" s="162">
        <f t="shared" si="28"/>
        <v>0</v>
      </c>
      <c r="Z259" s="162">
        <f t="shared" si="28"/>
        <v>0</v>
      </c>
      <c r="AA259" s="162">
        <f t="shared" si="28"/>
        <v>0</v>
      </c>
      <c r="AB259" s="162">
        <f t="shared" si="28"/>
        <v>0</v>
      </c>
      <c r="AC259" s="162">
        <f t="shared" si="28"/>
        <v>0</v>
      </c>
      <c r="AD259" s="162">
        <f t="shared" si="28"/>
        <v>0</v>
      </c>
      <c r="AE259" s="162">
        <f t="shared" si="28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29">IF(B227&lt;100,"",B227-520)</f>
        <v/>
      </c>
      <c r="C260" s="163" t="str">
        <f t="shared" si="29"/>
        <v/>
      </c>
      <c r="D260" s="163" t="str">
        <f t="shared" si="29"/>
        <v/>
      </c>
      <c r="E260" s="163" t="str">
        <f t="shared" si="29"/>
        <v/>
      </c>
      <c r="F260" s="163" t="str">
        <f t="shared" si="29"/>
        <v/>
      </c>
      <c r="G260" s="163" t="str">
        <f t="shared" si="29"/>
        <v/>
      </c>
      <c r="H260" s="163" t="str">
        <f t="shared" si="29"/>
        <v/>
      </c>
      <c r="I260" s="163" t="str">
        <f t="shared" si="29"/>
        <v/>
      </c>
      <c r="J260" s="163" t="str">
        <f t="shared" si="29"/>
        <v/>
      </c>
      <c r="K260" s="163" t="str">
        <f t="shared" si="29"/>
        <v/>
      </c>
      <c r="L260" s="163" t="str">
        <f t="shared" si="29"/>
        <v/>
      </c>
      <c r="M260" s="163" t="str">
        <f t="shared" si="29"/>
        <v/>
      </c>
      <c r="N260" s="163" t="str">
        <f t="shared" si="29"/>
        <v/>
      </c>
      <c r="O260" s="163" t="str">
        <f t="shared" si="29"/>
        <v/>
      </c>
      <c r="P260" s="163" t="str">
        <f t="shared" si="29"/>
        <v/>
      </c>
      <c r="Q260" s="163" t="str">
        <f t="shared" si="29"/>
        <v/>
      </c>
      <c r="R260" s="163" t="str">
        <f t="shared" si="29"/>
        <v/>
      </c>
      <c r="S260" s="163" t="str">
        <f t="shared" si="29"/>
        <v/>
      </c>
      <c r="T260" s="163" t="str">
        <f t="shared" si="29"/>
        <v/>
      </c>
      <c r="U260" s="163" t="str">
        <f t="shared" si="29"/>
        <v/>
      </c>
      <c r="V260" s="163" t="str">
        <f t="shared" si="29"/>
        <v/>
      </c>
      <c r="W260" s="163" t="str">
        <f t="shared" si="29"/>
        <v/>
      </c>
      <c r="X260" s="163" t="str">
        <f t="shared" si="29"/>
        <v/>
      </c>
      <c r="Y260" s="163" t="str">
        <f t="shared" si="29"/>
        <v/>
      </c>
      <c r="Z260" s="163" t="str">
        <f t="shared" si="29"/>
        <v/>
      </c>
      <c r="AA260" s="163" t="str">
        <f t="shared" si="29"/>
        <v/>
      </c>
      <c r="AB260" s="163" t="str">
        <f t="shared" si="29"/>
        <v/>
      </c>
      <c r="AC260" s="163" t="str">
        <f t="shared" si="29"/>
        <v/>
      </c>
      <c r="AD260" s="163" t="str">
        <f t="shared" si="29"/>
        <v/>
      </c>
      <c r="AE260" s="163" t="str">
        <f t="shared" si="29"/>
        <v/>
      </c>
      <c r="AF260" s="163" t="str">
        <f t="shared" si="29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30">IF(B228&lt;100,"",B228-620)</f>
        <v/>
      </c>
      <c r="C261" s="163" t="str">
        <f t="shared" si="30"/>
        <v/>
      </c>
      <c r="D261" s="163" t="str">
        <f t="shared" si="30"/>
        <v/>
      </c>
      <c r="E261" s="163" t="str">
        <f t="shared" si="30"/>
        <v/>
      </c>
      <c r="F261" s="163" t="str">
        <f t="shared" si="30"/>
        <v/>
      </c>
      <c r="G261" s="163" t="str">
        <f t="shared" si="30"/>
        <v/>
      </c>
      <c r="H261" s="163" t="str">
        <f t="shared" si="30"/>
        <v/>
      </c>
      <c r="I261" s="163" t="str">
        <f t="shared" si="30"/>
        <v/>
      </c>
      <c r="J261" s="163" t="str">
        <f t="shared" si="30"/>
        <v/>
      </c>
      <c r="K261" s="163" t="str">
        <f t="shared" si="30"/>
        <v/>
      </c>
      <c r="L261" s="163" t="str">
        <f t="shared" si="30"/>
        <v/>
      </c>
      <c r="M261" s="163" t="str">
        <f t="shared" si="30"/>
        <v/>
      </c>
      <c r="N261" s="163" t="str">
        <f t="shared" si="30"/>
        <v/>
      </c>
      <c r="O261" s="163" t="str">
        <f t="shared" si="30"/>
        <v/>
      </c>
      <c r="P261" s="163" t="str">
        <f t="shared" si="30"/>
        <v/>
      </c>
      <c r="Q261" s="163" t="str">
        <f t="shared" si="30"/>
        <v/>
      </c>
      <c r="R261" s="163" t="str">
        <f t="shared" si="30"/>
        <v/>
      </c>
      <c r="S261" s="163" t="str">
        <f t="shared" si="30"/>
        <v/>
      </c>
      <c r="T261" s="163" t="str">
        <f t="shared" si="30"/>
        <v/>
      </c>
      <c r="U261" s="163" t="str">
        <f t="shared" si="30"/>
        <v/>
      </c>
      <c r="V261" s="163" t="str">
        <f t="shared" si="30"/>
        <v/>
      </c>
      <c r="W261" s="163" t="str">
        <f t="shared" si="30"/>
        <v/>
      </c>
      <c r="X261" s="163" t="str">
        <f t="shared" si="30"/>
        <v/>
      </c>
      <c r="Y261" s="163" t="str">
        <f t="shared" si="30"/>
        <v/>
      </c>
      <c r="Z261" s="163" t="str">
        <f t="shared" si="30"/>
        <v/>
      </c>
      <c r="AA261" s="163" t="str">
        <f t="shared" si="30"/>
        <v/>
      </c>
      <c r="AB261" s="163" t="str">
        <f t="shared" si="30"/>
        <v/>
      </c>
      <c r="AC261" s="163" t="str">
        <f t="shared" si="30"/>
        <v/>
      </c>
      <c r="AD261" s="163" t="str">
        <f t="shared" si="30"/>
        <v/>
      </c>
      <c r="AE261" s="163" t="str">
        <f t="shared" si="30"/>
        <v/>
      </c>
      <c r="AF261" s="163" t="str">
        <f t="shared" si="30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1">IF(B229&lt;100,"",B229-330)</f>
        <v/>
      </c>
      <c r="C262" s="163" t="str">
        <f t="shared" si="31"/>
        <v/>
      </c>
      <c r="D262" s="163" t="str">
        <f t="shared" si="31"/>
        <v/>
      </c>
      <c r="E262" s="163" t="str">
        <f t="shared" si="31"/>
        <v/>
      </c>
      <c r="F262" s="163" t="str">
        <f t="shared" si="31"/>
        <v/>
      </c>
      <c r="G262" s="163" t="str">
        <f t="shared" si="31"/>
        <v/>
      </c>
      <c r="H262" s="163" t="str">
        <f t="shared" si="31"/>
        <v/>
      </c>
      <c r="I262" s="163" t="str">
        <f t="shared" si="31"/>
        <v/>
      </c>
      <c r="J262" s="163" t="str">
        <f t="shared" si="31"/>
        <v/>
      </c>
      <c r="K262" s="163" t="str">
        <f t="shared" si="31"/>
        <v/>
      </c>
      <c r="L262" s="163" t="str">
        <f t="shared" si="31"/>
        <v/>
      </c>
      <c r="M262" s="163" t="str">
        <f t="shared" si="31"/>
        <v/>
      </c>
      <c r="N262" s="163" t="str">
        <f t="shared" si="31"/>
        <v/>
      </c>
      <c r="O262" s="163" t="str">
        <f t="shared" si="31"/>
        <v/>
      </c>
      <c r="P262" s="163" t="str">
        <f t="shared" si="31"/>
        <v/>
      </c>
      <c r="Q262" s="163" t="str">
        <f t="shared" si="31"/>
        <v/>
      </c>
      <c r="R262" s="163" t="str">
        <f t="shared" si="31"/>
        <v/>
      </c>
      <c r="S262" s="163" t="str">
        <f t="shared" si="31"/>
        <v/>
      </c>
      <c r="T262" s="163" t="str">
        <f t="shared" si="31"/>
        <v/>
      </c>
      <c r="U262" s="163" t="str">
        <f t="shared" si="31"/>
        <v/>
      </c>
      <c r="V262" s="163" t="str">
        <f t="shared" si="31"/>
        <v/>
      </c>
      <c r="W262" s="163" t="str">
        <f t="shared" si="31"/>
        <v/>
      </c>
      <c r="X262" s="163" t="str">
        <f t="shared" si="31"/>
        <v/>
      </c>
      <c r="Y262" s="163" t="str">
        <f t="shared" si="31"/>
        <v/>
      </c>
      <c r="Z262" s="163" t="str">
        <f t="shared" si="31"/>
        <v/>
      </c>
      <c r="AA262" s="163" t="str">
        <f t="shared" si="31"/>
        <v/>
      </c>
      <c r="AB262" s="163" t="str">
        <f t="shared" si="31"/>
        <v/>
      </c>
      <c r="AC262" s="163" t="str">
        <f t="shared" si="31"/>
        <v/>
      </c>
      <c r="AD262" s="163" t="str">
        <f t="shared" si="31"/>
        <v/>
      </c>
      <c r="AE262" s="163" t="str">
        <f t="shared" si="31"/>
        <v/>
      </c>
      <c r="AF262" s="163" t="str">
        <f t="shared" si="31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2">IF(B230&lt;100,"",B230-1500)</f>
        <v/>
      </c>
      <c r="C263" s="163" t="str">
        <f t="shared" si="32"/>
        <v/>
      </c>
      <c r="D263" s="163" t="str">
        <f t="shared" si="32"/>
        <v/>
      </c>
      <c r="E263" s="163" t="str">
        <f t="shared" si="32"/>
        <v/>
      </c>
      <c r="F263" s="163" t="str">
        <f t="shared" si="32"/>
        <v/>
      </c>
      <c r="G263" s="163" t="str">
        <f t="shared" si="32"/>
        <v/>
      </c>
      <c r="H263" s="163" t="str">
        <f t="shared" si="32"/>
        <v/>
      </c>
      <c r="I263" s="163" t="str">
        <f t="shared" si="32"/>
        <v/>
      </c>
      <c r="J263" s="163" t="str">
        <f t="shared" si="32"/>
        <v/>
      </c>
      <c r="K263" s="163" t="str">
        <f t="shared" si="32"/>
        <v/>
      </c>
      <c r="L263" s="163" t="str">
        <f t="shared" si="32"/>
        <v/>
      </c>
      <c r="M263" s="163" t="str">
        <f t="shared" si="32"/>
        <v/>
      </c>
      <c r="N263" s="163" t="str">
        <f t="shared" si="32"/>
        <v/>
      </c>
      <c r="O263" s="163" t="str">
        <f t="shared" si="32"/>
        <v/>
      </c>
      <c r="P263" s="163" t="str">
        <f t="shared" si="32"/>
        <v/>
      </c>
      <c r="Q263" s="163" t="str">
        <f t="shared" si="32"/>
        <v/>
      </c>
      <c r="R263" s="163" t="str">
        <f t="shared" si="32"/>
        <v/>
      </c>
      <c r="S263" s="163" t="str">
        <f t="shared" si="32"/>
        <v/>
      </c>
      <c r="T263" s="163" t="str">
        <f t="shared" si="32"/>
        <v/>
      </c>
      <c r="U263" s="163" t="str">
        <f t="shared" si="32"/>
        <v/>
      </c>
      <c r="V263" s="163" t="str">
        <f t="shared" si="32"/>
        <v/>
      </c>
      <c r="W263" s="163" t="str">
        <f t="shared" si="32"/>
        <v/>
      </c>
      <c r="X263" s="163" t="str">
        <f t="shared" si="32"/>
        <v/>
      </c>
      <c r="Y263" s="163" t="str">
        <f t="shared" si="32"/>
        <v/>
      </c>
      <c r="Z263" s="163" t="str">
        <f t="shared" si="32"/>
        <v/>
      </c>
      <c r="AA263" s="163" t="str">
        <f t="shared" si="32"/>
        <v/>
      </c>
      <c r="AB263" s="163" t="str">
        <f t="shared" si="32"/>
        <v/>
      </c>
      <c r="AC263" s="163" t="str">
        <f t="shared" si="32"/>
        <v/>
      </c>
      <c r="AD263" s="163" t="str">
        <f t="shared" si="32"/>
        <v/>
      </c>
      <c r="AE263" s="163" t="str">
        <f t="shared" si="32"/>
        <v/>
      </c>
      <c r="AF263" s="163" t="str">
        <f t="shared" si="32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1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9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B20:R23 B16:R16 C101:AF101 C103:AF108 Y11:AF11 Y16:AF16 Y20:AF23">
    <cfRule type="expression" dxfId="5556" priority="305">
      <formula>B$9&gt;=20/24</formula>
    </cfRule>
    <cfRule type="expression" dxfId="5555" priority="306">
      <formula>AND(B$9&gt;=14/24,B$9&lt;20/24)</formula>
    </cfRule>
    <cfRule type="expression" dxfId="5554" priority="307">
      <formula>AND(B$9&gt;=8/24,B$9&lt;14/24)</formula>
    </cfRule>
    <cfRule type="expression" dxfId="5553" priority="308">
      <formula>B$9&lt;8/24</formula>
    </cfRule>
  </conditionalFormatting>
  <conditionalFormatting sqref="AL4:AL6">
    <cfRule type="iconSet" priority="304">
      <iconSet iconSet="3TrafficLights2" reverse="1">
        <cfvo type="percent" val="0"/>
        <cfvo type="num" val="1"/>
        <cfvo type="num" val="1"/>
      </iconSet>
    </cfRule>
  </conditionalFormatting>
  <conditionalFormatting sqref="V39:AF39">
    <cfRule type="expression" dxfId="5552" priority="300">
      <formula>V$9&gt;=20/24</formula>
    </cfRule>
    <cfRule type="expression" dxfId="5551" priority="301">
      <formula>AND(V$9&gt;=14/24,V$9&lt;20/24)</formula>
    </cfRule>
    <cfRule type="expression" dxfId="5550" priority="302">
      <formula>AND(V$9&gt;=8/24,V$9&lt;14/24)</formula>
    </cfRule>
    <cfRule type="expression" dxfId="5549" priority="303">
      <formula>V$9&lt;8/24</formula>
    </cfRule>
  </conditionalFormatting>
  <conditionalFormatting sqref="AG57 B12:R16 B37:R37 B18:R18 B20:R23 Y18:AF18 Y11:AF16 V39:AF39 Y37:AF37 Y20:AF23">
    <cfRule type="expression" dxfId="5548" priority="299">
      <formula>B11&gt;$AG11</formula>
    </cfRule>
  </conditionalFormatting>
  <conditionalFormatting sqref="A91:A101 A11:A14 A51:A78 A87:A89 A194:A224 A38:A49 A110:A181 A34:A35 A83:A85 A80:A81 A103:A105 A31:A32 A18:A29 A16">
    <cfRule type="expression" dxfId="5547" priority="298">
      <formula>$AH11=0</formula>
    </cfRule>
  </conditionalFormatting>
  <conditionalFormatting sqref="A106">
    <cfRule type="expression" dxfId="5546" priority="297">
      <formula>$AH106=0</formula>
    </cfRule>
  </conditionalFormatting>
  <conditionalFormatting sqref="AL35">
    <cfRule type="iconSet" priority="296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5545" priority="295">
      <formula>$AH37=0</formula>
    </cfRule>
  </conditionalFormatting>
  <conditionalFormatting sqref="A90">
    <cfRule type="expression" dxfId="5544" priority="294">
      <formula>$AH90=0</formula>
    </cfRule>
  </conditionalFormatting>
  <conditionalFormatting sqref="A15">
    <cfRule type="expression" dxfId="5543" priority="293">
      <formula>$AH15=0</formula>
    </cfRule>
  </conditionalFormatting>
  <conditionalFormatting sqref="A188:A193">
    <cfRule type="expression" dxfId="5542" priority="292">
      <formula>$AH188=0</formula>
    </cfRule>
  </conditionalFormatting>
  <conditionalFormatting sqref="A182:A187">
    <cfRule type="expression" dxfId="5541" priority="291">
      <formula>$AH182=0</formula>
    </cfRule>
  </conditionalFormatting>
  <conditionalFormatting sqref="A50">
    <cfRule type="expression" dxfId="5540" priority="290">
      <formula>$AH50=0</formula>
    </cfRule>
  </conditionalFormatting>
  <conditionalFormatting sqref="A86">
    <cfRule type="expression" dxfId="5539" priority="289">
      <formula>$AH86=0</formula>
    </cfRule>
  </conditionalFormatting>
  <conditionalFormatting sqref="C91:AF91">
    <cfRule type="expression" dxfId="5538" priority="285">
      <formula>C$9&gt;=20/24</formula>
    </cfRule>
    <cfRule type="expression" dxfId="5537" priority="286">
      <formula>AND(C$9&gt;=14/24,C$9&lt;20/24)</formula>
    </cfRule>
    <cfRule type="expression" dxfId="5536" priority="287">
      <formula>AND(C$9&gt;=8/24,C$9&lt;14/24)</formula>
    </cfRule>
    <cfRule type="expression" dxfId="5535" priority="288">
      <formula>C$9&lt;8/24</formula>
    </cfRule>
  </conditionalFormatting>
  <conditionalFormatting sqref="AL36">
    <cfRule type="iconSet" priority="28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534" priority="311">
      <formula>C$9&gt;=20/24</formula>
    </cfRule>
    <cfRule type="expression" dxfId="5533" priority="312">
      <formula>AND(C$9&gt;=14/24,C$9&lt;20/24)</formula>
    </cfRule>
    <cfRule type="expression" dxfId="5532" priority="313">
      <formula>AND(C$9&gt;=8/24,C$9&lt;14/24)</formula>
    </cfRule>
    <cfRule type="expression" dxfId="5531" priority="314">
      <formula>C$9&lt;8/24</formula>
    </cfRule>
  </conditionalFormatting>
  <conditionalFormatting sqref="A225">
    <cfRule type="expression" dxfId="5530" priority="315">
      <formula>$AH225=0</formula>
    </cfRule>
  </conditionalFormatting>
  <conditionalFormatting sqref="AG237">
    <cfRule type="expression" dxfId="5529" priority="316">
      <formula>B$9&gt;=20/24</formula>
    </cfRule>
    <cfRule type="expression" dxfId="5528" priority="317">
      <formula>AND(B$9&gt;=14/24,B$9&lt;20/24)</formula>
    </cfRule>
    <cfRule type="expression" dxfId="5527" priority="318">
      <formula>AND(B$9&gt;=8/24,B$9&lt;14/24)</formula>
    </cfRule>
    <cfRule type="expression" dxfId="5526" priority="319">
      <formula>B$9&lt;8/24</formula>
    </cfRule>
  </conditionalFormatting>
  <conditionalFormatting sqref="S8">
    <cfRule type="expression" dxfId="5525" priority="280">
      <formula>U$9&gt;=20/24</formula>
    </cfRule>
    <cfRule type="expression" dxfId="5524" priority="281">
      <formula>AND(U$9&gt;=14/24,U$9&lt;20/24)</formula>
    </cfRule>
    <cfRule type="expression" dxfId="5523" priority="282">
      <formula>AND(U$9&gt;=8/24,U$9&lt;14/24)</formula>
    </cfRule>
    <cfRule type="expression" dxfId="5522" priority="283">
      <formula>U$9&lt;8/24</formula>
    </cfRule>
  </conditionalFormatting>
  <conditionalFormatting sqref="AB8">
    <cfRule type="expression" dxfId="5521" priority="276">
      <formula>AD$9&gt;=20/24</formula>
    </cfRule>
    <cfRule type="expression" dxfId="5520" priority="277">
      <formula>AND(AD$9&gt;=14/24,AD$9&lt;20/24)</formula>
    </cfRule>
    <cfRule type="expression" dxfId="5519" priority="278">
      <formula>AND(AD$9&gt;=8/24,AD$9&lt;14/24)</formula>
    </cfRule>
    <cfRule type="expression" dxfId="5518" priority="279">
      <formula>AD$9&lt;8/24</formula>
    </cfRule>
  </conditionalFormatting>
  <conditionalFormatting sqref="AH237:AX237">
    <cfRule type="expression" dxfId="5517" priority="320">
      <formula>AG$9&gt;=20/24</formula>
    </cfRule>
    <cfRule type="expression" dxfId="5516" priority="321">
      <formula>AND(AG$9&gt;=14/24,AG$9&lt;20/24)</formula>
    </cfRule>
    <cfRule type="expression" dxfId="5515" priority="322">
      <formula>AND(AG$9&gt;=8/24,AG$9&lt;14/24)</formula>
    </cfRule>
    <cfRule type="expression" dxfId="5514" priority="323">
      <formula>AG$9&lt;8/24</formula>
    </cfRule>
  </conditionalFormatting>
  <conditionalFormatting sqref="T237">
    <cfRule type="expression" dxfId="5513" priority="324">
      <formula>AX$9&gt;=20/24</formula>
    </cfRule>
    <cfRule type="expression" dxfId="5512" priority="325">
      <formula>AND(AX$9&gt;=14/24,AX$9&lt;20/24)</formula>
    </cfRule>
    <cfRule type="expression" dxfId="5511" priority="326">
      <formula>AND(AX$9&gt;=8/24,AX$9&lt;14/24)</formula>
    </cfRule>
    <cfRule type="expression" dxfId="5510" priority="327">
      <formula>AX$9&lt;8/24</formula>
    </cfRule>
  </conditionalFormatting>
  <conditionalFormatting sqref="A107:A108">
    <cfRule type="expression" dxfId="5509" priority="275">
      <formula>$AH107=0</formula>
    </cfRule>
  </conditionalFormatting>
  <conditionalFormatting sqref="AF38 E46:M47 M48:M49 E63:AF63 S46:AF47">
    <cfRule type="expression" dxfId="5508" priority="271">
      <formula>E$9&gt;=20/24</formula>
    </cfRule>
    <cfRule type="expression" dxfId="5507" priority="272">
      <formula>AND(E$9&gt;=14/24,E$9&lt;20/24)</formula>
    </cfRule>
    <cfRule type="expression" dxfId="5506" priority="273">
      <formula>AND(E$9&gt;=8/24,E$9&lt;14/24)</formula>
    </cfRule>
    <cfRule type="expression" dxfId="5505" priority="274">
      <formula>E$9&lt;8/24</formula>
    </cfRule>
  </conditionalFormatting>
  <conditionalFormatting sqref="E45:L45 S45:AF45">
    <cfRule type="expression" dxfId="5504" priority="267">
      <formula>E$9&gt;=20/24</formula>
    </cfRule>
    <cfRule type="expression" dxfId="5503" priority="268">
      <formula>AND(E$9&gt;=14/24,E$9&lt;20/24)</formula>
    </cfRule>
    <cfRule type="expression" dxfId="5502" priority="269">
      <formula>AND(E$9&gt;=8/24,E$9&lt;14/24)</formula>
    </cfRule>
    <cfRule type="expression" dxfId="5501" priority="270">
      <formula>E$9&lt;8/24</formula>
    </cfRule>
  </conditionalFormatting>
  <conditionalFormatting sqref="AF38 E45:L45 E46:M47 M48:M49 S45:AF47">
    <cfRule type="expression" dxfId="5500" priority="266">
      <formula>E38&gt;$AG38</formula>
    </cfRule>
  </conditionalFormatting>
  <conditionalFormatting sqref="C88:AF88 C75:AF78 S59:AF61 L39:R39 D92:AF98 E64:AF65 AC66:AF66 Y12:AF14 AD67:AF68 Y18:AF18 AE69:AF73 Y38:AE38 Y25:AF27 Y29:AF29 Y31:AF34">
    <cfRule type="expression" dxfId="5499" priority="262">
      <formula>C$9&gt;=20/24</formula>
    </cfRule>
    <cfRule type="expression" dxfId="5498" priority="263">
      <formula>AND(C$9&gt;=14/24,C$9&lt;20/24)</formula>
    </cfRule>
    <cfRule type="expression" dxfId="5497" priority="264">
      <formula>AND(C$9&gt;=8/24,C$9&lt;14/24)</formula>
    </cfRule>
    <cfRule type="expression" dxfId="5496" priority="265">
      <formula>C$9&lt;8/24</formula>
    </cfRule>
  </conditionalFormatting>
  <conditionalFormatting sqref="Y35:AF35">
    <cfRule type="expression" dxfId="5495" priority="258">
      <formula>Y$9&gt;=20/24</formula>
    </cfRule>
    <cfRule type="expression" dxfId="5494" priority="259">
      <formula>AND(Y$9&gt;=14/24,Y$9&lt;20/24)</formula>
    </cfRule>
    <cfRule type="expression" dxfId="5493" priority="260">
      <formula>AND(Y$9&gt;=8/24,Y$9&lt;14/24)</formula>
    </cfRule>
    <cfRule type="expression" dxfId="5492" priority="261">
      <formula>Y$9&lt;8/24</formula>
    </cfRule>
  </conditionalFormatting>
  <conditionalFormatting sqref="AB48:AF49 C57:AF57 S59:AF61 E48:L48 L39:R39 Y38:AE38 Y25:AF29 Y31:AF35">
    <cfRule type="expression" dxfId="5491" priority="257">
      <formula>C25&gt;$AG25</formula>
    </cfRule>
  </conditionalFormatting>
  <conditionalFormatting sqref="Y37:AF37">
    <cfRule type="expression" dxfId="5490" priority="253">
      <formula>Y$9&gt;=20/24</formula>
    </cfRule>
    <cfRule type="expression" dxfId="5489" priority="254">
      <formula>AND(Y$9&gt;=14/24,Y$9&lt;20/24)</formula>
    </cfRule>
    <cfRule type="expression" dxfId="5488" priority="255">
      <formula>AND(Y$9&gt;=8/24,Y$9&lt;14/24)</formula>
    </cfRule>
    <cfRule type="expression" dxfId="5487" priority="256">
      <formula>Y$9&lt;8/24</formula>
    </cfRule>
  </conditionalFormatting>
  <conditionalFormatting sqref="Y15:AF15">
    <cfRule type="expression" dxfId="5486" priority="249">
      <formula>Y$9&gt;=20/24</formula>
    </cfRule>
    <cfRule type="expression" dxfId="5485" priority="250">
      <formula>AND(Y$9&gt;=14/24,Y$9&lt;20/24)</formula>
    </cfRule>
    <cfRule type="expression" dxfId="5484" priority="251">
      <formula>AND(Y$9&gt;=8/24,Y$9&lt;14/24)</formula>
    </cfRule>
    <cfRule type="expression" dxfId="5483" priority="252">
      <formula>Y$9&lt;8/24</formula>
    </cfRule>
  </conditionalFormatting>
  <conditionalFormatting sqref="Y36:AF36">
    <cfRule type="expression" dxfId="5482" priority="245">
      <formula>Y$9&gt;=20/24</formula>
    </cfRule>
    <cfRule type="expression" dxfId="5481" priority="246">
      <formula>AND(Y$9&gt;=14/24,Y$9&lt;20/24)</formula>
    </cfRule>
    <cfRule type="expression" dxfId="5480" priority="247">
      <formula>AND(Y$9&gt;=8/24,Y$9&lt;14/24)</formula>
    </cfRule>
    <cfRule type="expression" dxfId="5479" priority="248">
      <formula>Y$9&lt;8/24</formula>
    </cfRule>
  </conditionalFormatting>
  <conditionalFormatting sqref="Y36:AF36">
    <cfRule type="expression" dxfId="5478" priority="244">
      <formula>Y36&gt;$AG36</formula>
    </cfRule>
  </conditionalFormatting>
  <conditionalFormatting sqref="Y48:AA49 AB50:AF56">
    <cfRule type="expression" dxfId="5477" priority="240">
      <formula>Y$9&gt;=20/24</formula>
    </cfRule>
    <cfRule type="expression" dxfId="5476" priority="241">
      <formula>AND(Y$9&gt;=14/24,Y$9&lt;20/24)</formula>
    </cfRule>
    <cfRule type="expression" dxfId="5475" priority="242">
      <formula>AND(Y$9&gt;=8/24,Y$9&lt;14/24)</formula>
    </cfRule>
    <cfRule type="expression" dxfId="5474" priority="243">
      <formula>Y$9&lt;8/24</formula>
    </cfRule>
  </conditionalFormatting>
  <conditionalFormatting sqref="Y48:AA49 AB50:AF56">
    <cfRule type="expression" dxfId="5473" priority="239">
      <formula>Y48&gt;$AG48</formula>
    </cfRule>
  </conditionalFormatting>
  <conditionalFormatting sqref="M45:N45 N46:N47 O45:O47 N48:O49 P45:R49 S48:X50 Y50:AA51">
    <cfRule type="expression" dxfId="5472" priority="235">
      <formula>M$9&gt;=20/24</formula>
    </cfRule>
    <cfRule type="expression" dxfId="5471" priority="236">
      <formula>AND(M$9&gt;=14/24,M$9&lt;20/24)</formula>
    </cfRule>
    <cfRule type="expression" dxfId="5470" priority="237">
      <formula>AND(M$9&gt;=8/24,M$9&lt;14/24)</formula>
    </cfRule>
    <cfRule type="expression" dxfId="5469" priority="238">
      <formula>M$9&lt;8/24</formula>
    </cfRule>
  </conditionalFormatting>
  <conditionalFormatting sqref="M45:N45 N46:N47 O45:O47 N48:O49 P45:R49 S48:X50 Y50:AA51">
    <cfRule type="expression" dxfId="5468" priority="234">
      <formula>M45&gt;$AG45</formula>
    </cfRule>
  </conditionalFormatting>
  <conditionalFormatting sqref="Y28:AF28">
    <cfRule type="expression" dxfId="5467" priority="230">
      <formula>Y$9&gt;=20/24</formula>
    </cfRule>
    <cfRule type="expression" dxfId="5466" priority="231">
      <formula>AND(Y$9&gt;=14/24,Y$9&lt;20/24)</formula>
    </cfRule>
    <cfRule type="expression" dxfId="5465" priority="232">
      <formula>AND(Y$9&gt;=8/24,Y$9&lt;14/24)</formula>
    </cfRule>
    <cfRule type="expression" dxfId="5464" priority="233">
      <formula>Y$9&lt;8/24</formula>
    </cfRule>
  </conditionalFormatting>
  <conditionalFormatting sqref="E31:R31 Y19:AF19 Y24:AF24">
    <cfRule type="expression" dxfId="5463" priority="226">
      <formula>E$9&gt;=20/24</formula>
    </cfRule>
    <cfRule type="expression" dxfId="5462" priority="227">
      <formula>AND(E$9&gt;=14/24,E$9&lt;20/24)</formula>
    </cfRule>
    <cfRule type="expression" dxfId="5461" priority="228">
      <formula>AND(E$9&gt;=8/24,E$9&lt;14/24)</formula>
    </cfRule>
    <cfRule type="expression" dxfId="5460" priority="229">
      <formula>E$9&lt;8/24</formula>
    </cfRule>
  </conditionalFormatting>
  <conditionalFormatting sqref="E31:R31 Y19:AF19 Y24:AF24">
    <cfRule type="expression" dxfId="5459" priority="225">
      <formula>E19&gt;$AG19</formula>
    </cfRule>
  </conditionalFormatting>
  <conditionalFormatting sqref="B101 B80:AF80 B89:AF89 B103:B108 B11:R11">
    <cfRule type="expression" dxfId="5458" priority="207">
      <formula>B$9&gt;=20/24</formula>
    </cfRule>
    <cfRule type="expression" dxfId="5457" priority="208">
      <formula>AND(B$9&gt;=14/24,B$9&lt;20/24)</formula>
    </cfRule>
    <cfRule type="expression" dxfId="5456" priority="209">
      <formula>AND(B$9&gt;=8/24,B$9&lt;14/24)</formula>
    </cfRule>
    <cfRule type="expression" dxfId="5455" priority="210">
      <formula>B$9&lt;8/24</formula>
    </cfRule>
  </conditionalFormatting>
  <conditionalFormatting sqref="B39:K39">
    <cfRule type="expression" dxfId="5454" priority="203">
      <formula>B$9&gt;=20/24</formula>
    </cfRule>
    <cfRule type="expression" dxfId="5453" priority="204">
      <formula>AND(B$9&gt;=14/24,B$9&lt;20/24)</formula>
    </cfRule>
    <cfRule type="expression" dxfId="5452" priority="205">
      <formula>AND(B$9&gt;=8/24,B$9&lt;14/24)</formula>
    </cfRule>
    <cfRule type="expression" dxfId="5451" priority="206">
      <formula>B$9&lt;8/24</formula>
    </cfRule>
  </conditionalFormatting>
  <conditionalFormatting sqref="B39:K39 B11:R11">
    <cfRule type="expression" dxfId="5450" priority="202">
      <formula>B11&gt;$AG11</formula>
    </cfRule>
  </conditionalFormatting>
  <conditionalFormatting sqref="B91">
    <cfRule type="expression" dxfId="5449" priority="198">
      <formula>B$9&gt;=20/24</formula>
    </cfRule>
    <cfRule type="expression" dxfId="5448" priority="199">
      <formula>AND(B$9&gt;=14/24,B$9&lt;20/24)</formula>
    </cfRule>
    <cfRule type="expression" dxfId="5447" priority="200">
      <formula>AND(B$9&gt;=8/24,B$9&lt;14/24)</formula>
    </cfRule>
    <cfRule type="expression" dxfId="5446" priority="201">
      <formula>B$9&lt;8/24</formula>
    </cfRule>
  </conditionalFormatting>
  <conditionalFormatting sqref="B46:D47 B63:D63 B38:R38">
    <cfRule type="expression" dxfId="5445" priority="194">
      <formula>B$9&gt;=20/24</formula>
    </cfRule>
    <cfRule type="expression" dxfId="5444" priority="195">
      <formula>AND(B$9&gt;=14/24,B$9&lt;20/24)</formula>
    </cfRule>
    <cfRule type="expression" dxfId="5443" priority="196">
      <formula>AND(B$9&gt;=8/24,B$9&lt;14/24)</formula>
    </cfRule>
    <cfRule type="expression" dxfId="5442" priority="197">
      <formula>B$9&lt;8/24</formula>
    </cfRule>
  </conditionalFormatting>
  <conditionalFormatting sqref="B45:D45">
    <cfRule type="expression" dxfId="5441" priority="190">
      <formula>B$9&gt;=20/24</formula>
    </cfRule>
    <cfRule type="expression" dxfId="5440" priority="191">
      <formula>AND(B$9&gt;=14/24,B$9&lt;20/24)</formula>
    </cfRule>
    <cfRule type="expression" dxfId="5439" priority="192">
      <formula>AND(B$9&gt;=8/24,B$9&lt;14/24)</formula>
    </cfRule>
    <cfRule type="expression" dxfId="5438" priority="193">
      <formula>B$9&lt;8/24</formula>
    </cfRule>
  </conditionalFormatting>
  <conditionalFormatting sqref="B45:D47 B38:R38">
    <cfRule type="expression" dxfId="5437" priority="189">
      <formula>B38&gt;$AG38</formula>
    </cfRule>
  </conditionalFormatting>
  <conditionalFormatting sqref="B59:B62 B75:B79 B81:AF81 B88 C62:AG62 C79:AG79 B90:AF90 B92:C98 C59:R61 B31:D34 B64:D73 E32:R34 B12:R14 B18:R18 B25:R27 B29:R29 E66:AB73 AC67:AC73 AD69:AD73">
    <cfRule type="expression" dxfId="5436" priority="185">
      <formula>B$9&gt;=20/24</formula>
    </cfRule>
    <cfRule type="expression" dxfId="5435" priority="186">
      <formula>AND(B$9&gt;=14/24,B$9&lt;20/24)</formula>
    </cfRule>
    <cfRule type="expression" dxfId="5434" priority="187">
      <formula>AND(B$9&gt;=8/24,B$9&lt;14/24)</formula>
    </cfRule>
    <cfRule type="expression" dxfId="5433" priority="188">
      <formula>B$9&lt;8/24</formula>
    </cfRule>
  </conditionalFormatting>
  <conditionalFormatting sqref="B35:R35">
    <cfRule type="expression" dxfId="5432" priority="181">
      <formula>B$9&gt;=20/24</formula>
    </cfRule>
    <cfRule type="expression" dxfId="5431" priority="182">
      <formula>AND(B$9&gt;=14/24,B$9&lt;20/24)</formula>
    </cfRule>
    <cfRule type="expression" dxfId="5430" priority="183">
      <formula>AND(B$9&gt;=8/24,B$9&lt;14/24)</formula>
    </cfRule>
    <cfRule type="expression" dxfId="5429" priority="184">
      <formula>B$9&lt;8/24</formula>
    </cfRule>
  </conditionalFormatting>
  <conditionalFormatting sqref="B57:B62 C58:AG58 C62:AG62 C59:R61 B31:D35 B48:D49 E49:L49 B40:AG40 E32:R35 B25:R29">
    <cfRule type="expression" dxfId="5428" priority="180">
      <formula>B25&gt;$AG25</formula>
    </cfRule>
  </conditionalFormatting>
  <conditionalFormatting sqref="B37:R37">
    <cfRule type="expression" dxfId="5427" priority="176">
      <formula>B$9&gt;=20/24</formula>
    </cfRule>
    <cfRule type="expression" dxfId="5426" priority="177">
      <formula>AND(B$9&gt;=14/24,B$9&lt;20/24)</formula>
    </cfRule>
    <cfRule type="expression" dxfId="5425" priority="178">
      <formula>AND(B$9&gt;=8/24,B$9&lt;14/24)</formula>
    </cfRule>
    <cfRule type="expression" dxfId="5424" priority="179">
      <formula>B$9&lt;8/24</formula>
    </cfRule>
  </conditionalFormatting>
  <conditionalFormatting sqref="B15:R15">
    <cfRule type="expression" dxfId="5423" priority="172">
      <formula>B$9&gt;=20/24</formula>
    </cfRule>
    <cfRule type="expression" dxfId="5422" priority="173">
      <formula>AND(B$9&gt;=14/24,B$9&lt;20/24)</formula>
    </cfRule>
    <cfRule type="expression" dxfId="5421" priority="174">
      <formula>AND(B$9&gt;=8/24,B$9&lt;14/24)</formula>
    </cfRule>
    <cfRule type="expression" dxfId="5420" priority="175">
      <formula>B$9&lt;8/24</formula>
    </cfRule>
  </conditionalFormatting>
  <conditionalFormatting sqref="B36:R36">
    <cfRule type="expression" dxfId="5419" priority="168">
      <formula>B$9&gt;=20/24</formula>
    </cfRule>
    <cfRule type="expression" dxfId="5418" priority="169">
      <formula>AND(B$9&gt;=14/24,B$9&lt;20/24)</formula>
    </cfRule>
    <cfRule type="expression" dxfId="5417" priority="170">
      <formula>AND(B$9&gt;=8/24,B$9&lt;14/24)</formula>
    </cfRule>
    <cfRule type="expression" dxfId="5416" priority="171">
      <formula>B$9&lt;8/24</formula>
    </cfRule>
  </conditionalFormatting>
  <conditionalFormatting sqref="B36:R36">
    <cfRule type="expression" dxfId="5415" priority="167">
      <formula>B36&gt;$AG36</formula>
    </cfRule>
  </conditionalFormatting>
  <conditionalFormatting sqref="B50:R56 S51:X56">
    <cfRule type="expression" dxfId="5414" priority="163">
      <formula>B$9&gt;=20/24</formula>
    </cfRule>
    <cfRule type="expression" dxfId="5413" priority="164">
      <formula>AND(B$9&gt;=14/24,B$9&lt;20/24)</formula>
    </cfRule>
    <cfRule type="expression" dxfId="5412" priority="165">
      <formula>AND(B$9&gt;=8/24,B$9&lt;14/24)</formula>
    </cfRule>
    <cfRule type="expression" dxfId="5411" priority="166">
      <formula>B$9&lt;8/24</formula>
    </cfRule>
  </conditionalFormatting>
  <conditionalFormatting sqref="B50:R56 S51:X56">
    <cfRule type="expression" dxfId="5410" priority="162">
      <formula>B50&gt;$AG50</formula>
    </cfRule>
  </conditionalFormatting>
  <conditionalFormatting sqref="B28:R28">
    <cfRule type="expression" dxfId="5409" priority="158">
      <formula>B$9&gt;=20/24</formula>
    </cfRule>
    <cfRule type="expression" dxfId="5408" priority="159">
      <formula>AND(B$9&gt;=14/24,B$9&lt;20/24)</formula>
    </cfRule>
    <cfRule type="expression" dxfId="5407" priority="160">
      <formula>AND(B$9&gt;=8/24,B$9&lt;14/24)</formula>
    </cfRule>
    <cfRule type="expression" dxfId="5406" priority="161">
      <formula>B$9&lt;8/24</formula>
    </cfRule>
  </conditionalFormatting>
  <conditionalFormatting sqref="B19:R19 B24:R24">
    <cfRule type="expression" dxfId="5405" priority="154">
      <formula>B$9&gt;=20/24</formula>
    </cfRule>
    <cfRule type="expression" dxfId="5404" priority="155">
      <formula>AND(B$9&gt;=14/24,B$9&lt;20/24)</formula>
    </cfRule>
    <cfRule type="expression" dxfId="5403" priority="156">
      <formula>AND(B$9&gt;=8/24,B$9&lt;14/24)</formula>
    </cfRule>
    <cfRule type="expression" dxfId="5402" priority="157">
      <formula>B$9&lt;8/24</formula>
    </cfRule>
  </conditionalFormatting>
  <conditionalFormatting sqref="B19:R19 B24:R24">
    <cfRule type="expression" dxfId="5401" priority="153">
      <formula>B19&gt;$AG19</formula>
    </cfRule>
  </conditionalFormatting>
  <conditionalFormatting sqref="A36">
    <cfRule type="expression" dxfId="5400" priority="152">
      <formula>$AH36=0</formula>
    </cfRule>
  </conditionalFormatting>
  <conditionalFormatting sqref="B74:AF74">
    <cfRule type="expression" dxfId="5399" priority="148">
      <formula>B$9&gt;=20/24</formula>
    </cfRule>
    <cfRule type="expression" dxfId="5398" priority="149">
      <formula>AND(B$9&gt;=14/24,B$9&lt;20/24)</formula>
    </cfRule>
    <cfRule type="expression" dxfId="5397" priority="150">
      <formula>AND(B$9&gt;=8/24,B$9&lt;14/24)</formula>
    </cfRule>
    <cfRule type="expression" dxfId="5396" priority="151">
      <formula>B$9&lt;8/24</formula>
    </cfRule>
  </conditionalFormatting>
  <conditionalFormatting sqref="B83:AF87">
    <cfRule type="expression" dxfId="5395" priority="144">
      <formula>B$9&gt;=20/24</formula>
    </cfRule>
    <cfRule type="expression" dxfId="5394" priority="145">
      <formula>AND(B$9&gt;=14/24,B$9&lt;20/24)</formula>
    </cfRule>
    <cfRule type="expression" dxfId="5393" priority="146">
      <formula>AND(B$9&gt;=8/24,B$9&lt;14/24)</formula>
    </cfRule>
    <cfRule type="expression" dxfId="5392" priority="147">
      <formula>B$9&lt;8/24</formula>
    </cfRule>
  </conditionalFormatting>
  <conditionalFormatting sqref="AL37 AL34 AL18:AL29 AL7:AL16 AL31:AL32">
    <cfRule type="iconSet" priority="328">
      <iconSet iconSet="3TrafficLights2" reverse="1">
        <cfvo type="percent" val="0"/>
        <cfvo type="num" val="1"/>
        <cfvo type="num" val="1"/>
      </iconSet>
    </cfRule>
  </conditionalFormatting>
  <conditionalFormatting sqref="E41:AF43">
    <cfRule type="expression" dxfId="5391" priority="140">
      <formula>E$9&gt;=20/24</formula>
    </cfRule>
    <cfRule type="expression" dxfId="5390" priority="141">
      <formula>AND(E$9&gt;=14/24,E$9&lt;20/24)</formula>
    </cfRule>
    <cfRule type="expression" dxfId="5389" priority="142">
      <formula>AND(E$9&gt;=8/24,E$9&lt;14/24)</formula>
    </cfRule>
    <cfRule type="expression" dxfId="5388" priority="143">
      <formula>E$9&lt;8/24</formula>
    </cfRule>
  </conditionalFormatting>
  <conditionalFormatting sqref="E41:AF43">
    <cfRule type="expression" dxfId="5387" priority="139">
      <formula>E41&gt;$AG41</formula>
    </cfRule>
  </conditionalFormatting>
  <conditionalFormatting sqref="B41:B44 C44:AG44 C41:D43">
    <cfRule type="expression" dxfId="5386" priority="135">
      <formula>B$9&gt;=20/24</formula>
    </cfRule>
    <cfRule type="expression" dxfId="5385" priority="136">
      <formula>AND(B$9&gt;=14/24,B$9&lt;20/24)</formula>
    </cfRule>
    <cfRule type="expression" dxfId="5384" priority="137">
      <formula>AND(B$9&gt;=8/24,B$9&lt;14/24)</formula>
    </cfRule>
    <cfRule type="expression" dxfId="5383" priority="138">
      <formula>B$9&lt;8/24</formula>
    </cfRule>
  </conditionalFormatting>
  <conditionalFormatting sqref="B41:B44 C44:AG44 C41:D43">
    <cfRule type="expression" dxfId="5382" priority="134">
      <formula>B41&gt;$AG41</formula>
    </cfRule>
  </conditionalFormatting>
  <conditionalFormatting sqref="C99:AF99">
    <cfRule type="expression" dxfId="5381" priority="130">
      <formula>C$9&gt;=20/24</formula>
    </cfRule>
    <cfRule type="expression" dxfId="5380" priority="131">
      <formula>AND(C$9&gt;=14/24,C$9&lt;20/24)</formula>
    </cfRule>
    <cfRule type="expression" dxfId="5379" priority="132">
      <formula>AND(C$9&gt;=8/24,C$9&lt;14/24)</formula>
    </cfRule>
    <cfRule type="expression" dxfId="5378" priority="133">
      <formula>C$9&lt;8/24</formula>
    </cfRule>
  </conditionalFormatting>
  <conditionalFormatting sqref="B99">
    <cfRule type="expression" dxfId="5377" priority="126">
      <formula>B$9&gt;=20/24</formula>
    </cfRule>
    <cfRule type="expression" dxfId="5376" priority="127">
      <formula>AND(B$9&gt;=14/24,B$9&lt;20/24)</formula>
    </cfRule>
    <cfRule type="expression" dxfId="5375" priority="128">
      <formula>AND(B$9&gt;=8/24,B$9&lt;14/24)</formula>
    </cfRule>
    <cfRule type="expression" dxfId="5374" priority="129">
      <formula>B$9&lt;8/24</formula>
    </cfRule>
  </conditionalFormatting>
  <conditionalFormatting sqref="AL33">
    <cfRule type="iconSet" priority="125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5373" priority="120">
      <formula>$AH33=0</formula>
    </cfRule>
  </conditionalFormatting>
  <conditionalFormatting sqref="A82">
    <cfRule type="expression" dxfId="5372" priority="118">
      <formula>$AH82=0</formula>
    </cfRule>
  </conditionalFormatting>
  <conditionalFormatting sqref="A79">
    <cfRule type="expression" dxfId="5371" priority="119">
      <formula>$AH79=0</formula>
    </cfRule>
  </conditionalFormatting>
  <conditionalFormatting sqref="A109">
    <cfRule type="expression" dxfId="5370" priority="109">
      <formula>$AH109=0</formula>
    </cfRule>
  </conditionalFormatting>
  <conditionalFormatting sqref="C102:AF102">
    <cfRule type="expression" dxfId="5369" priority="105">
      <formula>C$9&gt;=20/24</formula>
    </cfRule>
    <cfRule type="expression" dxfId="5368" priority="106">
      <formula>AND(C$9&gt;=14/24,C$9&lt;20/24)</formula>
    </cfRule>
    <cfRule type="expression" dxfId="5367" priority="107">
      <formula>AND(C$9&gt;=8/24,C$9&lt;14/24)</formula>
    </cfRule>
    <cfRule type="expression" dxfId="5366" priority="108">
      <formula>C$9&lt;8/24</formula>
    </cfRule>
  </conditionalFormatting>
  <conditionalFormatting sqref="A102">
    <cfRule type="expression" dxfId="5365" priority="104">
      <formula>$AH102=0</formula>
    </cfRule>
  </conditionalFormatting>
  <conditionalFormatting sqref="B102">
    <cfRule type="expression" dxfId="5364" priority="100">
      <formula>B$9&gt;=20/24</formula>
    </cfRule>
    <cfRule type="expression" dxfId="5363" priority="101">
      <formula>AND(B$9&gt;=14/24,B$9&lt;20/24)</formula>
    </cfRule>
    <cfRule type="expression" dxfId="5362" priority="102">
      <formula>AND(B$9&gt;=8/24,B$9&lt;14/24)</formula>
    </cfRule>
    <cfRule type="expression" dxfId="5361" priority="103">
      <formula>B$9&lt;8/24</formula>
    </cfRule>
  </conditionalFormatting>
  <conditionalFormatting sqref="Y52:AA56">
    <cfRule type="expression" dxfId="5360" priority="96">
      <formula>Y$9&gt;=20/24</formula>
    </cfRule>
    <cfRule type="expression" dxfId="5359" priority="97">
      <formula>AND(Y$9&gt;=14/24,Y$9&lt;20/24)</formula>
    </cfRule>
    <cfRule type="expression" dxfId="5358" priority="98">
      <formula>AND(Y$9&gt;=8/24,Y$9&lt;14/24)</formula>
    </cfRule>
    <cfRule type="expression" dxfId="5357" priority="99">
      <formula>Y$9&lt;8/24</formula>
    </cfRule>
  </conditionalFormatting>
  <conditionalFormatting sqref="Y52:AA56">
    <cfRule type="expression" dxfId="5356" priority="95">
      <formula>Y52&gt;$AG52</formula>
    </cfRule>
  </conditionalFormatting>
  <conditionalFormatting sqref="B17:R17 Y17:AF17">
    <cfRule type="expression" dxfId="5355" priority="93">
      <formula>B17&gt;$AG17</formula>
    </cfRule>
  </conditionalFormatting>
  <conditionalFormatting sqref="A17">
    <cfRule type="expression" dxfId="5354" priority="92">
      <formula>$AH17=0</formula>
    </cfRule>
  </conditionalFormatting>
  <conditionalFormatting sqref="Y17:AF17">
    <cfRule type="expression" dxfId="5353" priority="88">
      <formula>Y$9&gt;=20/24</formula>
    </cfRule>
    <cfRule type="expression" dxfId="5352" priority="89">
      <formula>AND(Y$9&gt;=14/24,Y$9&lt;20/24)</formula>
    </cfRule>
    <cfRule type="expression" dxfId="5351" priority="90">
      <formula>AND(Y$9&gt;=8/24,Y$9&lt;14/24)</formula>
    </cfRule>
    <cfRule type="expression" dxfId="5350" priority="91">
      <formula>Y$9&lt;8/24</formula>
    </cfRule>
  </conditionalFormatting>
  <conditionalFormatting sqref="B17:R17">
    <cfRule type="expression" dxfId="5349" priority="84">
      <formula>B$9&gt;=20/24</formula>
    </cfRule>
    <cfRule type="expression" dxfId="5348" priority="85">
      <formula>AND(B$9&gt;=14/24,B$9&lt;20/24)</formula>
    </cfRule>
    <cfRule type="expression" dxfId="5347" priority="86">
      <formula>AND(B$9&gt;=8/24,B$9&lt;14/24)</formula>
    </cfRule>
    <cfRule type="expression" dxfId="5346" priority="87">
      <formula>B$9&lt;8/24</formula>
    </cfRule>
  </conditionalFormatting>
  <conditionalFormatting sqref="AL17">
    <cfRule type="iconSet" priority="94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5345" priority="82">
      <formula>$AH30=0</formula>
    </cfRule>
  </conditionalFormatting>
  <conditionalFormatting sqref="Y30:AF30">
    <cfRule type="expression" dxfId="5344" priority="78">
      <formula>Y$9&gt;=20/24</formula>
    </cfRule>
    <cfRule type="expression" dxfId="5343" priority="79">
      <formula>AND(Y$9&gt;=14/24,Y$9&lt;20/24)</formula>
    </cfRule>
    <cfRule type="expression" dxfId="5342" priority="80">
      <formula>AND(Y$9&gt;=8/24,Y$9&lt;14/24)</formula>
    </cfRule>
    <cfRule type="expression" dxfId="5341" priority="81">
      <formula>Y$9&lt;8/24</formula>
    </cfRule>
  </conditionalFormatting>
  <conditionalFormatting sqref="Y30:AF30">
    <cfRule type="expression" dxfId="5340" priority="77">
      <formula>Y30&gt;$AG30</formula>
    </cfRule>
  </conditionalFormatting>
  <conditionalFormatting sqref="E30:R30">
    <cfRule type="expression" dxfId="5339" priority="73">
      <formula>E$9&gt;=20/24</formula>
    </cfRule>
    <cfRule type="expression" dxfId="5338" priority="74">
      <formula>AND(E$9&gt;=14/24,E$9&lt;20/24)</formula>
    </cfRule>
    <cfRule type="expression" dxfId="5337" priority="75">
      <formula>AND(E$9&gt;=8/24,E$9&lt;14/24)</formula>
    </cfRule>
    <cfRule type="expression" dxfId="5336" priority="76">
      <formula>E$9&lt;8/24</formula>
    </cfRule>
  </conditionalFormatting>
  <conditionalFormatting sqref="E30:R30">
    <cfRule type="expression" dxfId="5335" priority="72">
      <formula>E30&gt;$AG30</formula>
    </cfRule>
  </conditionalFormatting>
  <conditionalFormatting sqref="B30:D30">
    <cfRule type="expression" dxfId="5334" priority="68">
      <formula>B$9&gt;=20/24</formula>
    </cfRule>
    <cfRule type="expression" dxfId="5333" priority="69">
      <formula>AND(B$9&gt;=14/24,B$9&lt;20/24)</formula>
    </cfRule>
    <cfRule type="expression" dxfId="5332" priority="70">
      <formula>AND(B$9&gt;=8/24,B$9&lt;14/24)</formula>
    </cfRule>
    <cfRule type="expression" dxfId="5331" priority="71">
      <formula>B$9&lt;8/24</formula>
    </cfRule>
  </conditionalFormatting>
  <conditionalFormatting sqref="B30:D30">
    <cfRule type="expression" dxfId="5330" priority="67">
      <formula>B30&gt;$AG30</formula>
    </cfRule>
  </conditionalFormatting>
  <conditionalFormatting sqref="AL30">
    <cfRule type="iconSet" priority="83">
      <iconSet iconSet="3TrafficLights2" reverse="1">
        <cfvo type="percent" val="0"/>
        <cfvo type="num" val="1"/>
        <cfvo type="num" val="1"/>
      </iconSet>
    </cfRule>
  </conditionalFormatting>
  <conditionalFormatting sqref="S20:X23 S16:X16">
    <cfRule type="expression" dxfId="5329" priority="63">
      <formula>S$9&gt;=20/24</formula>
    </cfRule>
    <cfRule type="expression" dxfId="5328" priority="64">
      <formula>AND(S$9&gt;=14/24,S$9&lt;20/24)</formula>
    </cfRule>
    <cfRule type="expression" dxfId="5327" priority="65">
      <formula>AND(S$9&gt;=8/24,S$9&lt;14/24)</formula>
    </cfRule>
    <cfRule type="expression" dxfId="5326" priority="66">
      <formula>S$9&lt;8/24</formula>
    </cfRule>
  </conditionalFormatting>
  <conditionalFormatting sqref="S12:X16 S37:X37 S18:X18 S20:X23">
    <cfRule type="expression" dxfId="5325" priority="62">
      <formula>S12&gt;$AG12</formula>
    </cfRule>
  </conditionalFormatting>
  <conditionalFormatting sqref="S39:U39">
    <cfRule type="expression" dxfId="5324" priority="58">
      <formula>S$9&gt;=20/24</formula>
    </cfRule>
    <cfRule type="expression" dxfId="5323" priority="59">
      <formula>AND(S$9&gt;=14/24,S$9&lt;20/24)</formula>
    </cfRule>
    <cfRule type="expression" dxfId="5322" priority="60">
      <formula>AND(S$9&gt;=8/24,S$9&lt;14/24)</formula>
    </cfRule>
    <cfRule type="expression" dxfId="5321" priority="61">
      <formula>S$9&lt;8/24</formula>
    </cfRule>
  </conditionalFormatting>
  <conditionalFormatting sqref="S39:U39">
    <cfRule type="expression" dxfId="5320" priority="57">
      <formula>S39&gt;$AG39</formula>
    </cfRule>
  </conditionalFormatting>
  <conditionalFormatting sqref="S31:X31">
    <cfRule type="expression" dxfId="5319" priority="53">
      <formula>S$9&gt;=20/24</formula>
    </cfRule>
    <cfRule type="expression" dxfId="5318" priority="54">
      <formula>AND(S$9&gt;=14/24,S$9&lt;20/24)</formula>
    </cfRule>
    <cfRule type="expression" dxfId="5317" priority="55">
      <formula>AND(S$9&gt;=8/24,S$9&lt;14/24)</formula>
    </cfRule>
    <cfRule type="expression" dxfId="5316" priority="56">
      <formula>S$9&lt;8/24</formula>
    </cfRule>
  </conditionalFormatting>
  <conditionalFormatting sqref="S31:X31">
    <cfRule type="expression" dxfId="5315" priority="52">
      <formula>S31&gt;$AG31</formula>
    </cfRule>
  </conditionalFormatting>
  <conditionalFormatting sqref="S11:X11">
    <cfRule type="expression" dxfId="5314" priority="48">
      <formula>S$9&gt;=20/24</formula>
    </cfRule>
    <cfRule type="expression" dxfId="5313" priority="49">
      <formula>AND(S$9&gt;=14/24,S$9&lt;20/24)</formula>
    </cfRule>
    <cfRule type="expression" dxfId="5312" priority="50">
      <formula>AND(S$9&gt;=8/24,S$9&lt;14/24)</formula>
    </cfRule>
    <cfRule type="expression" dxfId="5311" priority="51">
      <formula>S$9&lt;8/24</formula>
    </cfRule>
  </conditionalFormatting>
  <conditionalFormatting sqref="S11:X11">
    <cfRule type="expression" dxfId="5310" priority="47">
      <formula>S11&gt;$AG11</formula>
    </cfRule>
  </conditionalFormatting>
  <conditionalFormatting sqref="S38:X38">
    <cfRule type="expression" dxfId="5309" priority="43">
      <formula>S$9&gt;=20/24</formula>
    </cfRule>
    <cfRule type="expression" dxfId="5308" priority="44">
      <formula>AND(S$9&gt;=14/24,S$9&lt;20/24)</formula>
    </cfRule>
    <cfRule type="expression" dxfId="5307" priority="45">
      <formula>AND(S$9&gt;=8/24,S$9&lt;14/24)</formula>
    </cfRule>
    <cfRule type="expression" dxfId="5306" priority="46">
      <formula>S$9&lt;8/24</formula>
    </cfRule>
  </conditionalFormatting>
  <conditionalFormatting sqref="S38:X38">
    <cfRule type="expression" dxfId="5305" priority="42">
      <formula>S38&gt;$AG38</formula>
    </cfRule>
  </conditionalFormatting>
  <conditionalFormatting sqref="S32:X34 S12:X14 S18:X18 S25:X27 S29:X29">
    <cfRule type="expression" dxfId="5304" priority="38">
      <formula>S$9&gt;=20/24</formula>
    </cfRule>
    <cfRule type="expression" dxfId="5303" priority="39">
      <formula>AND(S$9&gt;=14/24,S$9&lt;20/24)</formula>
    </cfRule>
    <cfRule type="expression" dxfId="5302" priority="40">
      <formula>AND(S$9&gt;=8/24,S$9&lt;14/24)</formula>
    </cfRule>
    <cfRule type="expression" dxfId="5301" priority="41">
      <formula>S$9&lt;8/24</formula>
    </cfRule>
  </conditionalFormatting>
  <conditionalFormatting sqref="S35:X35">
    <cfRule type="expression" dxfId="5300" priority="34">
      <formula>S$9&gt;=20/24</formula>
    </cfRule>
    <cfRule type="expression" dxfId="5299" priority="35">
      <formula>AND(S$9&gt;=14/24,S$9&lt;20/24)</formula>
    </cfRule>
    <cfRule type="expression" dxfId="5298" priority="36">
      <formula>AND(S$9&gt;=8/24,S$9&lt;14/24)</formula>
    </cfRule>
    <cfRule type="expression" dxfId="5297" priority="37">
      <formula>S$9&lt;8/24</formula>
    </cfRule>
  </conditionalFormatting>
  <conditionalFormatting sqref="S32:X35 S25:X29">
    <cfRule type="expression" dxfId="5296" priority="33">
      <formula>S25&gt;$AG25</formula>
    </cfRule>
  </conditionalFormatting>
  <conditionalFormatting sqref="S37:X37">
    <cfRule type="expression" dxfId="5295" priority="29">
      <formula>S$9&gt;=20/24</formula>
    </cfRule>
    <cfRule type="expression" dxfId="5294" priority="30">
      <formula>AND(S$9&gt;=14/24,S$9&lt;20/24)</formula>
    </cfRule>
    <cfRule type="expression" dxfId="5293" priority="31">
      <formula>AND(S$9&gt;=8/24,S$9&lt;14/24)</formula>
    </cfRule>
    <cfRule type="expression" dxfId="5292" priority="32">
      <formula>S$9&lt;8/24</formula>
    </cfRule>
  </conditionalFormatting>
  <conditionalFormatting sqref="S15:X15">
    <cfRule type="expression" dxfId="5291" priority="25">
      <formula>S$9&gt;=20/24</formula>
    </cfRule>
    <cfRule type="expression" dxfId="5290" priority="26">
      <formula>AND(S$9&gt;=14/24,S$9&lt;20/24)</formula>
    </cfRule>
    <cfRule type="expression" dxfId="5289" priority="27">
      <formula>AND(S$9&gt;=8/24,S$9&lt;14/24)</formula>
    </cfRule>
    <cfRule type="expression" dxfId="5288" priority="28">
      <formula>S$9&lt;8/24</formula>
    </cfRule>
  </conditionalFormatting>
  <conditionalFormatting sqref="S36:X36">
    <cfRule type="expression" dxfId="5287" priority="21">
      <formula>S$9&gt;=20/24</formula>
    </cfRule>
    <cfRule type="expression" dxfId="5286" priority="22">
      <formula>AND(S$9&gt;=14/24,S$9&lt;20/24)</formula>
    </cfRule>
    <cfRule type="expression" dxfId="5285" priority="23">
      <formula>AND(S$9&gt;=8/24,S$9&lt;14/24)</formula>
    </cfRule>
    <cfRule type="expression" dxfId="5284" priority="24">
      <formula>S$9&lt;8/24</formula>
    </cfRule>
  </conditionalFormatting>
  <conditionalFormatting sqref="S36:X36">
    <cfRule type="expression" dxfId="5283" priority="20">
      <formula>S36&gt;$AG36</formula>
    </cfRule>
  </conditionalFormatting>
  <conditionalFormatting sqref="S28:X28">
    <cfRule type="expression" dxfId="5282" priority="16">
      <formula>S$9&gt;=20/24</formula>
    </cfRule>
    <cfRule type="expression" dxfId="5281" priority="17">
      <formula>AND(S$9&gt;=14/24,S$9&lt;20/24)</formula>
    </cfRule>
    <cfRule type="expression" dxfId="5280" priority="18">
      <formula>AND(S$9&gt;=8/24,S$9&lt;14/24)</formula>
    </cfRule>
    <cfRule type="expression" dxfId="5279" priority="19">
      <formula>S$9&lt;8/24</formula>
    </cfRule>
  </conditionalFormatting>
  <conditionalFormatting sqref="S19:X19 S24:X24">
    <cfRule type="expression" dxfId="5278" priority="12">
      <formula>S$9&gt;=20/24</formula>
    </cfRule>
    <cfRule type="expression" dxfId="5277" priority="13">
      <formula>AND(S$9&gt;=14/24,S$9&lt;20/24)</formula>
    </cfRule>
    <cfRule type="expression" dxfId="5276" priority="14">
      <formula>AND(S$9&gt;=8/24,S$9&lt;14/24)</formula>
    </cfRule>
    <cfRule type="expression" dxfId="5275" priority="15">
      <formula>S$9&lt;8/24</formula>
    </cfRule>
  </conditionalFormatting>
  <conditionalFormatting sqref="S19:X19 S24:X24">
    <cfRule type="expression" dxfId="5274" priority="11">
      <formula>S19&gt;$AG19</formula>
    </cfRule>
  </conditionalFormatting>
  <conditionalFormatting sqref="S17:X17">
    <cfRule type="expression" dxfId="5273" priority="10">
      <formula>S17&gt;$AG17</formula>
    </cfRule>
  </conditionalFormatting>
  <conditionalFormatting sqref="S17:X17">
    <cfRule type="expression" dxfId="5272" priority="6">
      <formula>S$9&gt;=20/24</formula>
    </cfRule>
    <cfRule type="expression" dxfId="5271" priority="7">
      <formula>AND(S$9&gt;=14/24,S$9&lt;20/24)</formula>
    </cfRule>
    <cfRule type="expression" dxfId="5270" priority="8">
      <formula>AND(S$9&gt;=8/24,S$9&lt;14/24)</formula>
    </cfRule>
    <cfRule type="expression" dxfId="5269" priority="9">
      <formula>S$9&lt;8/24</formula>
    </cfRule>
  </conditionalFormatting>
  <conditionalFormatting sqref="S30:X30">
    <cfRule type="expression" dxfId="5268" priority="2">
      <formula>S$9&gt;=20/24</formula>
    </cfRule>
    <cfRule type="expression" dxfId="5267" priority="3">
      <formula>AND(S$9&gt;=14/24,S$9&lt;20/24)</formula>
    </cfRule>
    <cfRule type="expression" dxfId="5266" priority="4">
      <formula>AND(S$9&gt;=8/24,S$9&lt;14/24)</formula>
    </cfRule>
    <cfRule type="expression" dxfId="5265" priority="5">
      <formula>S$9&lt;8/24</formula>
    </cfRule>
  </conditionalFormatting>
  <conditionalFormatting sqref="S30:X30">
    <cfRule type="expression" dxfId="5264" priority="1">
      <formula>S30&gt;$AG30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1" id="{0CEB157C-5EAD-4367-A014-6AA7858C537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22" id="{76FC8815-05E1-4CE8-A1EE-845BAAE1D7C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3" id="{FDEC0EE1-3824-497E-81C8-316DE5903825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24" id="{08548DB8-F0AD-4CCC-AA73-7FB9FDC7B5A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114" id="{FEAA6963-F1FB-4BD7-AFC6-373A7DA28E2E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5" id="{87203B27-3480-4A41-99CB-C1985AD1A62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16" id="{668559DF-7CF2-4B52-8C80-6D1262456AE5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17" id="{3866F6E6-1A2A-42A8-BA95-B02795E03042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110" id="{F3ED2278-E6B4-446C-85A8-CB626A25ABBB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1" id="{F34C7B65-E8D3-4E4E-A907-4F7580283D8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12" id="{ED3ED24E-858D-4415-82CA-20F15C6DFB7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13" id="{8F67ED49-2191-4E65-8CDE-8B13BEB7BBA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J270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AC48" sqref="AC4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26.42578125" style="1" bestFit="1" customWidth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2079/06/20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1584MW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Load=1241</v>
      </c>
      <c r="B7" s="35">
        <f t="shared" ref="B7:AF7" si="1">B81</f>
        <v>1276.04</v>
      </c>
      <c r="C7" s="35">
        <f t="shared" si="1"/>
        <v>1265.74</v>
      </c>
      <c r="D7" s="35">
        <f t="shared" si="1"/>
        <v>1257.24</v>
      </c>
      <c r="E7" s="35">
        <f t="shared" si="1"/>
        <v>1251.54</v>
      </c>
      <c r="F7" s="35">
        <f t="shared" si="1"/>
        <v>1241.44</v>
      </c>
      <c r="G7" s="35">
        <f t="shared" si="1"/>
        <v>1289.04</v>
      </c>
      <c r="H7" s="35">
        <f t="shared" si="1"/>
        <v>1314.84</v>
      </c>
      <c r="I7" s="35">
        <f t="shared" si="1"/>
        <v>1375.94</v>
      </c>
      <c r="J7" s="35">
        <f t="shared" si="1"/>
        <v>1427.14</v>
      </c>
      <c r="K7" s="35">
        <f t="shared" si="1"/>
        <v>1519.8400000000001</v>
      </c>
      <c r="L7" s="35">
        <f t="shared" si="1"/>
        <v>1583.64</v>
      </c>
      <c r="M7" s="35">
        <f t="shared" si="1"/>
        <v>1572.8400000000001</v>
      </c>
      <c r="N7" s="35">
        <f t="shared" si="1"/>
        <v>1527.04</v>
      </c>
      <c r="O7" s="35">
        <f t="shared" si="1"/>
        <v>1480.04</v>
      </c>
      <c r="P7" s="35">
        <f t="shared" si="1"/>
        <v>1485.04</v>
      </c>
      <c r="Q7" s="35">
        <f t="shared" si="1"/>
        <v>1475.3400000000001</v>
      </c>
      <c r="R7" s="35">
        <f t="shared" si="1"/>
        <v>1416.44</v>
      </c>
      <c r="S7" s="35">
        <f t="shared" si="1"/>
        <v>1389.94</v>
      </c>
      <c r="T7" s="35">
        <f t="shared" si="1"/>
        <v>1408.6399999999999</v>
      </c>
      <c r="U7" s="35">
        <f t="shared" si="1"/>
        <v>1404.6399999999999</v>
      </c>
      <c r="V7" s="35">
        <f t="shared" si="1"/>
        <v>1413.44</v>
      </c>
      <c r="W7" s="35">
        <f t="shared" si="1"/>
        <v>1633.64</v>
      </c>
      <c r="X7" s="35">
        <f t="shared" si="1"/>
        <v>1660.64</v>
      </c>
      <c r="Y7" s="35">
        <f t="shared" si="1"/>
        <v>1634.24</v>
      </c>
      <c r="Z7" s="35">
        <f t="shared" si="1"/>
        <v>1516.24</v>
      </c>
      <c r="AA7" s="35">
        <f t="shared" si="1"/>
        <v>1540.24</v>
      </c>
      <c r="AB7" s="35">
        <f t="shared" si="1"/>
        <v>1504.44</v>
      </c>
      <c r="AC7" s="35">
        <f t="shared" si="1"/>
        <v>1469.24</v>
      </c>
      <c r="AD7" s="35">
        <f t="shared" si="1"/>
        <v>1405.84</v>
      </c>
      <c r="AE7" s="35">
        <f t="shared" si="1"/>
        <v>1352.44</v>
      </c>
      <c r="AF7" s="35">
        <f t="shared" si="1"/>
        <v>1348.94</v>
      </c>
      <c r="AG7" s="36"/>
      <c r="AI7" s="37"/>
      <c r="AK7" s="5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47</v>
      </c>
      <c r="C11" s="45">
        <v>47</v>
      </c>
      <c r="D11" s="45">
        <v>47</v>
      </c>
      <c r="E11" s="45">
        <v>45.2</v>
      </c>
      <c r="F11" s="45">
        <v>45.2</v>
      </c>
      <c r="G11" s="45">
        <v>45.5</v>
      </c>
      <c r="H11" s="45">
        <v>45.6</v>
      </c>
      <c r="I11" s="45">
        <v>45.5</v>
      </c>
      <c r="J11" s="45">
        <v>45.5</v>
      </c>
      <c r="K11" s="45">
        <v>45.5</v>
      </c>
      <c r="L11" s="45">
        <v>45.5</v>
      </c>
      <c r="M11" s="45">
        <v>45.6</v>
      </c>
      <c r="N11" s="45">
        <v>45.6</v>
      </c>
      <c r="O11" s="45">
        <v>45.6</v>
      </c>
      <c r="P11" s="45">
        <v>45.6</v>
      </c>
      <c r="Q11" s="45">
        <v>47.3</v>
      </c>
      <c r="R11" s="45">
        <v>47.3</v>
      </c>
      <c r="S11" s="45">
        <v>47.3</v>
      </c>
      <c r="T11" s="46">
        <v>48</v>
      </c>
      <c r="U11" s="46">
        <v>48</v>
      </c>
      <c r="V11" s="46">
        <v>46.8</v>
      </c>
      <c r="W11" s="46">
        <v>46.8</v>
      </c>
      <c r="X11" s="46">
        <v>46.8</v>
      </c>
      <c r="Y11" s="46">
        <v>46.8</v>
      </c>
      <c r="Z11" s="46">
        <v>46.8</v>
      </c>
      <c r="AA11" s="46">
        <v>46.8</v>
      </c>
      <c r="AB11" s="46">
        <v>46.8</v>
      </c>
      <c r="AC11" s="46">
        <v>48.7</v>
      </c>
      <c r="AD11" s="46">
        <v>49.5</v>
      </c>
      <c r="AE11" s="46">
        <v>49.5</v>
      </c>
      <c r="AF11" s="46">
        <v>49.5</v>
      </c>
      <c r="AG11" s="47">
        <v>52.4</v>
      </c>
      <c r="AH11" s="48">
        <f>MAX(B11:AF11)</f>
        <v>49.5</v>
      </c>
      <c r="AI11" s="49">
        <f>MIN(B11:AF11)</f>
        <v>45.2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50.7</v>
      </c>
      <c r="C12" s="45">
        <v>50.7</v>
      </c>
      <c r="D12" s="45">
        <v>50.7</v>
      </c>
      <c r="E12" s="45">
        <v>50.5</v>
      </c>
      <c r="F12" s="45">
        <v>50.4</v>
      </c>
      <c r="G12" s="45">
        <v>50.4</v>
      </c>
      <c r="H12" s="45">
        <v>50.5</v>
      </c>
      <c r="I12" s="45">
        <v>50.5</v>
      </c>
      <c r="J12" s="45">
        <v>50.2</v>
      </c>
      <c r="K12" s="45">
        <v>50.4</v>
      </c>
      <c r="L12" s="45">
        <v>50.8</v>
      </c>
      <c r="M12" s="45">
        <v>50.8</v>
      </c>
      <c r="N12" s="45">
        <v>50.8</v>
      </c>
      <c r="O12" s="45">
        <v>50.8</v>
      </c>
      <c r="P12" s="45">
        <v>50.8</v>
      </c>
      <c r="Q12" s="45">
        <v>50.4</v>
      </c>
      <c r="R12" s="45">
        <v>50.5</v>
      </c>
      <c r="S12" s="45">
        <v>50.5</v>
      </c>
      <c r="T12" s="45">
        <v>50.7</v>
      </c>
      <c r="U12" s="45">
        <v>50.7</v>
      </c>
      <c r="V12" s="45">
        <v>50.5</v>
      </c>
      <c r="W12" s="45">
        <v>50.5</v>
      </c>
      <c r="X12" s="45">
        <v>50.5</v>
      </c>
      <c r="Y12" s="45">
        <v>50.5</v>
      </c>
      <c r="Z12" s="45">
        <v>50.5</v>
      </c>
      <c r="AA12" s="45">
        <v>50.5</v>
      </c>
      <c r="AB12" s="45">
        <v>50.5</v>
      </c>
      <c r="AC12" s="45">
        <v>50.4</v>
      </c>
      <c r="AD12" s="45">
        <v>50.6</v>
      </c>
      <c r="AE12" s="45">
        <v>50.6</v>
      </c>
      <c r="AF12" s="45">
        <v>50.6</v>
      </c>
      <c r="AG12" s="51">
        <v>50</v>
      </c>
      <c r="AH12" s="48">
        <f t="shared" ref="AH12:AH75" si="2">MAX(B12:AF12)</f>
        <v>50.8</v>
      </c>
      <c r="AI12" s="49">
        <f t="shared" ref="AI12:AI75" si="3">MIN(B12:AF12)</f>
        <v>50.2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36.799999999999997</v>
      </c>
      <c r="C13" s="45">
        <v>36.799999999999997</v>
      </c>
      <c r="D13" s="45">
        <v>36.799999999999997</v>
      </c>
      <c r="E13" s="45">
        <v>30.7</v>
      </c>
      <c r="F13" s="45">
        <v>30.7</v>
      </c>
      <c r="G13" s="45">
        <v>30.6</v>
      </c>
      <c r="H13" s="45">
        <v>30.6</v>
      </c>
      <c r="I13" s="45">
        <v>30.7</v>
      </c>
      <c r="J13" s="45">
        <v>40.9</v>
      </c>
      <c r="K13" s="45">
        <v>39.5</v>
      </c>
      <c r="L13" s="45">
        <v>39.700000000000003</v>
      </c>
      <c r="M13" s="45">
        <v>39.700000000000003</v>
      </c>
      <c r="N13" s="45">
        <v>39.700000000000003</v>
      </c>
      <c r="O13" s="45">
        <v>39.700000000000003</v>
      </c>
      <c r="P13" s="45">
        <v>39.700000000000003</v>
      </c>
      <c r="Q13" s="45">
        <v>39.700000000000003</v>
      </c>
      <c r="R13" s="45">
        <v>40</v>
      </c>
      <c r="S13" s="45">
        <v>40</v>
      </c>
      <c r="T13" s="45">
        <v>40.4</v>
      </c>
      <c r="U13" s="45">
        <v>40.4</v>
      </c>
      <c r="V13" s="45">
        <v>40.4</v>
      </c>
      <c r="W13" s="45">
        <v>40.4</v>
      </c>
      <c r="X13" s="45">
        <v>40.4</v>
      </c>
      <c r="Y13" s="45">
        <v>40.4</v>
      </c>
      <c r="Z13" s="45">
        <v>40.4</v>
      </c>
      <c r="AA13" s="45">
        <v>40.4</v>
      </c>
      <c r="AB13" s="45">
        <v>40.4</v>
      </c>
      <c r="AC13" s="45">
        <v>40.700000000000003</v>
      </c>
      <c r="AD13" s="45">
        <v>41.4</v>
      </c>
      <c r="AE13" s="45">
        <v>41.4</v>
      </c>
      <c r="AF13" s="45">
        <v>41.4</v>
      </c>
      <c r="AG13" s="51">
        <v>45</v>
      </c>
      <c r="AH13" s="48">
        <f t="shared" si="2"/>
        <v>41.4</v>
      </c>
      <c r="AI13" s="49">
        <f t="shared" si="3"/>
        <v>30.6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17</v>
      </c>
      <c r="C14" s="45">
        <v>17</v>
      </c>
      <c r="D14" s="45">
        <v>17</v>
      </c>
      <c r="E14" s="45">
        <v>17</v>
      </c>
      <c r="F14" s="45">
        <v>17</v>
      </c>
      <c r="G14" s="45">
        <v>17</v>
      </c>
      <c r="H14" s="45">
        <v>17</v>
      </c>
      <c r="I14" s="45">
        <v>17</v>
      </c>
      <c r="J14" s="45">
        <v>31.1</v>
      </c>
      <c r="K14" s="45">
        <v>31</v>
      </c>
      <c r="L14" s="45">
        <v>31</v>
      </c>
      <c r="M14" s="45">
        <v>31</v>
      </c>
      <c r="N14" s="45">
        <v>31</v>
      </c>
      <c r="O14" s="45">
        <v>31</v>
      </c>
      <c r="P14" s="45">
        <v>31</v>
      </c>
      <c r="Q14" s="45">
        <v>20</v>
      </c>
      <c r="R14" s="45">
        <v>21</v>
      </c>
      <c r="S14" s="45">
        <v>27</v>
      </c>
      <c r="T14" s="45">
        <v>29</v>
      </c>
      <c r="U14" s="45">
        <v>29</v>
      </c>
      <c r="V14" s="45">
        <v>30</v>
      </c>
      <c r="W14" s="45">
        <v>30</v>
      </c>
      <c r="X14" s="45">
        <v>32</v>
      </c>
      <c r="Y14" s="45">
        <v>32</v>
      </c>
      <c r="Z14" s="45">
        <v>32</v>
      </c>
      <c r="AA14" s="45">
        <v>32</v>
      </c>
      <c r="AB14" s="45">
        <v>32</v>
      </c>
      <c r="AC14" s="45">
        <v>20</v>
      </c>
      <c r="AD14" s="45">
        <v>20</v>
      </c>
      <c r="AE14" s="45">
        <v>20</v>
      </c>
      <c r="AF14" s="45">
        <v>20</v>
      </c>
      <c r="AG14" s="51">
        <v>42</v>
      </c>
      <c r="AH14" s="48">
        <f t="shared" si="2"/>
        <v>32</v>
      </c>
      <c r="AI14" s="49">
        <f t="shared" si="3"/>
        <v>17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20.399999999999999</v>
      </c>
      <c r="L15" s="45">
        <v>28.8</v>
      </c>
      <c r="M15" s="45">
        <v>28.8</v>
      </c>
      <c r="N15" s="45">
        <v>20</v>
      </c>
      <c r="O15" s="45">
        <v>0</v>
      </c>
      <c r="P15" s="45">
        <v>5</v>
      </c>
      <c r="Q15" s="45">
        <v>5</v>
      </c>
      <c r="R15" s="45">
        <v>5</v>
      </c>
      <c r="S15" s="45">
        <v>0</v>
      </c>
      <c r="T15" s="45">
        <v>0</v>
      </c>
      <c r="U15" s="45">
        <v>0</v>
      </c>
      <c r="V15" s="45">
        <v>5.2</v>
      </c>
      <c r="W15" s="45">
        <v>5.2</v>
      </c>
      <c r="X15" s="45">
        <v>5.2</v>
      </c>
      <c r="Y15" s="45">
        <v>5.2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52">
        <v>30</v>
      </c>
      <c r="AH15" s="48">
        <f t="shared" si="2"/>
        <v>28.8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20.7</v>
      </c>
      <c r="C16" s="45">
        <v>20.7</v>
      </c>
      <c r="D16" s="45">
        <v>20.7</v>
      </c>
      <c r="E16" s="45">
        <v>20.7</v>
      </c>
      <c r="F16" s="45">
        <v>20.7</v>
      </c>
      <c r="G16" s="45">
        <v>20.7</v>
      </c>
      <c r="H16" s="45">
        <v>20.7</v>
      </c>
      <c r="I16" s="45">
        <v>20.7</v>
      </c>
      <c r="J16" s="45">
        <v>20.7</v>
      </c>
      <c r="K16" s="45">
        <v>20.7</v>
      </c>
      <c r="L16" s="45">
        <v>22.9</v>
      </c>
      <c r="M16" s="45">
        <v>22.9</v>
      </c>
      <c r="N16" s="45">
        <v>22.9</v>
      </c>
      <c r="O16" s="45">
        <v>22.9</v>
      </c>
      <c r="P16" s="45">
        <v>22.9</v>
      </c>
      <c r="Q16" s="45">
        <v>22.9</v>
      </c>
      <c r="R16" s="45">
        <v>22.9</v>
      </c>
      <c r="S16" s="45">
        <v>22.9</v>
      </c>
      <c r="T16" s="45">
        <v>21.2</v>
      </c>
      <c r="U16" s="45">
        <v>21.2</v>
      </c>
      <c r="V16" s="45">
        <v>21.3</v>
      </c>
      <c r="W16" s="45">
        <v>21.3</v>
      </c>
      <c r="X16" s="45">
        <v>21.3</v>
      </c>
      <c r="Y16" s="45">
        <v>21.3</v>
      </c>
      <c r="Z16" s="45">
        <v>22.5</v>
      </c>
      <c r="AA16" s="45">
        <v>22.5</v>
      </c>
      <c r="AB16" s="45">
        <v>23</v>
      </c>
      <c r="AC16" s="45">
        <v>25.3</v>
      </c>
      <c r="AD16" s="45">
        <v>25.3</v>
      </c>
      <c r="AE16" s="45">
        <v>21.9</v>
      </c>
      <c r="AF16" s="45">
        <v>21.8</v>
      </c>
      <c r="AG16" s="51">
        <v>24.2</v>
      </c>
      <c r="AH16" s="48">
        <f t="shared" si="2"/>
        <v>25.3</v>
      </c>
      <c r="AI16" s="49">
        <f t="shared" si="3"/>
        <v>20.7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20</v>
      </c>
      <c r="L17" s="45">
        <v>27</v>
      </c>
      <c r="M17" s="45">
        <v>27</v>
      </c>
      <c r="N17" s="45">
        <v>15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9</v>
      </c>
      <c r="U17" s="45">
        <v>0</v>
      </c>
      <c r="V17" s="45">
        <v>4</v>
      </c>
      <c r="W17" s="45">
        <v>5</v>
      </c>
      <c r="X17" s="45">
        <v>4</v>
      </c>
      <c r="Y17" s="45">
        <v>4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52">
        <v>30</v>
      </c>
      <c r="AH17" s="48">
        <f t="shared" si="2"/>
        <v>27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20.3</v>
      </c>
      <c r="C18" s="45">
        <v>20.3</v>
      </c>
      <c r="D18" s="45">
        <v>20.3</v>
      </c>
      <c r="E18" s="45">
        <v>20.3</v>
      </c>
      <c r="F18" s="45">
        <v>20.3</v>
      </c>
      <c r="G18" s="45">
        <v>20.3</v>
      </c>
      <c r="H18" s="45">
        <v>20.3</v>
      </c>
      <c r="I18" s="45">
        <v>20.3</v>
      </c>
      <c r="J18" s="45">
        <v>20.3</v>
      </c>
      <c r="K18" s="45">
        <v>24.3</v>
      </c>
      <c r="L18" s="45">
        <v>24.6</v>
      </c>
      <c r="M18" s="45">
        <v>24.6</v>
      </c>
      <c r="N18" s="45">
        <v>24.6</v>
      </c>
      <c r="O18" s="45">
        <v>24.6</v>
      </c>
      <c r="P18" s="45">
        <v>24.6</v>
      </c>
      <c r="Q18" s="45">
        <v>24.6</v>
      </c>
      <c r="R18" s="45">
        <v>24.6</v>
      </c>
      <c r="S18" s="45">
        <v>24.6</v>
      </c>
      <c r="T18" s="45">
        <v>24.2</v>
      </c>
      <c r="U18" s="45">
        <v>24.2</v>
      </c>
      <c r="V18" s="45">
        <v>24.3</v>
      </c>
      <c r="W18" s="45">
        <v>24.3</v>
      </c>
      <c r="X18" s="45">
        <v>24.3</v>
      </c>
      <c r="Y18" s="45">
        <v>24.3</v>
      </c>
      <c r="Z18" s="45">
        <v>24.3</v>
      </c>
      <c r="AA18" s="45">
        <v>24.3</v>
      </c>
      <c r="AB18" s="45">
        <v>24.3</v>
      </c>
      <c r="AC18" s="45">
        <v>24.1</v>
      </c>
      <c r="AD18" s="45">
        <v>24.1</v>
      </c>
      <c r="AE18" s="45">
        <v>24.1</v>
      </c>
      <c r="AF18" s="45">
        <v>24.1</v>
      </c>
      <c r="AG18" s="51">
        <v>25</v>
      </c>
      <c r="AH18" s="48">
        <f t="shared" si="2"/>
        <v>24.6</v>
      </c>
      <c r="AI18" s="49">
        <f t="shared" si="3"/>
        <v>20.3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25</v>
      </c>
      <c r="C19" s="45">
        <v>25</v>
      </c>
      <c r="D19" s="45">
        <v>25</v>
      </c>
      <c r="E19" s="45">
        <v>25</v>
      </c>
      <c r="F19" s="45">
        <v>25</v>
      </c>
      <c r="G19" s="45">
        <v>25</v>
      </c>
      <c r="H19" s="45">
        <v>25</v>
      </c>
      <c r="I19" s="45">
        <v>25</v>
      </c>
      <c r="J19" s="45">
        <v>25</v>
      </c>
      <c r="K19" s="45">
        <v>25</v>
      </c>
      <c r="L19" s="45">
        <v>25</v>
      </c>
      <c r="M19" s="45">
        <v>25</v>
      </c>
      <c r="N19" s="45">
        <v>25</v>
      </c>
      <c r="O19" s="45">
        <v>25</v>
      </c>
      <c r="P19" s="45">
        <v>25</v>
      </c>
      <c r="Q19" s="45">
        <v>25</v>
      </c>
      <c r="R19" s="45">
        <v>25</v>
      </c>
      <c r="S19" s="45">
        <v>25</v>
      </c>
      <c r="T19" s="45">
        <v>25</v>
      </c>
      <c r="U19" s="45">
        <v>25</v>
      </c>
      <c r="V19" s="45">
        <v>25</v>
      </c>
      <c r="W19" s="45">
        <v>25</v>
      </c>
      <c r="X19" s="45">
        <v>25</v>
      </c>
      <c r="Y19" s="45">
        <v>25</v>
      </c>
      <c r="Z19" s="45">
        <v>25</v>
      </c>
      <c r="AA19" s="45">
        <v>25</v>
      </c>
      <c r="AB19" s="45">
        <v>25</v>
      </c>
      <c r="AC19" s="45">
        <v>25</v>
      </c>
      <c r="AD19" s="45">
        <v>25</v>
      </c>
      <c r="AE19" s="45">
        <v>25</v>
      </c>
      <c r="AF19" s="45">
        <v>25</v>
      </c>
      <c r="AG19" s="51">
        <v>25</v>
      </c>
      <c r="AH19" s="48">
        <f t="shared" si="2"/>
        <v>25</v>
      </c>
      <c r="AI19" s="49">
        <f t="shared" si="3"/>
        <v>25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15</v>
      </c>
      <c r="C20" s="45">
        <v>15</v>
      </c>
      <c r="D20" s="45">
        <v>15</v>
      </c>
      <c r="E20" s="45">
        <v>15</v>
      </c>
      <c r="F20" s="45">
        <v>15</v>
      </c>
      <c r="G20" s="45">
        <v>15</v>
      </c>
      <c r="H20" s="45">
        <v>15</v>
      </c>
      <c r="I20" s="45">
        <v>15</v>
      </c>
      <c r="J20" s="45">
        <v>15</v>
      </c>
      <c r="K20" s="45">
        <v>21</v>
      </c>
      <c r="L20" s="45">
        <v>21</v>
      </c>
      <c r="M20" s="45">
        <v>21</v>
      </c>
      <c r="N20" s="45">
        <v>21</v>
      </c>
      <c r="O20" s="45">
        <v>21</v>
      </c>
      <c r="P20" s="45">
        <v>21</v>
      </c>
      <c r="Q20" s="45">
        <v>21</v>
      </c>
      <c r="R20" s="45">
        <v>21</v>
      </c>
      <c r="S20" s="45">
        <v>21</v>
      </c>
      <c r="T20" s="45">
        <v>21</v>
      </c>
      <c r="U20" s="45">
        <v>21</v>
      </c>
      <c r="V20" s="45">
        <v>21</v>
      </c>
      <c r="W20" s="45">
        <v>21</v>
      </c>
      <c r="X20" s="45">
        <v>21</v>
      </c>
      <c r="Y20" s="45">
        <v>21</v>
      </c>
      <c r="Z20" s="45">
        <v>21</v>
      </c>
      <c r="AA20" s="45">
        <v>21</v>
      </c>
      <c r="AB20" s="45">
        <v>21</v>
      </c>
      <c r="AC20" s="45">
        <v>21</v>
      </c>
      <c r="AD20" s="45">
        <v>21</v>
      </c>
      <c r="AE20" s="45">
        <v>21</v>
      </c>
      <c r="AF20" s="45">
        <v>21</v>
      </c>
      <c r="AG20" s="51">
        <v>25</v>
      </c>
      <c r="AH20" s="48">
        <f t="shared" si="2"/>
        <v>21</v>
      </c>
      <c r="AI20" s="49">
        <f t="shared" si="3"/>
        <v>15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20.5</v>
      </c>
      <c r="C21" s="45">
        <v>20.5</v>
      </c>
      <c r="D21" s="45">
        <v>20.5</v>
      </c>
      <c r="E21" s="45">
        <v>19.7</v>
      </c>
      <c r="F21" s="45">
        <v>19.7</v>
      </c>
      <c r="G21" s="45">
        <v>19.7</v>
      </c>
      <c r="H21" s="45">
        <v>19.7</v>
      </c>
      <c r="I21" s="45">
        <v>19.7</v>
      </c>
      <c r="J21" s="45">
        <v>19.7</v>
      </c>
      <c r="K21" s="45">
        <v>20.2</v>
      </c>
      <c r="L21" s="45">
        <v>20.2</v>
      </c>
      <c r="M21" s="45">
        <v>20.2</v>
      </c>
      <c r="N21" s="45">
        <v>20.2</v>
      </c>
      <c r="O21" s="45">
        <v>20.2</v>
      </c>
      <c r="P21" s="45">
        <v>20.2</v>
      </c>
      <c r="Q21" s="45">
        <v>20.2</v>
      </c>
      <c r="R21" s="45">
        <v>20.2</v>
      </c>
      <c r="S21" s="45">
        <v>20.2</v>
      </c>
      <c r="T21" s="45">
        <v>20.2</v>
      </c>
      <c r="U21" s="45">
        <v>20.2</v>
      </c>
      <c r="V21" s="45">
        <v>19</v>
      </c>
      <c r="W21" s="45">
        <v>19</v>
      </c>
      <c r="X21" s="45">
        <v>19</v>
      </c>
      <c r="Y21" s="45">
        <v>19</v>
      </c>
      <c r="Z21" s="45">
        <v>19</v>
      </c>
      <c r="AA21" s="45">
        <v>19</v>
      </c>
      <c r="AB21" s="45">
        <v>19</v>
      </c>
      <c r="AC21" s="45">
        <v>19</v>
      </c>
      <c r="AD21" s="45">
        <v>19</v>
      </c>
      <c r="AE21" s="45">
        <v>19</v>
      </c>
      <c r="AF21" s="45">
        <v>19</v>
      </c>
      <c r="AG21" s="51">
        <v>23.5</v>
      </c>
      <c r="AH21" s="48">
        <f t="shared" si="2"/>
        <v>20.5</v>
      </c>
      <c r="AI21" s="49">
        <f t="shared" si="3"/>
        <v>19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13</v>
      </c>
      <c r="C22" s="45">
        <v>13</v>
      </c>
      <c r="D22" s="45">
        <v>13</v>
      </c>
      <c r="E22" s="45">
        <v>13</v>
      </c>
      <c r="F22" s="45">
        <v>13</v>
      </c>
      <c r="G22" s="45">
        <v>13</v>
      </c>
      <c r="H22" s="45">
        <v>13</v>
      </c>
      <c r="I22" s="45">
        <v>13</v>
      </c>
      <c r="J22" s="45">
        <v>13</v>
      </c>
      <c r="K22" s="45">
        <v>13</v>
      </c>
      <c r="L22" s="45">
        <v>13</v>
      </c>
      <c r="M22" s="45">
        <v>13</v>
      </c>
      <c r="N22" s="45">
        <v>13</v>
      </c>
      <c r="O22" s="45">
        <v>13</v>
      </c>
      <c r="P22" s="45">
        <v>13</v>
      </c>
      <c r="Q22" s="45">
        <v>13</v>
      </c>
      <c r="R22" s="45">
        <v>13</v>
      </c>
      <c r="S22" s="45">
        <v>13</v>
      </c>
      <c r="T22" s="45">
        <v>13</v>
      </c>
      <c r="U22" s="45">
        <v>13</v>
      </c>
      <c r="V22" s="45">
        <v>13</v>
      </c>
      <c r="W22" s="45">
        <v>13</v>
      </c>
      <c r="X22" s="45">
        <v>13</v>
      </c>
      <c r="Y22" s="45">
        <v>13</v>
      </c>
      <c r="Z22" s="45">
        <v>13</v>
      </c>
      <c r="AA22" s="45">
        <v>13</v>
      </c>
      <c r="AB22" s="45">
        <v>13</v>
      </c>
      <c r="AC22" s="45">
        <v>13</v>
      </c>
      <c r="AD22" s="45">
        <v>13</v>
      </c>
      <c r="AE22" s="45">
        <v>13</v>
      </c>
      <c r="AF22" s="45">
        <v>13</v>
      </c>
      <c r="AG22" s="51">
        <v>22.2</v>
      </c>
      <c r="AH22" s="48">
        <f t="shared" si="2"/>
        <v>13</v>
      </c>
      <c r="AI22" s="49">
        <f t="shared" si="3"/>
        <v>13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18</v>
      </c>
      <c r="C23" s="45">
        <v>18</v>
      </c>
      <c r="D23" s="45">
        <v>18</v>
      </c>
      <c r="E23" s="45">
        <v>18</v>
      </c>
      <c r="F23" s="45">
        <v>18</v>
      </c>
      <c r="G23" s="45">
        <v>18</v>
      </c>
      <c r="H23" s="45">
        <v>18</v>
      </c>
      <c r="I23" s="45">
        <v>18</v>
      </c>
      <c r="J23" s="45">
        <v>18</v>
      </c>
      <c r="K23" s="45">
        <v>18</v>
      </c>
      <c r="L23" s="45">
        <v>18</v>
      </c>
      <c r="M23" s="45">
        <v>18</v>
      </c>
      <c r="N23" s="45">
        <v>18</v>
      </c>
      <c r="O23" s="45">
        <v>18</v>
      </c>
      <c r="P23" s="45">
        <v>18</v>
      </c>
      <c r="Q23" s="45">
        <v>18</v>
      </c>
      <c r="R23" s="45">
        <v>18</v>
      </c>
      <c r="S23" s="45">
        <v>18</v>
      </c>
      <c r="T23" s="45">
        <v>18</v>
      </c>
      <c r="U23" s="45">
        <v>18</v>
      </c>
      <c r="V23" s="45">
        <v>18</v>
      </c>
      <c r="W23" s="45">
        <v>18</v>
      </c>
      <c r="X23" s="45">
        <v>18</v>
      </c>
      <c r="Y23" s="45">
        <v>18</v>
      </c>
      <c r="Z23" s="45">
        <v>18</v>
      </c>
      <c r="AA23" s="45">
        <v>18</v>
      </c>
      <c r="AB23" s="45">
        <v>18</v>
      </c>
      <c r="AC23" s="45">
        <v>18</v>
      </c>
      <c r="AD23" s="45">
        <v>18</v>
      </c>
      <c r="AE23" s="45">
        <v>18</v>
      </c>
      <c r="AF23" s="45">
        <v>18</v>
      </c>
      <c r="AG23" s="51">
        <v>22.1</v>
      </c>
      <c r="AH23" s="48">
        <f t="shared" si="2"/>
        <v>18</v>
      </c>
      <c r="AI23" s="49">
        <f t="shared" si="3"/>
        <v>18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18</v>
      </c>
      <c r="C24" s="45">
        <v>18</v>
      </c>
      <c r="D24" s="45">
        <v>18</v>
      </c>
      <c r="E24" s="45">
        <v>18</v>
      </c>
      <c r="F24" s="45">
        <v>18</v>
      </c>
      <c r="G24" s="45">
        <v>18</v>
      </c>
      <c r="H24" s="45">
        <v>18</v>
      </c>
      <c r="I24" s="45">
        <v>18</v>
      </c>
      <c r="J24" s="45">
        <v>18</v>
      </c>
      <c r="K24" s="45">
        <v>18</v>
      </c>
      <c r="L24" s="45">
        <v>18</v>
      </c>
      <c r="M24" s="45">
        <v>18</v>
      </c>
      <c r="N24" s="45">
        <v>18</v>
      </c>
      <c r="O24" s="45">
        <v>18</v>
      </c>
      <c r="P24" s="45">
        <v>18</v>
      </c>
      <c r="Q24" s="45">
        <v>18</v>
      </c>
      <c r="R24" s="45">
        <v>18</v>
      </c>
      <c r="S24" s="45">
        <v>18</v>
      </c>
      <c r="T24" s="45">
        <v>18</v>
      </c>
      <c r="U24" s="45">
        <v>18</v>
      </c>
      <c r="V24" s="45">
        <v>14</v>
      </c>
      <c r="W24" s="45">
        <v>14</v>
      </c>
      <c r="X24" s="45">
        <v>14</v>
      </c>
      <c r="Y24" s="45">
        <v>14</v>
      </c>
      <c r="Z24" s="45">
        <v>14</v>
      </c>
      <c r="AA24" s="45">
        <v>14</v>
      </c>
      <c r="AB24" s="45">
        <v>14</v>
      </c>
      <c r="AC24" s="45">
        <v>14</v>
      </c>
      <c r="AD24" s="45">
        <v>14</v>
      </c>
      <c r="AE24" s="45">
        <v>14</v>
      </c>
      <c r="AF24" s="45">
        <v>14</v>
      </c>
      <c r="AG24" s="51">
        <v>22</v>
      </c>
      <c r="AH24" s="48">
        <f t="shared" si="2"/>
        <v>18</v>
      </c>
      <c r="AI24" s="49">
        <f t="shared" si="3"/>
        <v>14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18</v>
      </c>
      <c r="C25" s="45">
        <v>18</v>
      </c>
      <c r="D25" s="45">
        <v>18</v>
      </c>
      <c r="E25" s="45">
        <v>18</v>
      </c>
      <c r="F25" s="45">
        <v>18</v>
      </c>
      <c r="G25" s="45">
        <v>18</v>
      </c>
      <c r="H25" s="45">
        <v>18</v>
      </c>
      <c r="I25" s="45">
        <v>18</v>
      </c>
      <c r="J25" s="45">
        <v>18</v>
      </c>
      <c r="K25" s="45">
        <v>18</v>
      </c>
      <c r="L25" s="45">
        <v>18</v>
      </c>
      <c r="M25" s="45">
        <v>18</v>
      </c>
      <c r="N25" s="45">
        <v>18</v>
      </c>
      <c r="O25" s="45">
        <v>18</v>
      </c>
      <c r="P25" s="45">
        <v>18</v>
      </c>
      <c r="Q25" s="45">
        <v>18</v>
      </c>
      <c r="R25" s="45">
        <v>18</v>
      </c>
      <c r="S25" s="45">
        <v>18</v>
      </c>
      <c r="T25" s="45">
        <v>18</v>
      </c>
      <c r="U25" s="45">
        <v>18</v>
      </c>
      <c r="V25" s="45">
        <v>18</v>
      </c>
      <c r="W25" s="45">
        <v>18</v>
      </c>
      <c r="X25" s="45">
        <v>18</v>
      </c>
      <c r="Y25" s="45">
        <v>18</v>
      </c>
      <c r="Z25" s="45">
        <v>18</v>
      </c>
      <c r="AA25" s="45">
        <v>18</v>
      </c>
      <c r="AB25" s="45">
        <v>18</v>
      </c>
      <c r="AC25" s="45">
        <v>18</v>
      </c>
      <c r="AD25" s="45">
        <v>18</v>
      </c>
      <c r="AE25" s="45">
        <v>18</v>
      </c>
      <c r="AF25" s="45">
        <v>18</v>
      </c>
      <c r="AG25" s="51">
        <v>22</v>
      </c>
      <c r="AH25" s="48">
        <f t="shared" si="2"/>
        <v>18</v>
      </c>
      <c r="AI25" s="49">
        <f t="shared" si="3"/>
        <v>18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5</v>
      </c>
      <c r="K26" s="45">
        <v>10</v>
      </c>
      <c r="L26" s="45">
        <v>10</v>
      </c>
      <c r="M26" s="45">
        <v>10</v>
      </c>
      <c r="N26" s="45">
        <v>10</v>
      </c>
      <c r="O26" s="45">
        <v>10</v>
      </c>
      <c r="P26" s="45">
        <v>10</v>
      </c>
      <c r="Q26" s="45">
        <v>10</v>
      </c>
      <c r="R26" s="45">
        <v>10</v>
      </c>
      <c r="S26" s="45">
        <v>0</v>
      </c>
      <c r="T26" s="45">
        <v>10</v>
      </c>
      <c r="U26" s="45">
        <v>0</v>
      </c>
      <c r="V26" s="45">
        <v>0</v>
      </c>
      <c r="W26" s="45">
        <v>0</v>
      </c>
      <c r="X26" s="45">
        <v>10</v>
      </c>
      <c r="Y26" s="45">
        <v>10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11</v>
      </c>
      <c r="C27" s="45">
        <v>11</v>
      </c>
      <c r="D27" s="45">
        <v>11</v>
      </c>
      <c r="E27" s="45">
        <v>11</v>
      </c>
      <c r="F27" s="45">
        <v>11</v>
      </c>
      <c r="G27" s="45">
        <v>11</v>
      </c>
      <c r="H27" s="45">
        <v>11</v>
      </c>
      <c r="I27" s="45">
        <v>11</v>
      </c>
      <c r="J27" s="45">
        <v>11</v>
      </c>
      <c r="K27" s="45">
        <v>11</v>
      </c>
      <c r="L27" s="45">
        <v>11</v>
      </c>
      <c r="M27" s="45">
        <v>11</v>
      </c>
      <c r="N27" s="45">
        <v>11</v>
      </c>
      <c r="O27" s="45">
        <v>11</v>
      </c>
      <c r="P27" s="45">
        <v>11</v>
      </c>
      <c r="Q27" s="45">
        <v>11</v>
      </c>
      <c r="R27" s="45">
        <v>11</v>
      </c>
      <c r="S27" s="45">
        <v>11</v>
      </c>
      <c r="T27" s="45">
        <v>11</v>
      </c>
      <c r="U27" s="45">
        <v>11</v>
      </c>
      <c r="V27" s="45">
        <v>11</v>
      </c>
      <c r="W27" s="45">
        <v>11</v>
      </c>
      <c r="X27" s="45">
        <v>11</v>
      </c>
      <c r="Y27" s="45">
        <v>11</v>
      </c>
      <c r="Z27" s="45">
        <v>11</v>
      </c>
      <c r="AA27" s="45">
        <v>11</v>
      </c>
      <c r="AB27" s="45">
        <v>11</v>
      </c>
      <c r="AC27" s="45">
        <v>11</v>
      </c>
      <c r="AD27" s="45">
        <v>11</v>
      </c>
      <c r="AE27" s="45">
        <v>11</v>
      </c>
      <c r="AF27" s="45">
        <v>11</v>
      </c>
      <c r="AG27" s="51">
        <v>14.9</v>
      </c>
      <c r="AH27" s="48">
        <f t="shared" si="2"/>
        <v>11</v>
      </c>
      <c r="AI27" s="49">
        <f t="shared" si="3"/>
        <v>11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4</v>
      </c>
      <c r="C28" s="45">
        <v>4</v>
      </c>
      <c r="D28" s="45">
        <v>4</v>
      </c>
      <c r="E28" s="45">
        <v>4</v>
      </c>
      <c r="F28" s="45">
        <v>4</v>
      </c>
      <c r="G28" s="45">
        <v>4</v>
      </c>
      <c r="H28" s="45">
        <v>4</v>
      </c>
      <c r="I28" s="45">
        <v>4</v>
      </c>
      <c r="J28" s="45">
        <v>4</v>
      </c>
      <c r="K28" s="45">
        <v>4</v>
      </c>
      <c r="L28" s="45">
        <v>4</v>
      </c>
      <c r="M28" s="45">
        <v>4</v>
      </c>
      <c r="N28" s="45">
        <v>4</v>
      </c>
      <c r="O28" s="45">
        <v>4</v>
      </c>
      <c r="P28" s="45">
        <v>4</v>
      </c>
      <c r="Q28" s="45">
        <v>4</v>
      </c>
      <c r="R28" s="45">
        <v>4</v>
      </c>
      <c r="S28" s="45">
        <v>4</v>
      </c>
      <c r="T28" s="45">
        <v>4</v>
      </c>
      <c r="U28" s="45">
        <v>4</v>
      </c>
      <c r="V28" s="45">
        <v>4</v>
      </c>
      <c r="W28" s="45">
        <v>4</v>
      </c>
      <c r="X28" s="45">
        <v>4</v>
      </c>
      <c r="Y28" s="45">
        <v>4</v>
      </c>
      <c r="Z28" s="45">
        <v>4</v>
      </c>
      <c r="AA28" s="45">
        <v>4</v>
      </c>
      <c r="AB28" s="45">
        <v>4</v>
      </c>
      <c r="AC28" s="45">
        <v>4</v>
      </c>
      <c r="AD28" s="45">
        <v>4</v>
      </c>
      <c r="AE28" s="45">
        <v>4</v>
      </c>
      <c r="AF28" s="45">
        <v>4</v>
      </c>
      <c r="AG28" s="51">
        <v>13.6</v>
      </c>
      <c r="AH28" s="48">
        <f t="shared" si="2"/>
        <v>4</v>
      </c>
      <c r="AI28" s="49">
        <f t="shared" si="3"/>
        <v>4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12</v>
      </c>
      <c r="C29" s="45">
        <v>12</v>
      </c>
      <c r="D29" s="45">
        <v>12</v>
      </c>
      <c r="E29" s="45">
        <v>12</v>
      </c>
      <c r="F29" s="45">
        <v>12</v>
      </c>
      <c r="G29" s="45">
        <v>12</v>
      </c>
      <c r="H29" s="45">
        <v>12</v>
      </c>
      <c r="I29" s="45">
        <v>12</v>
      </c>
      <c r="J29" s="45">
        <v>12</v>
      </c>
      <c r="K29" s="45">
        <v>12</v>
      </c>
      <c r="L29" s="45">
        <v>12</v>
      </c>
      <c r="M29" s="45">
        <v>12</v>
      </c>
      <c r="N29" s="45">
        <v>12</v>
      </c>
      <c r="O29" s="45">
        <v>12</v>
      </c>
      <c r="P29" s="45">
        <v>12</v>
      </c>
      <c r="Q29" s="45">
        <v>12</v>
      </c>
      <c r="R29" s="45">
        <v>12</v>
      </c>
      <c r="S29" s="45">
        <v>12</v>
      </c>
      <c r="T29" s="45">
        <v>12</v>
      </c>
      <c r="U29" s="45">
        <v>12</v>
      </c>
      <c r="V29" s="45">
        <v>12</v>
      </c>
      <c r="W29" s="45">
        <v>12</v>
      </c>
      <c r="X29" s="45">
        <v>12</v>
      </c>
      <c r="Y29" s="45">
        <v>12</v>
      </c>
      <c r="Z29" s="45">
        <v>12</v>
      </c>
      <c r="AA29" s="45">
        <v>12</v>
      </c>
      <c r="AB29" s="45">
        <v>12</v>
      </c>
      <c r="AC29" s="45">
        <v>12</v>
      </c>
      <c r="AD29" s="45">
        <v>12</v>
      </c>
      <c r="AE29" s="45">
        <v>12</v>
      </c>
      <c r="AF29" s="45">
        <v>12</v>
      </c>
      <c r="AG29" s="51">
        <v>13</v>
      </c>
      <c r="AH29" s="48">
        <f t="shared" si="2"/>
        <v>12</v>
      </c>
      <c r="AI29" s="49">
        <f t="shared" si="3"/>
        <v>12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6</v>
      </c>
      <c r="L30" s="45">
        <v>12</v>
      </c>
      <c r="M30" s="45">
        <v>12</v>
      </c>
      <c r="N30" s="45">
        <v>12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4</v>
      </c>
      <c r="W30" s="45">
        <v>6</v>
      </c>
      <c r="X30" s="45">
        <v>6</v>
      </c>
      <c r="Y30" s="45">
        <v>6</v>
      </c>
      <c r="Z30" s="45">
        <v>6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51">
        <v>12</v>
      </c>
      <c r="AH30" s="48">
        <f t="shared" si="2"/>
        <v>12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12</v>
      </c>
      <c r="C31" s="45">
        <v>12</v>
      </c>
      <c r="D31" s="45">
        <v>12</v>
      </c>
      <c r="E31" s="45">
        <v>12</v>
      </c>
      <c r="F31" s="45">
        <v>12</v>
      </c>
      <c r="G31" s="45">
        <v>12</v>
      </c>
      <c r="H31" s="45">
        <v>12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2"/>
        <v>12</v>
      </c>
      <c r="AI31" s="49">
        <f t="shared" si="3"/>
        <v>12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12</v>
      </c>
      <c r="Y32" s="45">
        <v>12</v>
      </c>
      <c r="Z32" s="45">
        <v>12</v>
      </c>
      <c r="AA32" s="45">
        <v>12</v>
      </c>
      <c r="AB32" s="45">
        <v>12</v>
      </c>
      <c r="AC32" s="45">
        <v>12</v>
      </c>
      <c r="AD32" s="45">
        <v>12</v>
      </c>
      <c r="AE32" s="45">
        <v>12</v>
      </c>
      <c r="AF32" s="45">
        <v>12</v>
      </c>
      <c r="AG32" s="51">
        <v>12</v>
      </c>
      <c r="AH32" s="48">
        <f t="shared" si="2"/>
        <v>12</v>
      </c>
      <c r="AI32" s="49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8</v>
      </c>
      <c r="C33" s="45">
        <v>8</v>
      </c>
      <c r="D33" s="45">
        <v>8</v>
      </c>
      <c r="E33" s="45">
        <v>8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3">
        <v>22</v>
      </c>
      <c r="AH33" s="48">
        <f t="shared" si="2"/>
        <v>8</v>
      </c>
      <c r="AI33" s="49">
        <f t="shared" si="3"/>
        <v>8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11</v>
      </c>
      <c r="C34" s="45">
        <v>11</v>
      </c>
      <c r="D34" s="45">
        <v>11</v>
      </c>
      <c r="E34" s="45">
        <v>11</v>
      </c>
      <c r="F34" s="45">
        <v>11</v>
      </c>
      <c r="G34" s="45">
        <v>11</v>
      </c>
      <c r="H34" s="45">
        <v>11</v>
      </c>
      <c r="I34" s="45">
        <v>11</v>
      </c>
      <c r="J34" s="45">
        <v>11</v>
      </c>
      <c r="K34" s="45">
        <v>11</v>
      </c>
      <c r="L34" s="45">
        <v>11</v>
      </c>
      <c r="M34" s="45">
        <v>11</v>
      </c>
      <c r="N34" s="45">
        <v>11</v>
      </c>
      <c r="O34" s="45">
        <v>11</v>
      </c>
      <c r="P34" s="45">
        <v>11</v>
      </c>
      <c r="Q34" s="45">
        <v>11</v>
      </c>
      <c r="R34" s="45">
        <v>11</v>
      </c>
      <c r="S34" s="45">
        <v>11</v>
      </c>
      <c r="T34" s="45">
        <v>11</v>
      </c>
      <c r="U34" s="45">
        <v>11</v>
      </c>
      <c r="V34" s="45">
        <v>11</v>
      </c>
      <c r="W34" s="45">
        <v>11</v>
      </c>
      <c r="X34" s="45">
        <v>11</v>
      </c>
      <c r="Y34" s="45">
        <v>11</v>
      </c>
      <c r="Z34" s="45">
        <v>11</v>
      </c>
      <c r="AA34" s="45">
        <v>11</v>
      </c>
      <c r="AB34" s="45">
        <v>11</v>
      </c>
      <c r="AC34" s="45">
        <v>11</v>
      </c>
      <c r="AD34" s="45">
        <v>11</v>
      </c>
      <c r="AE34" s="45">
        <v>11</v>
      </c>
      <c r="AF34" s="45">
        <v>11</v>
      </c>
      <c r="AG34" s="52">
        <v>11.88</v>
      </c>
      <c r="AH34" s="48">
        <f t="shared" si="2"/>
        <v>11</v>
      </c>
      <c r="AI34" s="49">
        <f t="shared" si="3"/>
        <v>11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9</v>
      </c>
      <c r="C35" s="45">
        <v>9</v>
      </c>
      <c r="D35" s="45">
        <v>9</v>
      </c>
      <c r="E35" s="45">
        <v>9</v>
      </c>
      <c r="F35" s="45">
        <v>9</v>
      </c>
      <c r="G35" s="45">
        <v>9</v>
      </c>
      <c r="H35" s="45">
        <v>9</v>
      </c>
      <c r="I35" s="45">
        <v>9</v>
      </c>
      <c r="J35" s="45">
        <v>9</v>
      </c>
      <c r="K35" s="45">
        <v>9</v>
      </c>
      <c r="L35" s="45">
        <v>9</v>
      </c>
      <c r="M35" s="45">
        <v>9</v>
      </c>
      <c r="N35" s="45">
        <v>9</v>
      </c>
      <c r="O35" s="45">
        <v>9</v>
      </c>
      <c r="P35" s="45">
        <v>9</v>
      </c>
      <c r="Q35" s="45">
        <v>9</v>
      </c>
      <c r="R35" s="45">
        <v>9</v>
      </c>
      <c r="S35" s="45">
        <v>9</v>
      </c>
      <c r="T35" s="45">
        <v>9</v>
      </c>
      <c r="U35" s="45">
        <v>9</v>
      </c>
      <c r="V35" s="45">
        <v>9</v>
      </c>
      <c r="W35" s="45">
        <v>9</v>
      </c>
      <c r="X35" s="45">
        <v>9</v>
      </c>
      <c r="Y35" s="45">
        <v>9</v>
      </c>
      <c r="Z35" s="45">
        <v>9</v>
      </c>
      <c r="AA35" s="45">
        <v>9</v>
      </c>
      <c r="AB35" s="45">
        <v>9</v>
      </c>
      <c r="AC35" s="45">
        <v>9</v>
      </c>
      <c r="AD35" s="45">
        <v>9</v>
      </c>
      <c r="AE35" s="45">
        <v>9</v>
      </c>
      <c r="AF35" s="45">
        <v>9</v>
      </c>
      <c r="AG35" s="55">
        <v>11</v>
      </c>
      <c r="AH35" s="48">
        <f t="shared" si="2"/>
        <v>9</v>
      </c>
      <c r="AI35" s="49">
        <f t="shared" si="3"/>
        <v>9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5">
        <v>10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2</v>
      </c>
      <c r="T37" s="45">
        <v>2</v>
      </c>
      <c r="U37" s="45">
        <v>2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2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300</v>
      </c>
      <c r="C38" s="57">
        <v>300</v>
      </c>
      <c r="D38" s="57">
        <v>300</v>
      </c>
      <c r="E38" s="57">
        <v>300</v>
      </c>
      <c r="F38" s="57">
        <v>300</v>
      </c>
      <c r="G38" s="57">
        <v>300</v>
      </c>
      <c r="H38" s="57">
        <v>300</v>
      </c>
      <c r="I38" s="57">
        <v>300</v>
      </c>
      <c r="J38" s="57">
        <v>300</v>
      </c>
      <c r="K38" s="57">
        <v>300</v>
      </c>
      <c r="L38" s="57">
        <v>300</v>
      </c>
      <c r="M38" s="57">
        <v>300</v>
      </c>
      <c r="N38" s="57">
        <v>300</v>
      </c>
      <c r="O38" s="57">
        <v>300</v>
      </c>
      <c r="P38" s="57">
        <v>300</v>
      </c>
      <c r="Q38" s="57">
        <v>300</v>
      </c>
      <c r="R38" s="57">
        <v>300</v>
      </c>
      <c r="S38" s="57">
        <v>300</v>
      </c>
      <c r="T38" s="57">
        <v>300</v>
      </c>
      <c r="U38" s="57">
        <v>300</v>
      </c>
      <c r="V38" s="57">
        <v>300</v>
      </c>
      <c r="W38" s="57">
        <v>300</v>
      </c>
      <c r="X38" s="57">
        <v>300</v>
      </c>
      <c r="Y38" s="57">
        <v>300</v>
      </c>
      <c r="Z38" s="57">
        <v>300</v>
      </c>
      <c r="AA38" s="57">
        <v>300</v>
      </c>
      <c r="AB38" s="57">
        <v>300</v>
      </c>
      <c r="AC38" s="57">
        <v>300</v>
      </c>
      <c r="AD38" s="57">
        <v>300</v>
      </c>
      <c r="AE38" s="57">
        <v>300</v>
      </c>
      <c r="AF38" s="57">
        <v>300</v>
      </c>
      <c r="AG38" s="55">
        <v>85</v>
      </c>
      <c r="AH38" s="48">
        <f t="shared" si="2"/>
        <v>300</v>
      </c>
      <c r="AI38" s="49">
        <f t="shared" si="3"/>
        <v>300</v>
      </c>
      <c r="AK38" s="50"/>
    </row>
    <row r="39" spans="1:88" ht="15.75" thickBot="1" x14ac:dyDescent="0.3">
      <c r="A39" s="58" t="s">
        <v>47</v>
      </c>
      <c r="B39" s="59">
        <v>133</v>
      </c>
      <c r="C39" s="59">
        <v>133</v>
      </c>
      <c r="D39" s="59">
        <v>133</v>
      </c>
      <c r="E39" s="59">
        <f>59.3+74.6</f>
        <v>133.89999999999998</v>
      </c>
      <c r="F39" s="59">
        <f>59.1+72.6</f>
        <v>131.69999999999999</v>
      </c>
      <c r="G39" s="59">
        <f>59.1+74.2</f>
        <v>133.30000000000001</v>
      </c>
      <c r="H39" s="59">
        <f>58.9+73.9</f>
        <v>132.80000000000001</v>
      </c>
      <c r="I39" s="59">
        <f>55.8+74.7</f>
        <v>130.5</v>
      </c>
      <c r="J39" s="59">
        <f>55.8+74.7</f>
        <v>130.5</v>
      </c>
      <c r="K39" s="59">
        <f>58.7+75</f>
        <v>133.69999999999999</v>
      </c>
      <c r="L39" s="57">
        <f>58.6+74.4</f>
        <v>133</v>
      </c>
      <c r="M39" s="57">
        <f>58.1+73.8</f>
        <v>131.9</v>
      </c>
      <c r="N39" s="57">
        <f>59.1+71.1</f>
        <v>130.19999999999999</v>
      </c>
      <c r="O39" s="57">
        <f t="shared" ref="O39" si="4">59.1+71.1</f>
        <v>130.19999999999999</v>
      </c>
      <c r="P39" s="57">
        <f>59+69.8</f>
        <v>128.80000000000001</v>
      </c>
      <c r="Q39" s="57">
        <f>59+69.8</f>
        <v>128.80000000000001</v>
      </c>
      <c r="R39" s="57">
        <f>68.9+59.2</f>
        <v>128.10000000000002</v>
      </c>
      <c r="S39" s="59">
        <f>58.9+69.1</f>
        <v>128</v>
      </c>
      <c r="T39" s="59">
        <f>58.3+69.7</f>
        <v>128</v>
      </c>
      <c r="U39" s="59">
        <f>57.8+71.6</f>
        <v>129.39999999999998</v>
      </c>
      <c r="V39" s="59">
        <f>72.3+57.4</f>
        <v>129.69999999999999</v>
      </c>
      <c r="W39" s="59">
        <f>71.5+56.3</f>
        <v>127.8</v>
      </c>
      <c r="X39" s="59">
        <f>69.3+55.6</f>
        <v>124.9</v>
      </c>
      <c r="Y39" s="59">
        <f>56.1+68.8</f>
        <v>124.9</v>
      </c>
      <c r="Z39" s="59">
        <f>56.5+69.2</f>
        <v>125.7</v>
      </c>
      <c r="AA39" s="59">
        <f>55.3+69.8</f>
        <v>125.1</v>
      </c>
      <c r="AB39" s="59">
        <f>55+70.6</f>
        <v>125.6</v>
      </c>
      <c r="AC39" s="59">
        <f>55.2+71.1</f>
        <v>126.3</v>
      </c>
      <c r="AD39" s="59">
        <f>55.9+72.6</f>
        <v>128.5</v>
      </c>
      <c r="AE39" s="59">
        <f>59.1+72.4</f>
        <v>131.5</v>
      </c>
      <c r="AF39" s="59">
        <f t="shared" ref="AF39" si="5">55.9+72.6</f>
        <v>128.5</v>
      </c>
      <c r="AG39" s="55">
        <v>240</v>
      </c>
      <c r="AH39" s="48">
        <f t="shared" si="2"/>
        <v>133.89999999999998</v>
      </c>
      <c r="AI39" s="49">
        <f t="shared" si="3"/>
        <v>124.9</v>
      </c>
      <c r="AK39" s="50"/>
    </row>
    <row r="40" spans="1:88" ht="15.75" thickBot="1" x14ac:dyDescent="0.3">
      <c r="A40" s="60" t="s">
        <v>48</v>
      </c>
      <c r="B40" s="61">
        <f t="shared" ref="B40:AG40" si="6">SUM(B11:B38)</f>
        <v>694</v>
      </c>
      <c r="C40" s="61">
        <f t="shared" si="6"/>
        <v>694</v>
      </c>
      <c r="D40" s="61">
        <f t="shared" si="6"/>
        <v>694</v>
      </c>
      <c r="E40" s="61">
        <f t="shared" si="6"/>
        <v>685.1</v>
      </c>
      <c r="F40" s="61">
        <f t="shared" si="6"/>
        <v>685</v>
      </c>
      <c r="G40" s="61">
        <f t="shared" si="6"/>
        <v>685.2</v>
      </c>
      <c r="H40" s="61">
        <f t="shared" si="6"/>
        <v>685.4</v>
      </c>
      <c r="I40" s="61">
        <f t="shared" si="6"/>
        <v>685.4</v>
      </c>
      <c r="J40" s="61">
        <f t="shared" si="6"/>
        <v>714.4</v>
      </c>
      <c r="K40" s="61">
        <f t="shared" si="6"/>
        <v>775</v>
      </c>
      <c r="L40" s="61">
        <f t="shared" si="6"/>
        <v>799.5</v>
      </c>
      <c r="M40" s="61">
        <f t="shared" si="6"/>
        <v>799.6</v>
      </c>
      <c r="N40" s="61">
        <f t="shared" si="6"/>
        <v>778.8</v>
      </c>
      <c r="O40" s="61">
        <f t="shared" si="6"/>
        <v>731.8</v>
      </c>
      <c r="P40" s="61">
        <f t="shared" si="6"/>
        <v>736.8</v>
      </c>
      <c r="Q40" s="61">
        <f t="shared" si="6"/>
        <v>727.09999999999991</v>
      </c>
      <c r="R40" s="61">
        <f t="shared" si="6"/>
        <v>728.5</v>
      </c>
      <c r="S40" s="61">
        <f t="shared" si="6"/>
        <v>721.5</v>
      </c>
      <c r="T40" s="61">
        <f t="shared" si="6"/>
        <v>741.7</v>
      </c>
      <c r="U40" s="61">
        <f t="shared" si="6"/>
        <v>722.7</v>
      </c>
      <c r="V40" s="61">
        <f t="shared" si="6"/>
        <v>728.5</v>
      </c>
      <c r="W40" s="61">
        <f t="shared" si="6"/>
        <v>731.5</v>
      </c>
      <c r="X40" s="61">
        <f t="shared" si="6"/>
        <v>754.5</v>
      </c>
      <c r="Y40" s="61">
        <f t="shared" si="6"/>
        <v>754.5</v>
      </c>
      <c r="Z40" s="61">
        <f t="shared" si="6"/>
        <v>736.5</v>
      </c>
      <c r="AA40" s="61">
        <f t="shared" si="6"/>
        <v>730.5</v>
      </c>
      <c r="AB40" s="61">
        <f t="shared" si="6"/>
        <v>731</v>
      </c>
      <c r="AC40" s="61">
        <f t="shared" si="6"/>
        <v>723.2</v>
      </c>
      <c r="AD40" s="61">
        <f t="shared" si="6"/>
        <v>724.9</v>
      </c>
      <c r="AE40" s="61">
        <f t="shared" si="6"/>
        <v>721.5</v>
      </c>
      <c r="AF40" s="61">
        <f t="shared" si="6"/>
        <v>721.4</v>
      </c>
      <c r="AG40" s="62">
        <f t="shared" si="6"/>
        <v>707.78000000000009</v>
      </c>
      <c r="AH40" s="48">
        <f t="shared" si="2"/>
        <v>799.6</v>
      </c>
      <c r="AI40" s="49">
        <f t="shared" si="3"/>
        <v>685</v>
      </c>
      <c r="AK40" s="50"/>
    </row>
    <row r="41" spans="1:88" x14ac:dyDescent="0.25">
      <c r="A41" s="63" t="s">
        <v>49</v>
      </c>
      <c r="B41" s="45">
        <v>220</v>
      </c>
      <c r="C41" s="45">
        <v>220</v>
      </c>
      <c r="D41" s="45">
        <v>220</v>
      </c>
      <c r="E41" s="45">
        <v>220</v>
      </c>
      <c r="F41" s="45">
        <v>200</v>
      </c>
      <c r="G41" s="45">
        <v>200</v>
      </c>
      <c r="H41" s="45">
        <v>200</v>
      </c>
      <c r="I41" s="45">
        <v>200</v>
      </c>
      <c r="J41" s="45">
        <v>200</v>
      </c>
      <c r="K41" s="45">
        <v>230</v>
      </c>
      <c r="L41" s="45">
        <v>270</v>
      </c>
      <c r="M41" s="45">
        <v>260</v>
      </c>
      <c r="N41" s="45">
        <v>235</v>
      </c>
      <c r="O41" s="45">
        <v>235</v>
      </c>
      <c r="P41" s="45">
        <v>235</v>
      </c>
      <c r="Q41" s="45">
        <v>235</v>
      </c>
      <c r="R41" s="45">
        <v>261</v>
      </c>
      <c r="S41" s="45">
        <v>240</v>
      </c>
      <c r="T41" s="45">
        <v>240</v>
      </c>
      <c r="U41" s="45">
        <v>240</v>
      </c>
      <c r="V41" s="45">
        <v>240</v>
      </c>
      <c r="W41" s="45">
        <v>456</v>
      </c>
      <c r="X41" s="45">
        <v>456</v>
      </c>
      <c r="Y41" s="45">
        <v>430</v>
      </c>
      <c r="Z41" s="45">
        <v>330</v>
      </c>
      <c r="AA41" s="45">
        <v>360</v>
      </c>
      <c r="AB41" s="45">
        <v>320</v>
      </c>
      <c r="AC41" s="45">
        <v>300</v>
      </c>
      <c r="AD41" s="45">
        <v>280</v>
      </c>
      <c r="AE41" s="45">
        <v>230</v>
      </c>
      <c r="AF41" s="45">
        <v>200</v>
      </c>
      <c r="AG41" s="52">
        <v>456</v>
      </c>
      <c r="AH41" s="48">
        <f t="shared" si="2"/>
        <v>456</v>
      </c>
      <c r="AI41" s="49">
        <f t="shared" si="3"/>
        <v>200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22.1</v>
      </c>
      <c r="C43" s="67">
        <v>22.1</v>
      </c>
      <c r="D43" s="67">
        <v>22.1</v>
      </c>
      <c r="E43" s="67">
        <v>22.4</v>
      </c>
      <c r="F43" s="67">
        <v>22.4</v>
      </c>
      <c r="G43" s="67">
        <v>22.4</v>
      </c>
      <c r="H43" s="67">
        <v>22</v>
      </c>
      <c r="I43" s="67">
        <v>22</v>
      </c>
      <c r="J43" s="67">
        <v>22.5</v>
      </c>
      <c r="K43" s="67">
        <v>22.4</v>
      </c>
      <c r="L43" s="67">
        <v>22.4</v>
      </c>
      <c r="M43" s="67">
        <v>22.4</v>
      </c>
      <c r="N43" s="67">
        <v>22.4</v>
      </c>
      <c r="O43" s="67">
        <v>22.4</v>
      </c>
      <c r="P43" s="67">
        <v>22.4</v>
      </c>
      <c r="Q43" s="67">
        <v>22.4</v>
      </c>
      <c r="R43" s="67">
        <v>22.4</v>
      </c>
      <c r="S43" s="67">
        <v>22.4</v>
      </c>
      <c r="T43" s="67">
        <v>22.4</v>
      </c>
      <c r="U43" s="67">
        <v>22.4</v>
      </c>
      <c r="V43" s="67">
        <v>22.4</v>
      </c>
      <c r="W43" s="67">
        <v>22.4</v>
      </c>
      <c r="X43" s="67">
        <v>22.4</v>
      </c>
      <c r="Y43" s="67">
        <v>22</v>
      </c>
      <c r="Z43" s="67">
        <v>22</v>
      </c>
      <c r="AA43" s="67">
        <v>22</v>
      </c>
      <c r="AB43" s="67">
        <v>22</v>
      </c>
      <c r="AC43" s="67">
        <v>22.4</v>
      </c>
      <c r="AD43" s="67">
        <v>22.4</v>
      </c>
      <c r="AE43" s="67">
        <v>22.4</v>
      </c>
      <c r="AF43" s="67">
        <v>22.4</v>
      </c>
      <c r="AG43" s="68">
        <v>22.1</v>
      </c>
      <c r="AH43" s="48">
        <f t="shared" si="2"/>
        <v>22.5</v>
      </c>
      <c r="AI43" s="49">
        <f t="shared" si="3"/>
        <v>22</v>
      </c>
      <c r="AK43" s="50"/>
    </row>
    <row r="44" spans="1:88" ht="15.75" thickBot="1" x14ac:dyDescent="0.3">
      <c r="A44" s="69" t="s">
        <v>52</v>
      </c>
      <c r="B44" s="61">
        <f t="shared" ref="B44:AG44" si="7">SUM(B41:B43)</f>
        <v>302.10000000000002</v>
      </c>
      <c r="C44" s="61">
        <f t="shared" si="7"/>
        <v>302.10000000000002</v>
      </c>
      <c r="D44" s="61">
        <f t="shared" si="7"/>
        <v>302.10000000000002</v>
      </c>
      <c r="E44" s="61">
        <f t="shared" si="7"/>
        <v>302.39999999999998</v>
      </c>
      <c r="F44" s="61">
        <f t="shared" si="7"/>
        <v>282.39999999999998</v>
      </c>
      <c r="G44" s="61">
        <f t="shared" si="7"/>
        <v>282.39999999999998</v>
      </c>
      <c r="H44" s="61">
        <f t="shared" si="7"/>
        <v>282</v>
      </c>
      <c r="I44" s="61">
        <f t="shared" si="7"/>
        <v>282</v>
      </c>
      <c r="J44" s="61">
        <f t="shared" si="7"/>
        <v>282.5</v>
      </c>
      <c r="K44" s="61">
        <f t="shared" si="7"/>
        <v>312.39999999999998</v>
      </c>
      <c r="L44" s="61">
        <f t="shared" si="7"/>
        <v>352.4</v>
      </c>
      <c r="M44" s="61">
        <f t="shared" si="7"/>
        <v>342.4</v>
      </c>
      <c r="N44" s="61">
        <f t="shared" si="7"/>
        <v>317.39999999999998</v>
      </c>
      <c r="O44" s="61">
        <f t="shared" si="7"/>
        <v>317.39999999999998</v>
      </c>
      <c r="P44" s="61">
        <f t="shared" si="7"/>
        <v>317.39999999999998</v>
      </c>
      <c r="Q44" s="61">
        <f t="shared" si="7"/>
        <v>317.39999999999998</v>
      </c>
      <c r="R44" s="61">
        <f t="shared" si="7"/>
        <v>343.4</v>
      </c>
      <c r="S44" s="61">
        <f t="shared" si="7"/>
        <v>322.39999999999998</v>
      </c>
      <c r="T44" s="61">
        <f t="shared" si="7"/>
        <v>322.39999999999998</v>
      </c>
      <c r="U44" s="61">
        <f t="shared" si="7"/>
        <v>322.39999999999998</v>
      </c>
      <c r="V44" s="61">
        <f t="shared" si="7"/>
        <v>322.39999999999998</v>
      </c>
      <c r="W44" s="61">
        <f t="shared" si="7"/>
        <v>538.4</v>
      </c>
      <c r="X44" s="61">
        <f t="shared" si="7"/>
        <v>538.4</v>
      </c>
      <c r="Y44" s="61">
        <f t="shared" si="7"/>
        <v>512</v>
      </c>
      <c r="Z44" s="61">
        <f t="shared" si="7"/>
        <v>412</v>
      </c>
      <c r="AA44" s="61">
        <f t="shared" si="7"/>
        <v>442</v>
      </c>
      <c r="AB44" s="61">
        <f t="shared" si="7"/>
        <v>402</v>
      </c>
      <c r="AC44" s="61">
        <f t="shared" si="7"/>
        <v>382.4</v>
      </c>
      <c r="AD44" s="61">
        <f t="shared" si="7"/>
        <v>362.4</v>
      </c>
      <c r="AE44" s="61">
        <f t="shared" ref="AE44:AF44" si="8">SUM(AE41:AE43)</f>
        <v>312.39999999999998</v>
      </c>
      <c r="AF44" s="61">
        <f t="shared" si="8"/>
        <v>282.39999999999998</v>
      </c>
      <c r="AG44" s="62">
        <f t="shared" si="7"/>
        <v>538.1</v>
      </c>
      <c r="AH44" s="48">
        <f t="shared" si="2"/>
        <v>538.4</v>
      </c>
      <c r="AI44" s="49">
        <f t="shared" si="3"/>
        <v>282</v>
      </c>
      <c r="AK44" s="50"/>
    </row>
    <row r="45" spans="1:88" x14ac:dyDescent="0.25">
      <c r="A45" s="44" t="s">
        <v>53</v>
      </c>
      <c r="B45" s="45">
        <v>90</v>
      </c>
      <c r="C45" s="45">
        <v>81</v>
      </c>
      <c r="D45" s="45">
        <v>71</v>
      </c>
      <c r="E45" s="45">
        <v>70.8</v>
      </c>
      <c r="F45" s="45">
        <v>80.900000000000006</v>
      </c>
      <c r="G45" s="45">
        <v>92</v>
      </c>
      <c r="H45" s="45">
        <v>121.3</v>
      </c>
      <c r="I45" s="45">
        <v>139.5</v>
      </c>
      <c r="J45" s="45">
        <v>143.6</v>
      </c>
      <c r="K45" s="45">
        <v>143.6</v>
      </c>
      <c r="L45" s="45">
        <v>143.6</v>
      </c>
      <c r="M45" s="45">
        <v>143.6</v>
      </c>
      <c r="N45" s="45">
        <v>143.6</v>
      </c>
      <c r="O45" s="45">
        <v>143.6</v>
      </c>
      <c r="P45" s="45">
        <v>143.6</v>
      </c>
      <c r="Q45" s="45">
        <v>143.6</v>
      </c>
      <c r="R45" s="45">
        <v>125.6</v>
      </c>
      <c r="S45" s="45">
        <v>142</v>
      </c>
      <c r="T45" s="45">
        <v>142</v>
      </c>
      <c r="U45" s="45">
        <v>142</v>
      </c>
      <c r="V45" s="45">
        <v>142</v>
      </c>
      <c r="W45" s="45">
        <v>142</v>
      </c>
      <c r="X45" s="45">
        <v>142</v>
      </c>
      <c r="Y45" s="45">
        <v>142</v>
      </c>
      <c r="Z45" s="45">
        <v>142</v>
      </c>
      <c r="AA45" s="45">
        <v>142</v>
      </c>
      <c r="AB45" s="45">
        <v>143.4</v>
      </c>
      <c r="AC45" s="45">
        <v>143.5</v>
      </c>
      <c r="AD45" s="45">
        <v>121.2</v>
      </c>
      <c r="AE45" s="45">
        <v>121.2</v>
      </c>
      <c r="AF45" s="45">
        <v>141.9</v>
      </c>
      <c r="AG45" s="52">
        <v>144</v>
      </c>
      <c r="AH45" s="48">
        <f t="shared" si="2"/>
        <v>143.6</v>
      </c>
      <c r="AI45" s="49">
        <f t="shared" si="3"/>
        <v>70.8</v>
      </c>
      <c r="AK45" s="50"/>
    </row>
    <row r="46" spans="1:88" x14ac:dyDescent="0.25">
      <c r="A46" s="54" t="s">
        <v>54</v>
      </c>
      <c r="B46" s="65">
        <v>52</v>
      </c>
      <c r="C46" s="65">
        <v>51</v>
      </c>
      <c r="D46" s="65">
        <v>51.5</v>
      </c>
      <c r="E46" s="65">
        <v>51.5</v>
      </c>
      <c r="F46" s="65">
        <v>51.6</v>
      </c>
      <c r="G46" s="65">
        <v>51.5</v>
      </c>
      <c r="H46" s="65">
        <v>51.6</v>
      </c>
      <c r="I46" s="65">
        <v>70.5</v>
      </c>
      <c r="J46" s="65">
        <v>70.900000000000006</v>
      </c>
      <c r="K46" s="65">
        <v>71.3</v>
      </c>
      <c r="L46" s="65">
        <v>71.900000000000006</v>
      </c>
      <c r="M46" s="65">
        <v>71.900000000000006</v>
      </c>
      <c r="N46" s="65">
        <v>71.900000000000006</v>
      </c>
      <c r="O46" s="65">
        <v>71.900000000000006</v>
      </c>
      <c r="P46" s="65">
        <v>71.900000000000006</v>
      </c>
      <c r="Q46" s="65">
        <v>71.900000000000006</v>
      </c>
      <c r="R46" s="45">
        <v>72.599999999999994</v>
      </c>
      <c r="S46" s="65">
        <v>70.3</v>
      </c>
      <c r="T46" s="65">
        <v>70.3</v>
      </c>
      <c r="U46" s="65">
        <v>70.3</v>
      </c>
      <c r="V46" s="65">
        <v>70.3</v>
      </c>
      <c r="W46" s="65">
        <v>70.3</v>
      </c>
      <c r="X46" s="65">
        <v>70.3</v>
      </c>
      <c r="Y46" s="65">
        <v>70.3</v>
      </c>
      <c r="Z46" s="65">
        <v>70.3</v>
      </c>
      <c r="AA46" s="65">
        <v>70.3</v>
      </c>
      <c r="AB46" s="65">
        <v>70.3</v>
      </c>
      <c r="AC46" s="65">
        <v>62.2</v>
      </c>
      <c r="AD46" s="65">
        <v>56.2</v>
      </c>
      <c r="AE46" s="65">
        <v>56.2</v>
      </c>
      <c r="AF46" s="65">
        <v>61.7</v>
      </c>
      <c r="AG46" s="55">
        <v>70</v>
      </c>
      <c r="AH46" s="48">
        <f t="shared" si="2"/>
        <v>72.599999999999994</v>
      </c>
      <c r="AI46" s="49">
        <f t="shared" si="3"/>
        <v>51</v>
      </c>
      <c r="AK46" s="50"/>
    </row>
    <row r="47" spans="1:88" x14ac:dyDescent="0.25">
      <c r="A47" s="54" t="s">
        <v>55</v>
      </c>
      <c r="B47" s="65">
        <v>51.1</v>
      </c>
      <c r="C47" s="65">
        <v>51</v>
      </c>
      <c r="D47" s="65">
        <v>51</v>
      </c>
      <c r="E47" s="65">
        <v>51.3</v>
      </c>
      <c r="F47" s="65">
        <v>51.7</v>
      </c>
      <c r="G47" s="65">
        <v>67.400000000000006</v>
      </c>
      <c r="H47" s="65">
        <v>64.2</v>
      </c>
      <c r="I47" s="65">
        <v>71.099999999999994</v>
      </c>
      <c r="J47" s="65">
        <v>71.099999999999994</v>
      </c>
      <c r="K47" s="65">
        <v>70.7</v>
      </c>
      <c r="L47" s="65">
        <v>70.900000000000006</v>
      </c>
      <c r="M47" s="65">
        <v>70</v>
      </c>
      <c r="N47" s="65">
        <v>70</v>
      </c>
      <c r="O47" s="65">
        <v>70</v>
      </c>
      <c r="P47" s="65">
        <v>70</v>
      </c>
      <c r="Q47" s="65">
        <v>70</v>
      </c>
      <c r="R47" s="45">
        <v>59.9</v>
      </c>
      <c r="S47" s="65">
        <v>69.400000000000006</v>
      </c>
      <c r="T47" s="65">
        <v>69.400000000000006</v>
      </c>
      <c r="U47" s="65">
        <v>69.400000000000006</v>
      </c>
      <c r="V47" s="65">
        <v>69.400000000000006</v>
      </c>
      <c r="W47" s="65">
        <v>69.400000000000006</v>
      </c>
      <c r="X47" s="65">
        <v>69.400000000000006</v>
      </c>
      <c r="Y47" s="65">
        <v>69.400000000000006</v>
      </c>
      <c r="Z47" s="65">
        <v>69.400000000000006</v>
      </c>
      <c r="AA47" s="65">
        <v>69.400000000000006</v>
      </c>
      <c r="AB47" s="65">
        <v>69.400000000000006</v>
      </c>
      <c r="AC47" s="65">
        <v>70.5</v>
      </c>
      <c r="AD47" s="65">
        <v>58.3</v>
      </c>
      <c r="AE47" s="65">
        <v>58.3</v>
      </c>
      <c r="AF47" s="65">
        <v>69.2</v>
      </c>
      <c r="AG47" s="55">
        <v>69</v>
      </c>
      <c r="AH47" s="48">
        <f t="shared" si="2"/>
        <v>71.099999999999994</v>
      </c>
      <c r="AI47" s="49">
        <f t="shared" si="3"/>
        <v>51</v>
      </c>
      <c r="AK47" s="50"/>
    </row>
    <row r="48" spans="1:88" x14ac:dyDescent="0.25">
      <c r="A48" s="54" t="s">
        <v>56</v>
      </c>
      <c r="B48" s="57">
        <v>40.5</v>
      </c>
      <c r="C48" s="57">
        <v>40.299999999999997</v>
      </c>
      <c r="D48" s="57">
        <v>40.5</v>
      </c>
      <c r="E48" s="57">
        <v>40.5</v>
      </c>
      <c r="F48" s="57">
        <v>40.299999999999997</v>
      </c>
      <c r="G48" s="57">
        <v>60.4</v>
      </c>
      <c r="H48" s="57">
        <v>60.4</v>
      </c>
      <c r="I48" s="57">
        <v>60.4</v>
      </c>
      <c r="J48" s="57">
        <v>60.4</v>
      </c>
      <c r="K48" s="57">
        <v>60.4</v>
      </c>
      <c r="L48" s="57">
        <v>60.4</v>
      </c>
      <c r="M48" s="57">
        <v>60.4</v>
      </c>
      <c r="N48" s="57">
        <v>60.4</v>
      </c>
      <c r="O48" s="57">
        <v>60.4</v>
      </c>
      <c r="P48" s="57">
        <v>60.4</v>
      </c>
      <c r="Q48" s="57">
        <v>60.4</v>
      </c>
      <c r="R48" s="45">
        <v>0</v>
      </c>
      <c r="S48" s="45">
        <v>0</v>
      </c>
      <c r="T48" s="45">
        <v>0</v>
      </c>
      <c r="U48" s="45">
        <v>0</v>
      </c>
      <c r="V48" s="45">
        <v>0</v>
      </c>
      <c r="W48" s="45">
        <v>0</v>
      </c>
      <c r="X48" s="45">
        <v>0</v>
      </c>
      <c r="Y48" s="45">
        <v>0</v>
      </c>
      <c r="Z48" s="45">
        <v>0</v>
      </c>
      <c r="AA48" s="45">
        <v>0</v>
      </c>
      <c r="AB48" s="45">
        <v>0</v>
      </c>
      <c r="AC48" s="57">
        <v>0</v>
      </c>
      <c r="AD48" s="57">
        <v>0</v>
      </c>
      <c r="AE48" s="57">
        <v>0</v>
      </c>
      <c r="AF48" s="57">
        <v>0</v>
      </c>
      <c r="AG48" s="55">
        <v>60</v>
      </c>
      <c r="AH48" s="48">
        <f t="shared" si="2"/>
        <v>60.4</v>
      </c>
      <c r="AI48" s="49">
        <f t="shared" si="3"/>
        <v>0</v>
      </c>
      <c r="AK48" s="50"/>
    </row>
    <row r="49" spans="1:41" x14ac:dyDescent="0.25">
      <c r="A49" s="54" t="s">
        <v>57</v>
      </c>
      <c r="B49" s="57">
        <v>0</v>
      </c>
      <c r="C49" s="57">
        <v>0</v>
      </c>
      <c r="D49" s="57">
        <v>0</v>
      </c>
      <c r="E49" s="57">
        <v>0</v>
      </c>
      <c r="F49" s="57">
        <v>0</v>
      </c>
      <c r="G49" s="57">
        <v>0</v>
      </c>
      <c r="H49" s="57">
        <v>0</v>
      </c>
      <c r="I49" s="57">
        <v>15</v>
      </c>
      <c r="J49" s="57">
        <v>29.6</v>
      </c>
      <c r="K49" s="57">
        <v>29.5</v>
      </c>
      <c r="L49" s="57">
        <v>26.5</v>
      </c>
      <c r="M49" s="57">
        <v>26.5</v>
      </c>
      <c r="N49" s="57">
        <v>26.5</v>
      </c>
      <c r="O49" s="57">
        <v>26.5</v>
      </c>
      <c r="P49" s="57">
        <v>26.5</v>
      </c>
      <c r="Q49" s="57">
        <v>26.5</v>
      </c>
      <c r="R49" s="45">
        <v>28</v>
      </c>
      <c r="S49" s="45">
        <v>0</v>
      </c>
      <c r="T49" s="45">
        <v>0</v>
      </c>
      <c r="U49" s="45">
        <v>15</v>
      </c>
      <c r="V49" s="45">
        <v>26</v>
      </c>
      <c r="W49" s="45">
        <v>26</v>
      </c>
      <c r="X49" s="45">
        <v>30</v>
      </c>
      <c r="Y49" s="45">
        <v>30</v>
      </c>
      <c r="Z49" s="45">
        <v>30</v>
      </c>
      <c r="AA49" s="45">
        <v>30</v>
      </c>
      <c r="AB49" s="45">
        <v>30</v>
      </c>
      <c r="AC49" s="57">
        <v>30</v>
      </c>
      <c r="AD49" s="57">
        <v>26</v>
      </c>
      <c r="AE49" s="57">
        <v>26</v>
      </c>
      <c r="AF49" s="57">
        <v>15</v>
      </c>
      <c r="AG49" s="55">
        <v>30</v>
      </c>
      <c r="AH49" s="48">
        <f t="shared" si="2"/>
        <v>30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45">
        <v>0</v>
      </c>
      <c r="S50" s="45">
        <v>8</v>
      </c>
      <c r="T50" s="45">
        <v>8</v>
      </c>
      <c r="U50" s="45">
        <v>8</v>
      </c>
      <c r="V50" s="45">
        <v>0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45">
        <v>0</v>
      </c>
      <c r="AC50" s="65">
        <v>0</v>
      </c>
      <c r="AD50" s="65">
        <v>0</v>
      </c>
      <c r="AE50" s="65">
        <v>0</v>
      </c>
      <c r="AF50" s="65">
        <v>0</v>
      </c>
      <c r="AG50" s="55">
        <v>25</v>
      </c>
      <c r="AH50" s="48">
        <f t="shared" si="2"/>
        <v>8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12.3</v>
      </c>
      <c r="C51" s="65">
        <v>12.3</v>
      </c>
      <c r="D51" s="65">
        <v>12.3</v>
      </c>
      <c r="E51" s="65">
        <v>12.2</v>
      </c>
      <c r="F51" s="65">
        <v>12.3</v>
      </c>
      <c r="G51" s="65">
        <v>12.2</v>
      </c>
      <c r="H51" s="65">
        <v>12.2</v>
      </c>
      <c r="I51" s="65">
        <v>12.2</v>
      </c>
      <c r="J51" s="65">
        <v>12.2</v>
      </c>
      <c r="K51" s="65">
        <v>14.7</v>
      </c>
      <c r="L51" s="65">
        <v>14.6</v>
      </c>
      <c r="M51" s="65">
        <v>14.6</v>
      </c>
      <c r="N51" s="65">
        <v>14.6</v>
      </c>
      <c r="O51" s="65">
        <v>14.6</v>
      </c>
      <c r="P51" s="65">
        <v>14.6</v>
      </c>
      <c r="Q51" s="65">
        <v>14.6</v>
      </c>
      <c r="R51" s="65">
        <v>14.6</v>
      </c>
      <c r="S51" s="45">
        <v>14.8</v>
      </c>
      <c r="T51" s="45">
        <v>14.8</v>
      </c>
      <c r="U51" s="45">
        <v>14.8</v>
      </c>
      <c r="V51" s="45">
        <v>14.8</v>
      </c>
      <c r="W51" s="45">
        <v>14.8</v>
      </c>
      <c r="X51" s="45">
        <v>14.8</v>
      </c>
      <c r="Y51" s="45">
        <v>14.8</v>
      </c>
      <c r="Z51" s="45">
        <v>14.8</v>
      </c>
      <c r="AA51" s="45">
        <v>14.8</v>
      </c>
      <c r="AB51" s="45">
        <v>14.8</v>
      </c>
      <c r="AC51" s="65">
        <v>14.8</v>
      </c>
      <c r="AD51" s="65">
        <v>14.8</v>
      </c>
      <c r="AE51" s="65">
        <v>14.8</v>
      </c>
      <c r="AF51" s="65">
        <v>14.8</v>
      </c>
      <c r="AG51" s="55">
        <v>24</v>
      </c>
      <c r="AH51" s="48">
        <f t="shared" si="2"/>
        <v>14.8</v>
      </c>
      <c r="AI51" s="49">
        <f t="shared" si="3"/>
        <v>12.2</v>
      </c>
      <c r="AK51" s="50"/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7.5</v>
      </c>
      <c r="C53" s="65">
        <v>7.5</v>
      </c>
      <c r="D53" s="65">
        <v>8.6999999999999993</v>
      </c>
      <c r="E53" s="65">
        <v>8.9</v>
      </c>
      <c r="F53" s="65">
        <v>8.6</v>
      </c>
      <c r="G53" s="65">
        <v>9.3000000000000007</v>
      </c>
      <c r="H53" s="65">
        <v>9.3000000000000007</v>
      </c>
      <c r="I53" s="65">
        <v>9</v>
      </c>
      <c r="J53" s="65">
        <v>9.6</v>
      </c>
      <c r="K53" s="65">
        <v>9.6</v>
      </c>
      <c r="L53" s="65">
        <v>11.3</v>
      </c>
      <c r="M53" s="65">
        <v>11.3</v>
      </c>
      <c r="N53" s="65">
        <v>11.3</v>
      </c>
      <c r="O53" s="65">
        <v>11.3</v>
      </c>
      <c r="P53" s="65">
        <v>11.3</v>
      </c>
      <c r="Q53" s="65">
        <v>11.3</v>
      </c>
      <c r="R53" s="65">
        <v>11.3</v>
      </c>
      <c r="S53" s="65">
        <v>11.3</v>
      </c>
      <c r="T53" s="65">
        <v>11.3</v>
      </c>
      <c r="U53" s="65">
        <v>11.3</v>
      </c>
      <c r="V53" s="65">
        <v>11.3</v>
      </c>
      <c r="W53" s="65">
        <v>11.3</v>
      </c>
      <c r="X53" s="65">
        <v>11.3</v>
      </c>
      <c r="Y53" s="65">
        <v>11.3</v>
      </c>
      <c r="Z53" s="65">
        <v>11.3</v>
      </c>
      <c r="AA53" s="65">
        <v>11.3</v>
      </c>
      <c r="AB53" s="65">
        <v>11.3</v>
      </c>
      <c r="AC53" s="65">
        <v>11.8</v>
      </c>
      <c r="AD53" s="65">
        <v>11.1</v>
      </c>
      <c r="AE53" s="65">
        <v>11.1</v>
      </c>
      <c r="AF53" s="65">
        <v>11.4</v>
      </c>
      <c r="AG53" s="55">
        <v>14.1</v>
      </c>
      <c r="AH53" s="48">
        <f t="shared" si="2"/>
        <v>11.8</v>
      </c>
      <c r="AI53" s="49">
        <f t="shared" si="3"/>
        <v>7.5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10</v>
      </c>
      <c r="C54" s="65">
        <v>10</v>
      </c>
      <c r="D54" s="65">
        <v>9.8000000000000007</v>
      </c>
      <c r="E54" s="65">
        <v>10.1</v>
      </c>
      <c r="F54" s="65">
        <v>9.9</v>
      </c>
      <c r="G54" s="65">
        <v>9.9</v>
      </c>
      <c r="H54" s="65">
        <v>9.6999999999999993</v>
      </c>
      <c r="I54" s="65">
        <v>12.1</v>
      </c>
      <c r="J54" s="65">
        <v>14.1</v>
      </c>
      <c r="K54" s="65">
        <v>13.9</v>
      </c>
      <c r="L54" s="65">
        <v>13.8</v>
      </c>
      <c r="M54" s="65">
        <v>13.8</v>
      </c>
      <c r="N54" s="65">
        <v>13.8</v>
      </c>
      <c r="O54" s="65">
        <v>13.8</v>
      </c>
      <c r="P54" s="65">
        <v>13.8</v>
      </c>
      <c r="Q54" s="65">
        <v>13.8</v>
      </c>
      <c r="R54" s="65">
        <v>13.8</v>
      </c>
      <c r="S54" s="65">
        <v>13.8</v>
      </c>
      <c r="T54" s="65">
        <v>12.3</v>
      </c>
      <c r="U54" s="65">
        <v>12.3</v>
      </c>
      <c r="V54" s="65">
        <v>12.3</v>
      </c>
      <c r="W54" s="65">
        <v>13.5</v>
      </c>
      <c r="X54" s="65">
        <v>13.5</v>
      </c>
      <c r="Y54" s="65">
        <v>13.5</v>
      </c>
      <c r="Z54" s="65">
        <v>13.5</v>
      </c>
      <c r="AA54" s="65">
        <v>13.5</v>
      </c>
      <c r="AB54" s="65">
        <v>13.5</v>
      </c>
      <c r="AC54" s="65">
        <v>12.1</v>
      </c>
      <c r="AD54" s="65">
        <v>12.2</v>
      </c>
      <c r="AE54" s="65">
        <v>12.2</v>
      </c>
      <c r="AF54" s="65">
        <v>12.4</v>
      </c>
      <c r="AG54" s="55">
        <v>14</v>
      </c>
      <c r="AH54" s="48">
        <f t="shared" si="2"/>
        <v>14.1</v>
      </c>
      <c r="AI54" s="49">
        <f t="shared" si="3"/>
        <v>9.6999999999999993</v>
      </c>
      <c r="AK54" s="50"/>
    </row>
    <row r="55" spans="1:41" x14ac:dyDescent="0.25">
      <c r="A55" s="54" t="s">
        <v>63</v>
      </c>
      <c r="B55" s="65">
        <v>6.8</v>
      </c>
      <c r="C55" s="65">
        <v>6.8</v>
      </c>
      <c r="D55" s="65">
        <v>6.6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9</v>
      </c>
      <c r="S55" s="65">
        <v>6.7</v>
      </c>
      <c r="T55" s="65">
        <v>6.7</v>
      </c>
      <c r="U55" s="65">
        <v>6.7</v>
      </c>
      <c r="V55" s="65">
        <v>6.7</v>
      </c>
      <c r="W55" s="65">
        <v>6.7</v>
      </c>
      <c r="X55" s="65">
        <v>6.7</v>
      </c>
      <c r="Y55" s="65">
        <v>6.7</v>
      </c>
      <c r="Z55" s="65">
        <v>6.7</v>
      </c>
      <c r="AA55" s="65">
        <v>6.7</v>
      </c>
      <c r="AB55" s="65">
        <v>9</v>
      </c>
      <c r="AC55" s="65">
        <v>9</v>
      </c>
      <c r="AD55" s="65">
        <v>9</v>
      </c>
      <c r="AE55" s="65">
        <v>9</v>
      </c>
      <c r="AF55" s="65">
        <v>9</v>
      </c>
      <c r="AG55" s="55">
        <v>10.050000000000001</v>
      </c>
      <c r="AH55" s="48">
        <f t="shared" si="2"/>
        <v>9</v>
      </c>
      <c r="AI55" s="49">
        <f t="shared" si="3"/>
        <v>6.6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:AG58" si="9">SUM(B45:B57)</f>
        <v>279.94</v>
      </c>
      <c r="C58" s="61">
        <f t="shared" si="9"/>
        <v>269.64000000000004</v>
      </c>
      <c r="D58" s="61">
        <f t="shared" si="9"/>
        <v>261.14000000000004</v>
      </c>
      <c r="E58" s="61">
        <f t="shared" si="9"/>
        <v>264.04000000000002</v>
      </c>
      <c r="F58" s="61">
        <f t="shared" si="9"/>
        <v>274.04000000000002</v>
      </c>
      <c r="G58" s="61">
        <f t="shared" si="9"/>
        <v>321.44</v>
      </c>
      <c r="H58" s="61">
        <f t="shared" si="9"/>
        <v>347.44</v>
      </c>
      <c r="I58" s="61">
        <f t="shared" si="9"/>
        <v>408.54</v>
      </c>
      <c r="J58" s="61">
        <f t="shared" si="9"/>
        <v>430.24000000000007</v>
      </c>
      <c r="K58" s="61">
        <f t="shared" si="9"/>
        <v>432.43999999999994</v>
      </c>
      <c r="L58" s="61">
        <f t="shared" si="9"/>
        <v>431.74</v>
      </c>
      <c r="M58" s="61">
        <f t="shared" si="9"/>
        <v>430.84000000000003</v>
      </c>
      <c r="N58" s="61">
        <f t="shared" si="9"/>
        <v>430.84000000000003</v>
      </c>
      <c r="O58" s="61">
        <f t="shared" si="9"/>
        <v>430.84000000000003</v>
      </c>
      <c r="P58" s="61">
        <f t="shared" si="9"/>
        <v>430.84000000000003</v>
      </c>
      <c r="Q58" s="61">
        <f t="shared" si="9"/>
        <v>430.84000000000003</v>
      </c>
      <c r="R58" s="61">
        <f t="shared" si="9"/>
        <v>344.54</v>
      </c>
      <c r="S58" s="61">
        <f t="shared" si="9"/>
        <v>346.04000000000008</v>
      </c>
      <c r="T58" s="61">
        <f t="shared" si="9"/>
        <v>344.54000000000008</v>
      </c>
      <c r="U58" s="61">
        <f t="shared" si="9"/>
        <v>359.54000000000008</v>
      </c>
      <c r="V58" s="61">
        <f t="shared" si="9"/>
        <v>362.54000000000008</v>
      </c>
      <c r="W58" s="61">
        <f t="shared" si="9"/>
        <v>363.74000000000007</v>
      </c>
      <c r="X58" s="61">
        <f t="shared" si="9"/>
        <v>367.74000000000007</v>
      </c>
      <c r="Y58" s="61">
        <f t="shared" si="9"/>
        <v>367.74000000000007</v>
      </c>
      <c r="Z58" s="61">
        <f t="shared" si="9"/>
        <v>367.74000000000007</v>
      </c>
      <c r="AA58" s="61">
        <f t="shared" si="9"/>
        <v>367.74000000000007</v>
      </c>
      <c r="AB58" s="61">
        <f t="shared" si="9"/>
        <v>371.44000000000005</v>
      </c>
      <c r="AC58" s="61">
        <f t="shared" si="9"/>
        <v>363.64000000000004</v>
      </c>
      <c r="AD58" s="61">
        <f t="shared" si="9"/>
        <v>318.54000000000002</v>
      </c>
      <c r="AE58" s="61">
        <f t="shared" si="9"/>
        <v>318.54000000000002</v>
      </c>
      <c r="AF58" s="61">
        <f t="shared" si="9"/>
        <v>345.14</v>
      </c>
      <c r="AG58" s="62">
        <f t="shared" si="9"/>
        <v>489.91</v>
      </c>
      <c r="AH58" s="48">
        <f t="shared" si="2"/>
        <v>432.43999999999994</v>
      </c>
      <c r="AI58" s="49">
        <f t="shared" si="3"/>
        <v>261.14000000000004</v>
      </c>
      <c r="AK58" s="50"/>
    </row>
    <row r="59" spans="1:41" x14ac:dyDescent="0.25">
      <c r="A59" s="44" t="s">
        <v>67</v>
      </c>
      <c r="B59" s="45">
        <v>0</v>
      </c>
      <c r="C59" s="45"/>
      <c r="D59" s="45"/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>
        <v>0</v>
      </c>
      <c r="AD59" s="45">
        <v>0</v>
      </c>
      <c r="AE59" s="45"/>
      <c r="AF59" s="45">
        <v>0</v>
      </c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/>
      <c r="D60" s="65"/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>
        <v>0</v>
      </c>
      <c r="AD60" s="65">
        <v>0</v>
      </c>
      <c r="AE60" s="65"/>
      <c r="AF60" s="65">
        <v>0</v>
      </c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>
        <v>0</v>
      </c>
      <c r="C61" s="67"/>
      <c r="D61" s="67"/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>
        <v>0</v>
      </c>
      <c r="AD61" s="67">
        <v>0</v>
      </c>
      <c r="AE61" s="67"/>
      <c r="AF61" s="67">
        <v>0</v>
      </c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AG62" si="10">SUM(B59:B61)</f>
        <v>0</v>
      </c>
      <c r="C62" s="61">
        <f t="shared" si="10"/>
        <v>0</v>
      </c>
      <c r="D62" s="61">
        <f t="shared" si="10"/>
        <v>0</v>
      </c>
      <c r="E62" s="61">
        <f t="shared" si="10"/>
        <v>0</v>
      </c>
      <c r="F62" s="61">
        <f t="shared" si="10"/>
        <v>0</v>
      </c>
      <c r="G62" s="61">
        <f t="shared" si="10"/>
        <v>0</v>
      </c>
      <c r="H62" s="61">
        <f t="shared" si="10"/>
        <v>0</v>
      </c>
      <c r="I62" s="61">
        <f t="shared" si="10"/>
        <v>0</v>
      </c>
      <c r="J62" s="61">
        <f t="shared" si="10"/>
        <v>0</v>
      </c>
      <c r="K62" s="61">
        <f t="shared" si="10"/>
        <v>0</v>
      </c>
      <c r="L62" s="61">
        <f t="shared" si="10"/>
        <v>0</v>
      </c>
      <c r="M62" s="61">
        <f t="shared" si="10"/>
        <v>0</v>
      </c>
      <c r="N62" s="61">
        <f t="shared" si="10"/>
        <v>0</v>
      </c>
      <c r="O62" s="61">
        <f t="shared" si="10"/>
        <v>0</v>
      </c>
      <c r="P62" s="61">
        <f t="shared" si="10"/>
        <v>0</v>
      </c>
      <c r="Q62" s="61">
        <f t="shared" si="10"/>
        <v>0</v>
      </c>
      <c r="R62" s="61">
        <f t="shared" si="10"/>
        <v>0</v>
      </c>
      <c r="S62" s="61">
        <f t="shared" si="10"/>
        <v>0</v>
      </c>
      <c r="T62" s="61">
        <f t="shared" si="10"/>
        <v>0</v>
      </c>
      <c r="U62" s="61">
        <f t="shared" si="10"/>
        <v>0</v>
      </c>
      <c r="V62" s="61">
        <f t="shared" si="10"/>
        <v>0</v>
      </c>
      <c r="W62" s="61">
        <f t="shared" si="10"/>
        <v>0</v>
      </c>
      <c r="X62" s="61">
        <f t="shared" si="10"/>
        <v>0</v>
      </c>
      <c r="Y62" s="61">
        <f t="shared" si="10"/>
        <v>0</v>
      </c>
      <c r="Z62" s="61">
        <f t="shared" si="10"/>
        <v>0</v>
      </c>
      <c r="AA62" s="61">
        <f t="shared" si="10"/>
        <v>0</v>
      </c>
      <c r="AB62" s="61">
        <f t="shared" si="10"/>
        <v>0</v>
      </c>
      <c r="AC62" s="61">
        <f t="shared" si="10"/>
        <v>0</v>
      </c>
      <c r="AD62" s="61">
        <f t="shared" si="10"/>
        <v>0</v>
      </c>
      <c r="AE62" s="61">
        <f t="shared" si="10"/>
        <v>0</v>
      </c>
      <c r="AF62" s="61">
        <f t="shared" si="10"/>
        <v>0</v>
      </c>
      <c r="AG62" s="62">
        <f t="shared" si="10"/>
        <v>106</v>
      </c>
      <c r="AH62" s="48">
        <f t="shared" si="2"/>
        <v>0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-384</v>
      </c>
      <c r="C65" s="65">
        <v>-390</v>
      </c>
      <c r="D65" s="65">
        <v>-389</v>
      </c>
      <c r="E65" s="65">
        <v>-397.3</v>
      </c>
      <c r="F65" s="65">
        <v>-378</v>
      </c>
      <c r="G65" s="65">
        <v>-381.9</v>
      </c>
      <c r="H65" s="65">
        <v>-382.1</v>
      </c>
      <c r="I65" s="65">
        <v>-365</v>
      </c>
      <c r="J65" s="65">
        <v>-340.2</v>
      </c>
      <c r="K65" s="65">
        <v>-354</v>
      </c>
      <c r="L65" s="65">
        <v>-321</v>
      </c>
      <c r="M65" s="65">
        <v>-330</v>
      </c>
      <c r="N65" s="65">
        <v>-320</v>
      </c>
      <c r="O65" s="65">
        <v>-300</v>
      </c>
      <c r="P65" s="65">
        <v>-300</v>
      </c>
      <c r="Q65" s="65">
        <v>-280</v>
      </c>
      <c r="R65" s="65">
        <v>-267</v>
      </c>
      <c r="S65" s="65">
        <v>-244</v>
      </c>
      <c r="T65" s="65">
        <v>-233</v>
      </c>
      <c r="U65" s="65">
        <v>-234.4</v>
      </c>
      <c r="V65" s="65">
        <v>-216</v>
      </c>
      <c r="W65" s="65">
        <v>-318</v>
      </c>
      <c r="X65" s="65">
        <v>-232</v>
      </c>
      <c r="Y65" s="65">
        <v>-250</v>
      </c>
      <c r="Z65" s="65">
        <v>-240</v>
      </c>
      <c r="AA65" s="65">
        <v>-301</v>
      </c>
      <c r="AB65" s="65">
        <v>-282.7</v>
      </c>
      <c r="AC65" s="65">
        <v>-325</v>
      </c>
      <c r="AD65" s="65">
        <v>-321.60000000000002</v>
      </c>
      <c r="AE65" s="65">
        <v>-312.85000000000002</v>
      </c>
      <c r="AF65" s="65">
        <v>-317.89999999999998</v>
      </c>
      <c r="AG65" s="75"/>
      <c r="AH65" s="48">
        <f t="shared" si="2"/>
        <v>-216</v>
      </c>
      <c r="AI65" s="49">
        <f t="shared" si="3"/>
        <v>-397.3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0</v>
      </c>
      <c r="Q67" s="76">
        <v>0</v>
      </c>
      <c r="R67" s="76">
        <v>0</v>
      </c>
      <c r="S67" s="76">
        <v>0</v>
      </c>
      <c r="T67" s="76">
        <v>0</v>
      </c>
      <c r="U67" s="76">
        <v>0</v>
      </c>
      <c r="V67" s="76">
        <v>0</v>
      </c>
      <c r="W67" s="76">
        <v>0</v>
      </c>
      <c r="X67" s="76">
        <v>0</v>
      </c>
      <c r="Y67" s="76">
        <v>0</v>
      </c>
      <c r="Z67" s="76">
        <v>0</v>
      </c>
      <c r="AA67" s="76">
        <v>0</v>
      </c>
      <c r="AB67" s="76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>
        <v>0</v>
      </c>
      <c r="C68" s="77">
        <v>0</v>
      </c>
      <c r="D68" s="77">
        <v>0</v>
      </c>
      <c r="E68" s="77">
        <v>0</v>
      </c>
      <c r="F68" s="77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0</v>
      </c>
      <c r="P68" s="76">
        <v>0</v>
      </c>
      <c r="Q68" s="76">
        <v>0</v>
      </c>
      <c r="R68" s="76">
        <v>0</v>
      </c>
      <c r="S68" s="76">
        <v>0</v>
      </c>
      <c r="T68" s="76">
        <v>0</v>
      </c>
      <c r="U68" s="76">
        <v>0</v>
      </c>
      <c r="V68" s="76">
        <v>0</v>
      </c>
      <c r="W68" s="76">
        <v>0</v>
      </c>
      <c r="X68" s="76">
        <v>0</v>
      </c>
      <c r="Y68" s="76">
        <v>0</v>
      </c>
      <c r="Z68" s="76">
        <v>0</v>
      </c>
      <c r="AA68" s="76">
        <v>0</v>
      </c>
      <c r="AB68" s="76">
        <v>0</v>
      </c>
      <c r="AC68" s="77">
        <v>0</v>
      </c>
      <c r="AD68" s="45">
        <v>0</v>
      </c>
      <c r="AE68" s="45">
        <v>0</v>
      </c>
      <c r="AF68" s="45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0</v>
      </c>
      <c r="Z69" s="76">
        <v>0</v>
      </c>
      <c r="AA69" s="76">
        <v>0</v>
      </c>
      <c r="AB69" s="76">
        <v>0</v>
      </c>
      <c r="AC69" s="77">
        <v>0</v>
      </c>
      <c r="AD69" s="45">
        <v>0</v>
      </c>
      <c r="AE69" s="45">
        <v>0</v>
      </c>
      <c r="AF69" s="45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7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45">
        <v>0</v>
      </c>
      <c r="AE70" s="45">
        <v>0</v>
      </c>
      <c r="AF70" s="45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7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45">
        <v>0</v>
      </c>
      <c r="AE71" s="45">
        <v>0</v>
      </c>
      <c r="AF71" s="45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9">
        <v>0</v>
      </c>
      <c r="C72" s="79">
        <v>0</v>
      </c>
      <c r="D72" s="79">
        <v>0</v>
      </c>
      <c r="E72" s="77">
        <v>0</v>
      </c>
      <c r="F72" s="79">
        <v>0</v>
      </c>
      <c r="G72" s="76">
        <v>0</v>
      </c>
      <c r="H72" s="76">
        <v>0</v>
      </c>
      <c r="I72" s="76">
        <v>0</v>
      </c>
      <c r="J72" s="76">
        <v>0</v>
      </c>
      <c r="K72" s="76">
        <v>0</v>
      </c>
      <c r="L72" s="76">
        <v>0</v>
      </c>
      <c r="M72" s="76">
        <v>0</v>
      </c>
      <c r="N72" s="76">
        <v>0</v>
      </c>
      <c r="O72" s="76">
        <v>0</v>
      </c>
      <c r="P72" s="76">
        <v>0</v>
      </c>
      <c r="Q72" s="76">
        <v>0</v>
      </c>
      <c r="R72" s="76">
        <v>0</v>
      </c>
      <c r="S72" s="76">
        <v>0</v>
      </c>
      <c r="T72" s="76">
        <v>0</v>
      </c>
      <c r="U72" s="76">
        <v>0</v>
      </c>
      <c r="V72" s="76">
        <v>0</v>
      </c>
      <c r="W72" s="76">
        <v>0</v>
      </c>
      <c r="X72" s="76">
        <v>0</v>
      </c>
      <c r="Y72" s="76">
        <v>0</v>
      </c>
      <c r="Z72" s="76">
        <v>0</v>
      </c>
      <c r="AA72" s="76">
        <v>0</v>
      </c>
      <c r="AB72" s="76">
        <v>0</v>
      </c>
      <c r="AC72" s="79">
        <v>0</v>
      </c>
      <c r="AD72" s="45">
        <v>0</v>
      </c>
      <c r="AE72" s="45">
        <v>0</v>
      </c>
      <c r="AF72" s="45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9">
        <v>0</v>
      </c>
      <c r="C73" s="79">
        <v>0</v>
      </c>
      <c r="D73" s="79">
        <v>0</v>
      </c>
      <c r="E73" s="77">
        <v>0</v>
      </c>
      <c r="F73" s="79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9">
        <v>0</v>
      </c>
      <c r="AD73" s="45">
        <v>0</v>
      </c>
      <c r="AE73" s="45">
        <v>0</v>
      </c>
      <c r="AF73" s="45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:AD74" si="11">SUMIF(B63:B73,"&gt;0")</f>
        <v>0</v>
      </c>
      <c r="C74" s="61">
        <f t="shared" si="11"/>
        <v>0</v>
      </c>
      <c r="D74" s="61">
        <f t="shared" si="11"/>
        <v>0</v>
      </c>
      <c r="E74" s="61">
        <f t="shared" si="11"/>
        <v>0</v>
      </c>
      <c r="F74" s="61">
        <f t="shared" si="11"/>
        <v>0</v>
      </c>
      <c r="G74" s="61">
        <f t="shared" si="11"/>
        <v>0</v>
      </c>
      <c r="H74" s="61">
        <f t="shared" si="11"/>
        <v>0</v>
      </c>
      <c r="I74" s="61">
        <f t="shared" si="11"/>
        <v>0</v>
      </c>
      <c r="J74" s="61">
        <f t="shared" si="11"/>
        <v>0</v>
      </c>
      <c r="K74" s="61">
        <f t="shared" si="11"/>
        <v>0</v>
      </c>
      <c r="L74" s="61">
        <f t="shared" si="11"/>
        <v>0</v>
      </c>
      <c r="M74" s="61">
        <f t="shared" si="11"/>
        <v>0</v>
      </c>
      <c r="N74" s="61">
        <f t="shared" si="11"/>
        <v>0</v>
      </c>
      <c r="O74" s="61">
        <f t="shared" si="11"/>
        <v>0</v>
      </c>
      <c r="P74" s="61">
        <f t="shared" si="11"/>
        <v>0</v>
      </c>
      <c r="Q74" s="61">
        <f t="shared" si="11"/>
        <v>0</v>
      </c>
      <c r="R74" s="61">
        <f t="shared" si="11"/>
        <v>0</v>
      </c>
      <c r="S74" s="61">
        <f t="shared" si="11"/>
        <v>0</v>
      </c>
      <c r="T74" s="61">
        <f t="shared" si="11"/>
        <v>0</v>
      </c>
      <c r="U74" s="61">
        <f t="shared" si="11"/>
        <v>0</v>
      </c>
      <c r="V74" s="61">
        <f t="shared" si="11"/>
        <v>0</v>
      </c>
      <c r="W74" s="61">
        <f t="shared" si="11"/>
        <v>0</v>
      </c>
      <c r="X74" s="61">
        <f t="shared" si="11"/>
        <v>0</v>
      </c>
      <c r="Y74" s="61">
        <f t="shared" si="11"/>
        <v>0</v>
      </c>
      <c r="Z74" s="61">
        <f t="shared" si="11"/>
        <v>0</v>
      </c>
      <c r="AA74" s="61">
        <f t="shared" si="11"/>
        <v>0</v>
      </c>
      <c r="AB74" s="61">
        <f t="shared" si="11"/>
        <v>0</v>
      </c>
      <c r="AC74" s="61">
        <f t="shared" si="11"/>
        <v>0</v>
      </c>
      <c r="AD74" s="61">
        <f t="shared" si="11"/>
        <v>0</v>
      </c>
      <c r="AE74" s="61">
        <f t="shared" ref="AE74:AF74" si="12">SUMIF(AE63:AE73,"&gt;0")</f>
        <v>0</v>
      </c>
      <c r="AF74" s="61">
        <f t="shared" si="12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44" t="s">
        <v>83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5">
        <v>14.4</v>
      </c>
      <c r="AH76" s="48">
        <f t="shared" ref="AH76:AH109" si="13">MAX(B76:AF76)</f>
        <v>0</v>
      </c>
      <c r="AI76" s="49">
        <f t="shared" ref="AI76:AI109" si="14">MIN(B76:AF76)</f>
        <v>0</v>
      </c>
      <c r="AK76" s="50"/>
    </row>
    <row r="77" spans="1:37" ht="15.75" thickBot="1" x14ac:dyDescent="0.3">
      <c r="A77" s="78" t="s">
        <v>85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80">
        <v>2</v>
      </c>
      <c r="AH77" s="48">
        <f t="shared" si="13"/>
        <v>0</v>
      </c>
      <c r="AI77" s="49">
        <f t="shared" si="14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13"/>
        <v>0</v>
      </c>
      <c r="AI78" s="49">
        <f t="shared" si="14"/>
        <v>0</v>
      </c>
    </row>
    <row r="79" spans="1:37" ht="15.75" thickBot="1" x14ac:dyDescent="0.3">
      <c r="A79" s="74" t="s">
        <v>87</v>
      </c>
      <c r="B79" s="83">
        <f t="shared" ref="B79:AG79" si="15">B40+B44+B62+B58+B74+B78</f>
        <v>1276.04</v>
      </c>
      <c r="C79" s="83">
        <f t="shared" si="15"/>
        <v>1265.74</v>
      </c>
      <c r="D79" s="83">
        <f t="shared" si="15"/>
        <v>1257.24</v>
      </c>
      <c r="E79" s="83">
        <f t="shared" si="15"/>
        <v>1251.54</v>
      </c>
      <c r="F79" s="83">
        <f t="shared" si="15"/>
        <v>1241.44</v>
      </c>
      <c r="G79" s="83">
        <f t="shared" si="15"/>
        <v>1289.04</v>
      </c>
      <c r="H79" s="83">
        <f t="shared" si="15"/>
        <v>1314.84</v>
      </c>
      <c r="I79" s="83">
        <f t="shared" si="15"/>
        <v>1375.94</v>
      </c>
      <c r="J79" s="83">
        <f t="shared" si="15"/>
        <v>1427.14</v>
      </c>
      <c r="K79" s="83">
        <f t="shared" si="15"/>
        <v>1519.8400000000001</v>
      </c>
      <c r="L79" s="83">
        <f t="shared" si="15"/>
        <v>1583.64</v>
      </c>
      <c r="M79" s="83">
        <f t="shared" si="15"/>
        <v>1572.8400000000001</v>
      </c>
      <c r="N79" s="83">
        <f t="shared" si="15"/>
        <v>1527.04</v>
      </c>
      <c r="O79" s="83">
        <f t="shared" si="15"/>
        <v>1480.04</v>
      </c>
      <c r="P79" s="83">
        <f t="shared" si="15"/>
        <v>1485.04</v>
      </c>
      <c r="Q79" s="83">
        <f t="shared" si="15"/>
        <v>1475.3400000000001</v>
      </c>
      <c r="R79" s="83">
        <f t="shared" si="15"/>
        <v>1416.44</v>
      </c>
      <c r="S79" s="83">
        <f t="shared" si="15"/>
        <v>1389.94</v>
      </c>
      <c r="T79" s="83">
        <f t="shared" si="15"/>
        <v>1408.6399999999999</v>
      </c>
      <c r="U79" s="83">
        <f t="shared" si="15"/>
        <v>1404.6399999999999</v>
      </c>
      <c r="V79" s="83">
        <f t="shared" si="15"/>
        <v>1413.44</v>
      </c>
      <c r="W79" s="83">
        <f t="shared" si="15"/>
        <v>1633.64</v>
      </c>
      <c r="X79" s="83">
        <f t="shared" si="15"/>
        <v>1660.64</v>
      </c>
      <c r="Y79" s="83">
        <f t="shared" si="15"/>
        <v>1634.24</v>
      </c>
      <c r="Z79" s="83">
        <f t="shared" si="15"/>
        <v>1516.24</v>
      </c>
      <c r="AA79" s="83">
        <f t="shared" si="15"/>
        <v>1540.24</v>
      </c>
      <c r="AB79" s="83">
        <f t="shared" si="15"/>
        <v>1504.44</v>
      </c>
      <c r="AC79" s="83">
        <f t="shared" si="15"/>
        <v>1469.24</v>
      </c>
      <c r="AD79" s="83">
        <f t="shared" si="15"/>
        <v>1405.84</v>
      </c>
      <c r="AE79" s="83">
        <f t="shared" si="15"/>
        <v>1352.44</v>
      </c>
      <c r="AF79" s="83">
        <f t="shared" si="15"/>
        <v>1348.94</v>
      </c>
      <c r="AG79" s="62">
        <f t="shared" si="15"/>
        <v>1897.1900000000003</v>
      </c>
      <c r="AH79" s="48">
        <f t="shared" si="13"/>
        <v>1660.64</v>
      </c>
      <c r="AI79" s="49">
        <f t="shared" si="14"/>
        <v>1241.44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13"/>
        <v>0</v>
      </c>
      <c r="AI80" s="49">
        <f t="shared" si="14"/>
        <v>0</v>
      </c>
    </row>
    <row r="81" spans="1:37" ht="15.75" thickBot="1" x14ac:dyDescent="0.3">
      <c r="A81" s="74" t="s">
        <v>89</v>
      </c>
      <c r="B81" s="83">
        <f t="shared" ref="B81:AF81" si="16">B79+B80</f>
        <v>1276.04</v>
      </c>
      <c r="C81" s="83">
        <f t="shared" si="16"/>
        <v>1265.74</v>
      </c>
      <c r="D81" s="83">
        <f t="shared" si="16"/>
        <v>1257.24</v>
      </c>
      <c r="E81" s="83">
        <f t="shared" si="16"/>
        <v>1251.54</v>
      </c>
      <c r="F81" s="83">
        <f t="shared" si="16"/>
        <v>1241.44</v>
      </c>
      <c r="G81" s="83">
        <f t="shared" si="16"/>
        <v>1289.04</v>
      </c>
      <c r="H81" s="83">
        <f t="shared" si="16"/>
        <v>1314.84</v>
      </c>
      <c r="I81" s="83">
        <f t="shared" si="16"/>
        <v>1375.94</v>
      </c>
      <c r="J81" s="83">
        <f t="shared" si="16"/>
        <v>1427.14</v>
      </c>
      <c r="K81" s="83">
        <f t="shared" si="16"/>
        <v>1519.8400000000001</v>
      </c>
      <c r="L81" s="83">
        <f t="shared" si="16"/>
        <v>1583.64</v>
      </c>
      <c r="M81" s="83">
        <f t="shared" si="16"/>
        <v>1572.8400000000001</v>
      </c>
      <c r="N81" s="83">
        <f t="shared" si="16"/>
        <v>1527.04</v>
      </c>
      <c r="O81" s="83">
        <f t="shared" si="16"/>
        <v>1480.04</v>
      </c>
      <c r="P81" s="83">
        <f t="shared" si="16"/>
        <v>1485.04</v>
      </c>
      <c r="Q81" s="83">
        <f t="shared" si="16"/>
        <v>1475.3400000000001</v>
      </c>
      <c r="R81" s="83">
        <f t="shared" si="16"/>
        <v>1416.44</v>
      </c>
      <c r="S81" s="83">
        <f t="shared" si="16"/>
        <v>1389.94</v>
      </c>
      <c r="T81" s="83">
        <f t="shared" si="16"/>
        <v>1408.6399999999999</v>
      </c>
      <c r="U81" s="83">
        <f t="shared" si="16"/>
        <v>1404.6399999999999</v>
      </c>
      <c r="V81" s="83">
        <f t="shared" si="16"/>
        <v>1413.44</v>
      </c>
      <c r="W81" s="83">
        <f t="shared" si="16"/>
        <v>1633.64</v>
      </c>
      <c r="X81" s="83">
        <f t="shared" si="16"/>
        <v>1660.64</v>
      </c>
      <c r="Y81" s="83">
        <f t="shared" si="16"/>
        <v>1634.24</v>
      </c>
      <c r="Z81" s="83">
        <f t="shared" si="16"/>
        <v>1516.24</v>
      </c>
      <c r="AA81" s="83">
        <f t="shared" si="16"/>
        <v>1540.24</v>
      </c>
      <c r="AB81" s="83">
        <f t="shared" si="16"/>
        <v>1504.44</v>
      </c>
      <c r="AC81" s="83">
        <f t="shared" si="16"/>
        <v>1469.24</v>
      </c>
      <c r="AD81" s="83">
        <f t="shared" si="16"/>
        <v>1405.84</v>
      </c>
      <c r="AE81" s="83">
        <f t="shared" si="16"/>
        <v>1352.44</v>
      </c>
      <c r="AF81" s="83">
        <f t="shared" si="16"/>
        <v>1348.94</v>
      </c>
      <c r="AG81" s="81">
        <f>AG78+AG74+AG62+AG58+AG40+AG80</f>
        <v>1359.0900000000001</v>
      </c>
      <c r="AH81" s="48">
        <f t="shared" si="13"/>
        <v>1660.64</v>
      </c>
      <c r="AI81" s="49">
        <f t="shared" si="14"/>
        <v>1241.44</v>
      </c>
    </row>
    <row r="82" spans="1:37" ht="15.75" thickBot="1" x14ac:dyDescent="0.3">
      <c r="A82" s="74" t="s">
        <v>90</v>
      </c>
      <c r="B82" s="83">
        <f t="shared" ref="B82:AF82" si="17">B81-B89</f>
        <v>892.04</v>
      </c>
      <c r="C82" s="83">
        <f t="shared" si="17"/>
        <v>875.74</v>
      </c>
      <c r="D82" s="83">
        <f t="shared" si="17"/>
        <v>868.24</v>
      </c>
      <c r="E82" s="83">
        <f t="shared" si="17"/>
        <v>854.24</v>
      </c>
      <c r="F82" s="83">
        <f t="shared" si="17"/>
        <v>863.44</v>
      </c>
      <c r="G82" s="83">
        <f t="shared" si="17"/>
        <v>907.14</v>
      </c>
      <c r="H82" s="83">
        <f t="shared" si="17"/>
        <v>932.7399999999999</v>
      </c>
      <c r="I82" s="83">
        <f t="shared" si="17"/>
        <v>1010.94</v>
      </c>
      <c r="J82" s="83">
        <f t="shared" si="17"/>
        <v>1086.94</v>
      </c>
      <c r="K82" s="83">
        <f t="shared" si="17"/>
        <v>1165.8400000000001</v>
      </c>
      <c r="L82" s="83">
        <f t="shared" si="17"/>
        <v>1262.6400000000001</v>
      </c>
      <c r="M82" s="83">
        <f t="shared" si="17"/>
        <v>1242.8400000000001</v>
      </c>
      <c r="N82" s="83">
        <f t="shared" si="17"/>
        <v>1207.04</v>
      </c>
      <c r="O82" s="83">
        <f t="shared" si="17"/>
        <v>1180.04</v>
      </c>
      <c r="P82" s="83">
        <f t="shared" si="17"/>
        <v>1185.04</v>
      </c>
      <c r="Q82" s="83">
        <f t="shared" si="17"/>
        <v>1195.3400000000001</v>
      </c>
      <c r="R82" s="83">
        <f t="shared" si="17"/>
        <v>1149.44</v>
      </c>
      <c r="S82" s="83">
        <f t="shared" si="17"/>
        <v>1145.94</v>
      </c>
      <c r="T82" s="83">
        <f t="shared" si="17"/>
        <v>1175.6399999999999</v>
      </c>
      <c r="U82" s="83">
        <f t="shared" si="17"/>
        <v>1170.2399999999998</v>
      </c>
      <c r="V82" s="83">
        <f t="shared" si="17"/>
        <v>1197.44</v>
      </c>
      <c r="W82" s="83">
        <f t="shared" si="17"/>
        <v>1315.64</v>
      </c>
      <c r="X82" s="83">
        <f t="shared" si="17"/>
        <v>1428.64</v>
      </c>
      <c r="Y82" s="83">
        <f t="shared" si="17"/>
        <v>1384.24</v>
      </c>
      <c r="Z82" s="83">
        <f t="shared" si="17"/>
        <v>1276.24</v>
      </c>
      <c r="AA82" s="83">
        <f t="shared" si="17"/>
        <v>1239.24</v>
      </c>
      <c r="AB82" s="83">
        <f t="shared" si="17"/>
        <v>1221.74</v>
      </c>
      <c r="AC82" s="83">
        <f t="shared" si="17"/>
        <v>1144.24</v>
      </c>
      <c r="AD82" s="83">
        <f t="shared" si="17"/>
        <v>1084.2399999999998</v>
      </c>
      <c r="AE82" s="83">
        <f t="shared" si="17"/>
        <v>1039.5900000000001</v>
      </c>
      <c r="AF82" s="83">
        <f t="shared" si="17"/>
        <v>1031.04</v>
      </c>
      <c r="AG82" s="81"/>
      <c r="AH82" s="48">
        <f t="shared" si="13"/>
        <v>1428.64</v>
      </c>
      <c r="AI82" s="49">
        <f t="shared" si="14"/>
        <v>854.24</v>
      </c>
    </row>
    <row r="83" spans="1:37" x14ac:dyDescent="0.25">
      <c r="A83" s="44" t="s">
        <v>74</v>
      </c>
      <c r="B83" s="76">
        <f t="shared" ref="B83:AF83" si="18">IF(B66&lt;0,B66*-1,0)</f>
        <v>0</v>
      </c>
      <c r="C83" s="76">
        <f t="shared" si="18"/>
        <v>0</v>
      </c>
      <c r="D83" s="76">
        <f t="shared" si="18"/>
        <v>0</v>
      </c>
      <c r="E83" s="76">
        <f t="shared" si="18"/>
        <v>0</v>
      </c>
      <c r="F83" s="76">
        <f t="shared" si="18"/>
        <v>0</v>
      </c>
      <c r="G83" s="76">
        <f t="shared" si="18"/>
        <v>0</v>
      </c>
      <c r="H83" s="76">
        <f t="shared" si="18"/>
        <v>0</v>
      </c>
      <c r="I83" s="76">
        <f t="shared" si="18"/>
        <v>0</v>
      </c>
      <c r="J83" s="76">
        <f t="shared" si="18"/>
        <v>0</v>
      </c>
      <c r="K83" s="76">
        <f t="shared" si="18"/>
        <v>0</v>
      </c>
      <c r="L83" s="76">
        <f t="shared" si="18"/>
        <v>0</v>
      </c>
      <c r="M83" s="76">
        <f t="shared" si="18"/>
        <v>0</v>
      </c>
      <c r="N83" s="76">
        <f t="shared" si="18"/>
        <v>0</v>
      </c>
      <c r="O83" s="76">
        <f t="shared" si="18"/>
        <v>0</v>
      </c>
      <c r="P83" s="76">
        <f t="shared" si="18"/>
        <v>0</v>
      </c>
      <c r="Q83" s="76">
        <f t="shared" si="18"/>
        <v>0</v>
      </c>
      <c r="R83" s="76">
        <f t="shared" si="18"/>
        <v>0</v>
      </c>
      <c r="S83" s="76">
        <f t="shared" si="18"/>
        <v>0</v>
      </c>
      <c r="T83" s="76">
        <f t="shared" si="18"/>
        <v>0</v>
      </c>
      <c r="U83" s="76">
        <f t="shared" si="18"/>
        <v>0</v>
      </c>
      <c r="V83" s="76">
        <f t="shared" si="18"/>
        <v>0</v>
      </c>
      <c r="W83" s="76">
        <f t="shared" si="18"/>
        <v>0</v>
      </c>
      <c r="X83" s="76">
        <f t="shared" si="18"/>
        <v>0</v>
      </c>
      <c r="Y83" s="76">
        <f t="shared" si="18"/>
        <v>0</v>
      </c>
      <c r="Z83" s="76">
        <f t="shared" si="18"/>
        <v>0</v>
      </c>
      <c r="AA83" s="76">
        <f t="shared" si="18"/>
        <v>0</v>
      </c>
      <c r="AB83" s="76">
        <f t="shared" si="18"/>
        <v>0</v>
      </c>
      <c r="AC83" s="76">
        <f t="shared" si="18"/>
        <v>0</v>
      </c>
      <c r="AD83" s="76">
        <f t="shared" si="18"/>
        <v>0</v>
      </c>
      <c r="AE83" s="76">
        <f t="shared" si="18"/>
        <v>0</v>
      </c>
      <c r="AF83" s="76">
        <f t="shared" si="18"/>
        <v>0</v>
      </c>
      <c r="AG83" s="52"/>
      <c r="AH83" s="48">
        <f t="shared" si="13"/>
        <v>0</v>
      </c>
      <c r="AI83" s="49">
        <f t="shared" si="14"/>
        <v>0</v>
      </c>
    </row>
    <row r="84" spans="1:37" x14ac:dyDescent="0.25">
      <c r="A84" s="54" t="s">
        <v>72</v>
      </c>
      <c r="B84" s="76">
        <f t="shared" ref="B84:AF84" si="19">IF(B64&lt;0,B64*-1,0)</f>
        <v>0</v>
      </c>
      <c r="C84" s="76">
        <f t="shared" si="19"/>
        <v>0</v>
      </c>
      <c r="D84" s="76">
        <f t="shared" si="19"/>
        <v>0</v>
      </c>
      <c r="E84" s="76">
        <f t="shared" si="19"/>
        <v>0</v>
      </c>
      <c r="F84" s="76">
        <f t="shared" si="19"/>
        <v>0</v>
      </c>
      <c r="G84" s="76">
        <f t="shared" si="19"/>
        <v>0</v>
      </c>
      <c r="H84" s="76">
        <f t="shared" si="19"/>
        <v>0</v>
      </c>
      <c r="I84" s="76">
        <f t="shared" si="19"/>
        <v>0</v>
      </c>
      <c r="J84" s="76">
        <f t="shared" si="19"/>
        <v>0</v>
      </c>
      <c r="K84" s="76">
        <f t="shared" si="19"/>
        <v>0</v>
      </c>
      <c r="L84" s="76">
        <f t="shared" si="19"/>
        <v>0</v>
      </c>
      <c r="M84" s="76">
        <f t="shared" si="19"/>
        <v>0</v>
      </c>
      <c r="N84" s="76">
        <f t="shared" si="19"/>
        <v>0</v>
      </c>
      <c r="O84" s="76">
        <f t="shared" si="19"/>
        <v>0</v>
      </c>
      <c r="P84" s="76">
        <f t="shared" si="19"/>
        <v>0</v>
      </c>
      <c r="Q84" s="76">
        <f t="shared" si="19"/>
        <v>0</v>
      </c>
      <c r="R84" s="76">
        <f t="shared" si="19"/>
        <v>0</v>
      </c>
      <c r="S84" s="76">
        <f t="shared" si="19"/>
        <v>0</v>
      </c>
      <c r="T84" s="76">
        <f t="shared" si="19"/>
        <v>0</v>
      </c>
      <c r="U84" s="76">
        <f t="shared" si="19"/>
        <v>0</v>
      </c>
      <c r="V84" s="76">
        <f t="shared" si="19"/>
        <v>0</v>
      </c>
      <c r="W84" s="76">
        <f t="shared" si="19"/>
        <v>0</v>
      </c>
      <c r="X84" s="76">
        <f t="shared" si="19"/>
        <v>0</v>
      </c>
      <c r="Y84" s="76">
        <f t="shared" si="19"/>
        <v>0</v>
      </c>
      <c r="Z84" s="76">
        <f t="shared" si="19"/>
        <v>0</v>
      </c>
      <c r="AA84" s="76">
        <f t="shared" si="19"/>
        <v>0</v>
      </c>
      <c r="AB84" s="76">
        <f t="shared" si="19"/>
        <v>0</v>
      </c>
      <c r="AC84" s="76">
        <f t="shared" si="19"/>
        <v>0</v>
      </c>
      <c r="AD84" s="76">
        <f t="shared" si="19"/>
        <v>0</v>
      </c>
      <c r="AE84" s="76">
        <f t="shared" si="19"/>
        <v>0</v>
      </c>
      <c r="AF84" s="76">
        <f t="shared" si="19"/>
        <v>0</v>
      </c>
      <c r="AG84" s="55"/>
      <c r="AH84" s="48">
        <f t="shared" si="13"/>
        <v>0</v>
      </c>
      <c r="AI84" s="49">
        <f t="shared" si="14"/>
        <v>0</v>
      </c>
    </row>
    <row r="85" spans="1:37" x14ac:dyDescent="0.25">
      <c r="A85" s="78" t="s">
        <v>91</v>
      </c>
      <c r="B85" s="76">
        <f t="shared" ref="B85:AF85" si="20">IF(B67&lt;0,B67*-1,0)</f>
        <v>0</v>
      </c>
      <c r="C85" s="76">
        <f t="shared" si="20"/>
        <v>0</v>
      </c>
      <c r="D85" s="76">
        <f t="shared" si="20"/>
        <v>0</v>
      </c>
      <c r="E85" s="76">
        <f t="shared" si="20"/>
        <v>0</v>
      </c>
      <c r="F85" s="76">
        <f t="shared" si="20"/>
        <v>0</v>
      </c>
      <c r="G85" s="76">
        <f t="shared" si="20"/>
        <v>0</v>
      </c>
      <c r="H85" s="76">
        <f t="shared" si="20"/>
        <v>0</v>
      </c>
      <c r="I85" s="76">
        <f t="shared" si="20"/>
        <v>0</v>
      </c>
      <c r="J85" s="76">
        <f t="shared" si="20"/>
        <v>0</v>
      </c>
      <c r="K85" s="76">
        <f t="shared" si="20"/>
        <v>0</v>
      </c>
      <c r="L85" s="76">
        <f t="shared" si="20"/>
        <v>0</v>
      </c>
      <c r="M85" s="76">
        <f t="shared" si="20"/>
        <v>0</v>
      </c>
      <c r="N85" s="76">
        <f t="shared" si="20"/>
        <v>0</v>
      </c>
      <c r="O85" s="76">
        <f t="shared" si="20"/>
        <v>0</v>
      </c>
      <c r="P85" s="76">
        <f t="shared" si="20"/>
        <v>0</v>
      </c>
      <c r="Q85" s="76">
        <f t="shared" si="20"/>
        <v>0</v>
      </c>
      <c r="R85" s="76">
        <f t="shared" si="20"/>
        <v>0</v>
      </c>
      <c r="S85" s="76">
        <f t="shared" si="20"/>
        <v>0</v>
      </c>
      <c r="T85" s="76">
        <f t="shared" si="20"/>
        <v>0</v>
      </c>
      <c r="U85" s="76">
        <f t="shared" si="20"/>
        <v>0</v>
      </c>
      <c r="V85" s="76">
        <f t="shared" si="20"/>
        <v>0</v>
      </c>
      <c r="W85" s="76">
        <f t="shared" si="20"/>
        <v>0</v>
      </c>
      <c r="X85" s="76">
        <f t="shared" si="20"/>
        <v>0</v>
      </c>
      <c r="Y85" s="76">
        <f t="shared" si="20"/>
        <v>0</v>
      </c>
      <c r="Z85" s="76">
        <f t="shared" si="20"/>
        <v>0</v>
      </c>
      <c r="AA85" s="76">
        <f t="shared" si="20"/>
        <v>0</v>
      </c>
      <c r="AB85" s="76">
        <f t="shared" si="20"/>
        <v>0</v>
      </c>
      <c r="AC85" s="76">
        <f t="shared" si="20"/>
        <v>0</v>
      </c>
      <c r="AD85" s="76">
        <f t="shared" si="20"/>
        <v>0</v>
      </c>
      <c r="AE85" s="76">
        <f t="shared" si="20"/>
        <v>0</v>
      </c>
      <c r="AF85" s="76">
        <f t="shared" si="20"/>
        <v>0</v>
      </c>
      <c r="AG85" s="86"/>
      <c r="AH85" s="48">
        <f t="shared" si="13"/>
        <v>0</v>
      </c>
      <c r="AI85" s="49">
        <f t="shared" si="14"/>
        <v>0</v>
      </c>
    </row>
    <row r="86" spans="1:37" x14ac:dyDescent="0.25">
      <c r="A86" s="78" t="s">
        <v>92</v>
      </c>
      <c r="B86" s="76">
        <f t="shared" ref="B86:AF86" si="21">IF(B65&lt;0,B65*-1,0)</f>
        <v>384</v>
      </c>
      <c r="C86" s="76">
        <f t="shared" si="21"/>
        <v>390</v>
      </c>
      <c r="D86" s="76">
        <f t="shared" si="21"/>
        <v>389</v>
      </c>
      <c r="E86" s="76">
        <f t="shared" si="21"/>
        <v>397.3</v>
      </c>
      <c r="F86" s="76">
        <f t="shared" si="21"/>
        <v>378</v>
      </c>
      <c r="G86" s="76">
        <f t="shared" si="21"/>
        <v>381.9</v>
      </c>
      <c r="H86" s="76">
        <f t="shared" si="21"/>
        <v>382.1</v>
      </c>
      <c r="I86" s="76">
        <f t="shared" si="21"/>
        <v>365</v>
      </c>
      <c r="J86" s="76">
        <f t="shared" si="21"/>
        <v>340.2</v>
      </c>
      <c r="K86" s="76">
        <f t="shared" si="21"/>
        <v>354</v>
      </c>
      <c r="L86" s="76">
        <f t="shared" si="21"/>
        <v>321</v>
      </c>
      <c r="M86" s="76">
        <f t="shared" si="21"/>
        <v>330</v>
      </c>
      <c r="N86" s="76">
        <f t="shared" si="21"/>
        <v>320</v>
      </c>
      <c r="O86" s="76">
        <f t="shared" si="21"/>
        <v>300</v>
      </c>
      <c r="P86" s="76">
        <f t="shared" si="21"/>
        <v>300</v>
      </c>
      <c r="Q86" s="76">
        <f t="shared" si="21"/>
        <v>280</v>
      </c>
      <c r="R86" s="76">
        <f t="shared" si="21"/>
        <v>267</v>
      </c>
      <c r="S86" s="76">
        <f t="shared" si="21"/>
        <v>244</v>
      </c>
      <c r="T86" s="76">
        <f t="shared" si="21"/>
        <v>233</v>
      </c>
      <c r="U86" s="76">
        <f t="shared" si="21"/>
        <v>234.4</v>
      </c>
      <c r="V86" s="76">
        <f t="shared" si="21"/>
        <v>216</v>
      </c>
      <c r="W86" s="76">
        <f t="shared" si="21"/>
        <v>318</v>
      </c>
      <c r="X86" s="76">
        <f t="shared" si="21"/>
        <v>232</v>
      </c>
      <c r="Y86" s="76">
        <f t="shared" si="21"/>
        <v>250</v>
      </c>
      <c r="Z86" s="76">
        <f t="shared" si="21"/>
        <v>240</v>
      </c>
      <c r="AA86" s="76">
        <f t="shared" si="21"/>
        <v>301</v>
      </c>
      <c r="AB86" s="76">
        <f t="shared" si="21"/>
        <v>282.7</v>
      </c>
      <c r="AC86" s="76">
        <f t="shared" si="21"/>
        <v>325</v>
      </c>
      <c r="AD86" s="76">
        <f t="shared" si="21"/>
        <v>321.60000000000002</v>
      </c>
      <c r="AE86" s="76">
        <f t="shared" si="21"/>
        <v>312.85000000000002</v>
      </c>
      <c r="AF86" s="76">
        <f t="shared" si="21"/>
        <v>317.89999999999998</v>
      </c>
      <c r="AG86" s="86"/>
      <c r="AH86" s="48">
        <f t="shared" si="13"/>
        <v>397.3</v>
      </c>
      <c r="AI86" s="49">
        <f t="shared" si="14"/>
        <v>216</v>
      </c>
    </row>
    <row r="87" spans="1:37" x14ac:dyDescent="0.25">
      <c r="A87" s="78" t="s">
        <v>71</v>
      </c>
      <c r="B87" s="76">
        <f t="shared" ref="B87:AF87" si="22">IF(B63&lt;0,B63*-1,0)</f>
        <v>0</v>
      </c>
      <c r="C87" s="76">
        <f t="shared" si="22"/>
        <v>0</v>
      </c>
      <c r="D87" s="76">
        <f t="shared" si="22"/>
        <v>0</v>
      </c>
      <c r="E87" s="76">
        <f t="shared" si="22"/>
        <v>0</v>
      </c>
      <c r="F87" s="76">
        <f t="shared" si="22"/>
        <v>0</v>
      </c>
      <c r="G87" s="76">
        <f t="shared" si="22"/>
        <v>0</v>
      </c>
      <c r="H87" s="76">
        <f t="shared" si="22"/>
        <v>0</v>
      </c>
      <c r="I87" s="76">
        <f t="shared" si="22"/>
        <v>0</v>
      </c>
      <c r="J87" s="76">
        <f t="shared" si="22"/>
        <v>0</v>
      </c>
      <c r="K87" s="76">
        <f t="shared" si="22"/>
        <v>0</v>
      </c>
      <c r="L87" s="76">
        <f t="shared" si="22"/>
        <v>0</v>
      </c>
      <c r="M87" s="76">
        <f t="shared" si="22"/>
        <v>0</v>
      </c>
      <c r="N87" s="76">
        <f t="shared" si="22"/>
        <v>0</v>
      </c>
      <c r="O87" s="76">
        <f t="shared" si="22"/>
        <v>0</v>
      </c>
      <c r="P87" s="76">
        <f t="shared" si="22"/>
        <v>0</v>
      </c>
      <c r="Q87" s="76">
        <f t="shared" si="22"/>
        <v>0</v>
      </c>
      <c r="R87" s="76">
        <f t="shared" si="22"/>
        <v>0</v>
      </c>
      <c r="S87" s="76">
        <f t="shared" si="22"/>
        <v>0</v>
      </c>
      <c r="T87" s="76">
        <f t="shared" si="22"/>
        <v>0</v>
      </c>
      <c r="U87" s="76">
        <f t="shared" si="22"/>
        <v>0</v>
      </c>
      <c r="V87" s="76">
        <f t="shared" si="22"/>
        <v>0</v>
      </c>
      <c r="W87" s="76">
        <f t="shared" si="22"/>
        <v>0</v>
      </c>
      <c r="X87" s="76">
        <f t="shared" si="22"/>
        <v>0</v>
      </c>
      <c r="Y87" s="76">
        <f t="shared" si="22"/>
        <v>0</v>
      </c>
      <c r="Z87" s="76">
        <f t="shared" si="22"/>
        <v>0</v>
      </c>
      <c r="AA87" s="76">
        <f t="shared" si="22"/>
        <v>0</v>
      </c>
      <c r="AB87" s="76">
        <f t="shared" si="22"/>
        <v>0</v>
      </c>
      <c r="AC87" s="76">
        <f t="shared" si="22"/>
        <v>0</v>
      </c>
      <c r="AD87" s="76">
        <f t="shared" si="22"/>
        <v>0</v>
      </c>
      <c r="AE87" s="76">
        <f t="shared" si="22"/>
        <v>0</v>
      </c>
      <c r="AF87" s="76">
        <f t="shared" si="22"/>
        <v>0</v>
      </c>
      <c r="AG87" s="86"/>
      <c r="AH87" s="48">
        <f t="shared" si="13"/>
        <v>0</v>
      </c>
      <c r="AI87" s="49">
        <f t="shared" si="14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13"/>
        <v>0</v>
      </c>
      <c r="AI88" s="49">
        <f t="shared" si="14"/>
        <v>0</v>
      </c>
    </row>
    <row r="89" spans="1:37" ht="15.75" thickBot="1" x14ac:dyDescent="0.3">
      <c r="A89" s="87" t="s">
        <v>94</v>
      </c>
      <c r="B89" s="61">
        <f t="shared" ref="B89:AF89" si="23">SUM(B83:B88)</f>
        <v>384</v>
      </c>
      <c r="C89" s="61">
        <f t="shared" si="23"/>
        <v>390</v>
      </c>
      <c r="D89" s="61">
        <f t="shared" si="23"/>
        <v>389</v>
      </c>
      <c r="E89" s="61">
        <f t="shared" si="23"/>
        <v>397.3</v>
      </c>
      <c r="F89" s="61">
        <f t="shared" si="23"/>
        <v>378</v>
      </c>
      <c r="G89" s="61">
        <f t="shared" si="23"/>
        <v>381.9</v>
      </c>
      <c r="H89" s="61">
        <f t="shared" si="23"/>
        <v>382.1</v>
      </c>
      <c r="I89" s="61">
        <f t="shared" si="23"/>
        <v>365</v>
      </c>
      <c r="J89" s="61">
        <f t="shared" si="23"/>
        <v>340.2</v>
      </c>
      <c r="K89" s="61">
        <f t="shared" si="23"/>
        <v>354</v>
      </c>
      <c r="L89" s="61">
        <f t="shared" si="23"/>
        <v>321</v>
      </c>
      <c r="M89" s="61">
        <f t="shared" si="23"/>
        <v>330</v>
      </c>
      <c r="N89" s="61">
        <f t="shared" si="23"/>
        <v>320</v>
      </c>
      <c r="O89" s="61">
        <f t="shared" si="23"/>
        <v>300</v>
      </c>
      <c r="P89" s="61">
        <f t="shared" si="23"/>
        <v>300</v>
      </c>
      <c r="Q89" s="61">
        <f t="shared" si="23"/>
        <v>280</v>
      </c>
      <c r="R89" s="61">
        <f t="shared" si="23"/>
        <v>267</v>
      </c>
      <c r="S89" s="61">
        <f t="shared" si="23"/>
        <v>244</v>
      </c>
      <c r="T89" s="61">
        <f t="shared" si="23"/>
        <v>233</v>
      </c>
      <c r="U89" s="61">
        <f t="shared" si="23"/>
        <v>234.4</v>
      </c>
      <c r="V89" s="61">
        <f t="shared" si="23"/>
        <v>216</v>
      </c>
      <c r="W89" s="61">
        <f t="shared" si="23"/>
        <v>318</v>
      </c>
      <c r="X89" s="61">
        <f t="shared" si="23"/>
        <v>232</v>
      </c>
      <c r="Y89" s="61">
        <f t="shared" si="23"/>
        <v>250</v>
      </c>
      <c r="Z89" s="61">
        <f t="shared" si="23"/>
        <v>240</v>
      </c>
      <c r="AA89" s="61">
        <f t="shared" si="23"/>
        <v>301</v>
      </c>
      <c r="AB89" s="61">
        <f t="shared" si="23"/>
        <v>282.7</v>
      </c>
      <c r="AC89" s="61">
        <f t="shared" si="23"/>
        <v>325</v>
      </c>
      <c r="AD89" s="61">
        <f t="shared" si="23"/>
        <v>321.60000000000002</v>
      </c>
      <c r="AE89" s="61">
        <f t="shared" si="23"/>
        <v>312.85000000000002</v>
      </c>
      <c r="AF89" s="61">
        <f t="shared" si="23"/>
        <v>317.89999999999998</v>
      </c>
      <c r="AG89" s="81"/>
      <c r="AH89" s="48">
        <f t="shared" si="13"/>
        <v>397.3</v>
      </c>
      <c r="AI89" s="49">
        <f t="shared" si="14"/>
        <v>216</v>
      </c>
      <c r="AK89" s="50"/>
    </row>
    <row r="90" spans="1:37" ht="15.75" thickBot="1" x14ac:dyDescent="0.3">
      <c r="A90" s="74" t="s">
        <v>95</v>
      </c>
      <c r="B90" s="61">
        <f t="shared" ref="B90:AF90" si="24">B74-B89</f>
        <v>-384</v>
      </c>
      <c r="C90" s="61">
        <f t="shared" si="24"/>
        <v>-390</v>
      </c>
      <c r="D90" s="61">
        <f t="shared" si="24"/>
        <v>-389</v>
      </c>
      <c r="E90" s="61">
        <f t="shared" si="24"/>
        <v>-397.3</v>
      </c>
      <c r="F90" s="61">
        <f t="shared" si="24"/>
        <v>-378</v>
      </c>
      <c r="G90" s="61">
        <f t="shared" si="24"/>
        <v>-381.9</v>
      </c>
      <c r="H90" s="61">
        <f t="shared" si="24"/>
        <v>-382.1</v>
      </c>
      <c r="I90" s="61">
        <f t="shared" si="24"/>
        <v>-365</v>
      </c>
      <c r="J90" s="61">
        <f t="shared" si="24"/>
        <v>-340.2</v>
      </c>
      <c r="K90" s="61">
        <f t="shared" si="24"/>
        <v>-354</v>
      </c>
      <c r="L90" s="61">
        <f t="shared" si="24"/>
        <v>-321</v>
      </c>
      <c r="M90" s="61">
        <f t="shared" si="24"/>
        <v>-330</v>
      </c>
      <c r="N90" s="61">
        <f t="shared" si="24"/>
        <v>-320</v>
      </c>
      <c r="O90" s="61">
        <f t="shared" si="24"/>
        <v>-300</v>
      </c>
      <c r="P90" s="61">
        <f t="shared" si="24"/>
        <v>-300</v>
      </c>
      <c r="Q90" s="61">
        <f t="shared" si="24"/>
        <v>-280</v>
      </c>
      <c r="R90" s="61">
        <f t="shared" si="24"/>
        <v>-267</v>
      </c>
      <c r="S90" s="61">
        <f t="shared" si="24"/>
        <v>-244</v>
      </c>
      <c r="T90" s="61">
        <f t="shared" si="24"/>
        <v>-233</v>
      </c>
      <c r="U90" s="61">
        <f t="shared" si="24"/>
        <v>-234.4</v>
      </c>
      <c r="V90" s="61">
        <f t="shared" si="24"/>
        <v>-216</v>
      </c>
      <c r="W90" s="61">
        <f t="shared" si="24"/>
        <v>-318</v>
      </c>
      <c r="X90" s="61">
        <f t="shared" si="24"/>
        <v>-232</v>
      </c>
      <c r="Y90" s="61">
        <f t="shared" si="24"/>
        <v>-250</v>
      </c>
      <c r="Z90" s="61">
        <f t="shared" si="24"/>
        <v>-240</v>
      </c>
      <c r="AA90" s="61">
        <f t="shared" si="24"/>
        <v>-301</v>
      </c>
      <c r="AB90" s="61">
        <f t="shared" si="24"/>
        <v>-282.7</v>
      </c>
      <c r="AC90" s="61">
        <f t="shared" si="24"/>
        <v>-325</v>
      </c>
      <c r="AD90" s="61">
        <f t="shared" si="24"/>
        <v>-321.60000000000002</v>
      </c>
      <c r="AE90" s="61">
        <f t="shared" si="24"/>
        <v>-312.85000000000002</v>
      </c>
      <c r="AF90" s="61">
        <f t="shared" si="24"/>
        <v>-317.89999999999998</v>
      </c>
      <c r="AG90" s="81"/>
      <c r="AH90" s="48">
        <f t="shared" si="13"/>
        <v>-216</v>
      </c>
      <c r="AI90" s="49">
        <f t="shared" si="14"/>
        <v>-397.3</v>
      </c>
    </row>
    <row r="91" spans="1:37" x14ac:dyDescent="0.25">
      <c r="A91" s="88" t="s">
        <v>96</v>
      </c>
      <c r="B91" s="89">
        <v>49.94</v>
      </c>
      <c r="C91" s="89">
        <v>50.04</v>
      </c>
      <c r="D91" s="89">
        <v>50.03</v>
      </c>
      <c r="E91" s="89">
        <v>50.02</v>
      </c>
      <c r="F91" s="89">
        <v>50.04</v>
      </c>
      <c r="G91" s="89">
        <v>50.01</v>
      </c>
      <c r="H91" s="89">
        <v>50.04</v>
      </c>
      <c r="I91" s="89">
        <v>50.06</v>
      </c>
      <c r="J91" s="89">
        <v>50.07</v>
      </c>
      <c r="K91" s="89">
        <v>50.113</v>
      </c>
      <c r="L91" s="89">
        <v>50.036999999999999</v>
      </c>
      <c r="M91" s="89">
        <v>49.94</v>
      </c>
      <c r="N91" s="89">
        <v>50</v>
      </c>
      <c r="O91" s="89">
        <v>50.06</v>
      </c>
      <c r="P91" s="89">
        <v>50.04</v>
      </c>
      <c r="Q91" s="89">
        <v>50.04</v>
      </c>
      <c r="R91" s="89">
        <v>49.767000000000003</v>
      </c>
      <c r="S91" s="89">
        <v>50.137999999999998</v>
      </c>
      <c r="T91" s="89">
        <v>49.930999999999997</v>
      </c>
      <c r="U91" s="89">
        <v>49.951000000000001</v>
      </c>
      <c r="V91" s="89">
        <v>49.99</v>
      </c>
      <c r="W91" s="89">
        <v>50.094999999999999</v>
      </c>
      <c r="X91" s="89">
        <v>49.889000000000003</v>
      </c>
      <c r="Y91" s="89">
        <v>50.04</v>
      </c>
      <c r="Z91" s="89">
        <v>50.081000000000003</v>
      </c>
      <c r="AA91" s="89">
        <v>50.011000000000003</v>
      </c>
      <c r="AB91" s="89">
        <v>49.97</v>
      </c>
      <c r="AC91" s="89">
        <v>49.8</v>
      </c>
      <c r="AD91" s="89">
        <v>49.98</v>
      </c>
      <c r="AE91" s="89">
        <v>49.98</v>
      </c>
      <c r="AF91" s="89">
        <v>49.99</v>
      </c>
      <c r="AG91" s="90"/>
      <c r="AH91" s="48">
        <f t="shared" si="13"/>
        <v>50.137999999999998</v>
      </c>
      <c r="AI91" s="49">
        <f t="shared" si="14"/>
        <v>49.767000000000003</v>
      </c>
    </row>
    <row r="92" spans="1:37" x14ac:dyDescent="0.25">
      <c r="A92" s="91" t="s">
        <v>97</v>
      </c>
      <c r="B92" s="65">
        <v>127.3</v>
      </c>
      <c r="C92" s="65">
        <v>127.6</v>
      </c>
      <c r="D92" s="65">
        <v>127.5</v>
      </c>
      <c r="E92" s="65">
        <v>128</v>
      </c>
      <c r="F92" s="65">
        <v>127.1</v>
      </c>
      <c r="G92" s="65">
        <v>127.3</v>
      </c>
      <c r="H92" s="65">
        <v>127.1</v>
      </c>
      <c r="I92" s="65">
        <v>125.9</v>
      </c>
      <c r="J92" s="65">
        <v>123.1</v>
      </c>
      <c r="K92" s="65">
        <v>124.4</v>
      </c>
      <c r="L92" s="65">
        <v>123.6</v>
      </c>
      <c r="M92" s="65">
        <v>122.2</v>
      </c>
      <c r="N92" s="65">
        <v>124.8</v>
      </c>
      <c r="O92" s="65">
        <v>124.8</v>
      </c>
      <c r="P92" s="65">
        <v>124.8</v>
      </c>
      <c r="Q92" s="65">
        <v>124.8</v>
      </c>
      <c r="R92" s="65">
        <v>120.7</v>
      </c>
      <c r="S92" s="65">
        <v>123.9</v>
      </c>
      <c r="T92" s="65">
        <v>122.7</v>
      </c>
      <c r="U92" s="65">
        <v>124.1</v>
      </c>
      <c r="V92" s="65">
        <v>125.5</v>
      </c>
      <c r="W92" s="65">
        <v>125</v>
      </c>
      <c r="X92" s="65">
        <v>123.6</v>
      </c>
      <c r="Y92" s="65">
        <v>124.4</v>
      </c>
      <c r="Z92" s="65">
        <v>125.9</v>
      </c>
      <c r="AA92" s="65">
        <v>125.3</v>
      </c>
      <c r="AB92" s="65">
        <v>126.1</v>
      </c>
      <c r="AC92" s="65">
        <v>125.7</v>
      </c>
      <c r="AD92" s="65">
        <v>126.2</v>
      </c>
      <c r="AE92" s="65">
        <v>125.9</v>
      </c>
      <c r="AF92" s="65">
        <v>124.9</v>
      </c>
      <c r="AG92" s="92"/>
      <c r="AH92" s="48">
        <f t="shared" si="13"/>
        <v>128</v>
      </c>
      <c r="AI92" s="49">
        <f t="shared" si="14"/>
        <v>120.7</v>
      </c>
    </row>
    <row r="93" spans="1:37" x14ac:dyDescent="0.25">
      <c r="A93" s="91" t="s">
        <v>98</v>
      </c>
      <c r="B93" s="65">
        <v>131.6</v>
      </c>
      <c r="C93" s="65">
        <v>132</v>
      </c>
      <c r="D93" s="65">
        <v>131.9</v>
      </c>
      <c r="E93" s="65">
        <v>132.19999999999999</v>
      </c>
      <c r="F93" s="65">
        <v>131.9</v>
      </c>
      <c r="G93" s="65">
        <v>131.69999999999999</v>
      </c>
      <c r="H93" s="65">
        <v>131.1</v>
      </c>
      <c r="I93" s="65">
        <v>129.69999999999999</v>
      </c>
      <c r="J93" s="65">
        <v>127.4</v>
      </c>
      <c r="K93" s="65">
        <v>127.6</v>
      </c>
      <c r="L93" s="65">
        <v>127.3</v>
      </c>
      <c r="M93" s="65">
        <v>126.4</v>
      </c>
      <c r="N93" s="65">
        <v>128.19999999999999</v>
      </c>
      <c r="O93" s="65">
        <v>128.19999999999999</v>
      </c>
      <c r="P93" s="65">
        <v>128.19999999999999</v>
      </c>
      <c r="Q93" s="65">
        <v>128.19999999999999</v>
      </c>
      <c r="R93" s="65">
        <v>123.5</v>
      </c>
      <c r="S93" s="65">
        <v>126</v>
      </c>
      <c r="T93" s="65">
        <v>125.1</v>
      </c>
      <c r="U93" s="65">
        <v>126.1</v>
      </c>
      <c r="V93" s="65">
        <v>127.7</v>
      </c>
      <c r="W93" s="65">
        <v>127</v>
      </c>
      <c r="X93" s="65">
        <v>125.3</v>
      </c>
      <c r="Y93" s="65">
        <v>126.5</v>
      </c>
      <c r="Z93" s="65">
        <v>128.30000000000001</v>
      </c>
      <c r="AA93" s="65">
        <v>127.4</v>
      </c>
      <c r="AB93" s="65">
        <v>128.19999999999999</v>
      </c>
      <c r="AC93" s="65">
        <v>128.19999999999999</v>
      </c>
      <c r="AD93" s="65">
        <v>128.80000000000001</v>
      </c>
      <c r="AE93" s="65">
        <v>1282</v>
      </c>
      <c r="AF93" s="65">
        <v>129.4</v>
      </c>
      <c r="AG93" s="92"/>
      <c r="AH93" s="48">
        <f t="shared" si="13"/>
        <v>1282</v>
      </c>
      <c r="AI93" s="49">
        <f t="shared" si="14"/>
        <v>123.5</v>
      </c>
    </row>
    <row r="94" spans="1:37" x14ac:dyDescent="0.25">
      <c r="A94" s="91" t="s">
        <v>99</v>
      </c>
      <c r="B94" s="65">
        <v>132</v>
      </c>
      <c r="C94" s="65">
        <v>132.69999999999999</v>
      </c>
      <c r="D94" s="65">
        <v>133</v>
      </c>
      <c r="E94" s="65">
        <v>132.9</v>
      </c>
      <c r="F94" s="65">
        <v>133</v>
      </c>
      <c r="G94" s="65">
        <v>132.9</v>
      </c>
      <c r="H94" s="65">
        <v>131.69999999999999</v>
      </c>
      <c r="I94" s="65">
        <v>130.80000000000001</v>
      </c>
      <c r="J94" s="65">
        <v>129.1</v>
      </c>
      <c r="K94" s="65">
        <v>130.19999999999999</v>
      </c>
      <c r="L94" s="65">
        <v>129.1</v>
      </c>
      <c r="M94" s="65">
        <v>128</v>
      </c>
      <c r="N94" s="65">
        <v>128</v>
      </c>
      <c r="O94" s="65">
        <v>128</v>
      </c>
      <c r="P94" s="65">
        <v>128</v>
      </c>
      <c r="Q94" s="65">
        <v>128</v>
      </c>
      <c r="R94" s="65">
        <v>129.30000000000001</v>
      </c>
      <c r="S94" s="65">
        <v>130.1</v>
      </c>
      <c r="T94" s="65">
        <v>129.1</v>
      </c>
      <c r="U94" s="65">
        <v>129</v>
      </c>
      <c r="V94" s="65">
        <v>130.30000000000001</v>
      </c>
      <c r="W94" s="65">
        <v>128</v>
      </c>
      <c r="X94" s="65">
        <v>127.4</v>
      </c>
      <c r="Y94" s="65">
        <v>131</v>
      </c>
      <c r="Z94" s="65">
        <v>131.6</v>
      </c>
      <c r="AA94" s="65">
        <v>131.6</v>
      </c>
      <c r="AB94" s="65">
        <v>131.19999999999999</v>
      </c>
      <c r="AC94" s="65">
        <v>129.6</v>
      </c>
      <c r="AD94" s="65">
        <v>129.1</v>
      </c>
      <c r="AE94" s="65">
        <v>128.4</v>
      </c>
      <c r="AF94" s="65">
        <v>127.4</v>
      </c>
      <c r="AG94" s="92"/>
      <c r="AH94" s="48">
        <f t="shared" si="13"/>
        <v>133</v>
      </c>
      <c r="AI94" s="49">
        <f t="shared" si="14"/>
        <v>127.4</v>
      </c>
    </row>
    <row r="95" spans="1:37" x14ac:dyDescent="0.25">
      <c r="A95" s="93" t="s">
        <v>100</v>
      </c>
      <c r="B95" s="65">
        <v>132</v>
      </c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13"/>
        <v>132</v>
      </c>
      <c r="AI95" s="49">
        <f t="shared" si="14"/>
        <v>132</v>
      </c>
    </row>
    <row r="96" spans="1:37" x14ac:dyDescent="0.25">
      <c r="A96" s="93" t="s">
        <v>101</v>
      </c>
      <c r="B96" s="94">
        <v>131.6</v>
      </c>
      <c r="C96" s="94">
        <v>132</v>
      </c>
      <c r="D96" s="94">
        <v>132.5</v>
      </c>
      <c r="E96" s="94">
        <v>133.30000000000001</v>
      </c>
      <c r="F96" s="94">
        <v>132.80000000000001</v>
      </c>
      <c r="G96" s="94">
        <v>132.6</v>
      </c>
      <c r="H96" s="94">
        <v>132.4</v>
      </c>
      <c r="I96" s="94">
        <v>129.19999999999999</v>
      </c>
      <c r="J96" s="94">
        <v>130.5</v>
      </c>
      <c r="K96" s="94">
        <v>134.19999999999999</v>
      </c>
      <c r="L96" s="94">
        <v>133.30000000000001</v>
      </c>
      <c r="M96" s="94">
        <v>131.69999999999999</v>
      </c>
      <c r="N96" s="94">
        <v>131.69999999999999</v>
      </c>
      <c r="O96" s="94">
        <v>131.69999999999999</v>
      </c>
      <c r="P96" s="94">
        <v>131.69999999999999</v>
      </c>
      <c r="Q96" s="94">
        <v>131.69999999999999</v>
      </c>
      <c r="R96" s="94">
        <v>133.30000000000001</v>
      </c>
      <c r="S96" s="94">
        <v>134.1</v>
      </c>
      <c r="T96" s="94">
        <v>131.6</v>
      </c>
      <c r="U96" s="94">
        <v>134.30000000000001</v>
      </c>
      <c r="V96" s="94">
        <v>134.30000000000001</v>
      </c>
      <c r="W96" s="94">
        <v>135</v>
      </c>
      <c r="X96" s="94">
        <v>133</v>
      </c>
      <c r="Y96" s="94">
        <v>134.4</v>
      </c>
      <c r="Z96" s="94">
        <v>135.1</v>
      </c>
      <c r="AA96" s="94">
        <v>134.6</v>
      </c>
      <c r="AB96" s="94">
        <v>136.19999999999999</v>
      </c>
      <c r="AC96" s="94">
        <v>135.19999999999999</v>
      </c>
      <c r="AD96" s="94">
        <v>135.5</v>
      </c>
      <c r="AE96" s="94">
        <v>133.6</v>
      </c>
      <c r="AF96" s="94">
        <v>131.19999999999999</v>
      </c>
      <c r="AG96" s="95"/>
      <c r="AH96" s="48">
        <f t="shared" si="13"/>
        <v>136.19999999999999</v>
      </c>
      <c r="AI96" s="49">
        <f t="shared" si="14"/>
        <v>129.19999999999999</v>
      </c>
    </row>
    <row r="97" spans="1:37" x14ac:dyDescent="0.25">
      <c r="A97" s="91" t="s">
        <v>102</v>
      </c>
      <c r="B97" s="65">
        <v>131.19999999999999</v>
      </c>
      <c r="C97" s="65">
        <v>132</v>
      </c>
      <c r="D97" s="65">
        <v>132.6</v>
      </c>
      <c r="E97" s="65">
        <v>134.1</v>
      </c>
      <c r="F97" s="65">
        <v>133.4</v>
      </c>
      <c r="G97" s="65">
        <v>132.6</v>
      </c>
      <c r="H97" s="65">
        <v>132.69999999999999</v>
      </c>
      <c r="I97" s="65">
        <v>128</v>
      </c>
      <c r="J97" s="65">
        <v>130.19999999999999</v>
      </c>
      <c r="K97" s="65">
        <v>136.19999999999999</v>
      </c>
      <c r="L97" s="65">
        <v>132.6</v>
      </c>
      <c r="M97" s="65">
        <v>130.1</v>
      </c>
      <c r="N97" s="65">
        <v>130.1</v>
      </c>
      <c r="O97" s="65">
        <v>130.1</v>
      </c>
      <c r="P97" s="65">
        <v>130.1</v>
      </c>
      <c r="Q97" s="65">
        <v>130.1</v>
      </c>
      <c r="R97" s="65">
        <v>131.5</v>
      </c>
      <c r="S97" s="65">
        <v>129.5</v>
      </c>
      <c r="T97" s="65">
        <v>124.9</v>
      </c>
      <c r="U97" s="65">
        <v>130.5</v>
      </c>
      <c r="V97" s="65">
        <v>130.69999999999999</v>
      </c>
      <c r="W97" s="65">
        <v>132.5</v>
      </c>
      <c r="X97" s="65">
        <v>129.5</v>
      </c>
      <c r="Y97" s="65">
        <v>132.19999999999999</v>
      </c>
      <c r="Z97" s="65">
        <v>136.69999999999999</v>
      </c>
      <c r="AA97" s="65">
        <v>133.1</v>
      </c>
      <c r="AB97" s="65">
        <v>133.9</v>
      </c>
      <c r="AC97" s="65">
        <v>136.1</v>
      </c>
      <c r="AD97" s="65">
        <v>135</v>
      </c>
      <c r="AE97" s="65">
        <v>134.19999999999999</v>
      </c>
      <c r="AF97" s="65">
        <v>132.1</v>
      </c>
      <c r="AG97" s="92"/>
      <c r="AH97" s="48">
        <f t="shared" si="13"/>
        <v>136.69999999999999</v>
      </c>
      <c r="AI97" s="49">
        <f t="shared" si="14"/>
        <v>124.9</v>
      </c>
    </row>
    <row r="98" spans="1:37" ht="15.75" thickBot="1" x14ac:dyDescent="0.3">
      <c r="A98" s="91" t="s">
        <v>103</v>
      </c>
      <c r="B98" s="96">
        <v>66.3</v>
      </c>
      <c r="C98" s="96">
        <v>66.5</v>
      </c>
      <c r="D98" s="96">
        <v>66.400000000000006</v>
      </c>
      <c r="E98" s="96">
        <v>66.7</v>
      </c>
      <c r="F98" s="96">
        <v>66.5</v>
      </c>
      <c r="G98" s="96">
        <v>66.3</v>
      </c>
      <c r="H98" s="96">
        <v>66</v>
      </c>
      <c r="I98" s="96">
        <v>65.099999999999994</v>
      </c>
      <c r="J98" s="96">
        <v>64.2</v>
      </c>
      <c r="K98" s="96">
        <v>64</v>
      </c>
      <c r="L98" s="96">
        <v>63.9</v>
      </c>
      <c r="M98" s="96">
        <v>63.5</v>
      </c>
      <c r="N98" s="96">
        <v>63.5</v>
      </c>
      <c r="O98" s="96">
        <v>64.5</v>
      </c>
      <c r="P98" s="96">
        <v>64.5</v>
      </c>
      <c r="Q98" s="96">
        <v>64.5</v>
      </c>
      <c r="R98" s="96">
        <v>61.9</v>
      </c>
      <c r="S98" s="96">
        <v>63.5</v>
      </c>
      <c r="T98" s="96">
        <v>63.2</v>
      </c>
      <c r="U98" s="96">
        <v>63.5</v>
      </c>
      <c r="V98" s="96">
        <v>64.599999999999994</v>
      </c>
      <c r="W98" s="96">
        <v>64.099999999999994</v>
      </c>
      <c r="X98" s="96">
        <v>63.4</v>
      </c>
      <c r="Y98" s="96">
        <v>64.2</v>
      </c>
      <c r="Z98" s="96">
        <v>65.2</v>
      </c>
      <c r="AA98" s="96">
        <v>64.599999999999994</v>
      </c>
      <c r="AB98" s="96">
        <v>64.8</v>
      </c>
      <c r="AC98" s="96">
        <v>64.8</v>
      </c>
      <c r="AD98" s="96">
        <v>64.900000000000006</v>
      </c>
      <c r="AE98" s="96">
        <v>65.099999999999994</v>
      </c>
      <c r="AF98" s="96">
        <v>65.2</v>
      </c>
      <c r="AG98" s="97"/>
      <c r="AH98" s="48">
        <f t="shared" si="13"/>
        <v>66.7</v>
      </c>
      <c r="AI98" s="49">
        <f t="shared" si="14"/>
        <v>61.9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13"/>
        <v>0</v>
      </c>
      <c r="AI99" s="49">
        <f t="shared" si="14"/>
        <v>0</v>
      </c>
    </row>
    <row r="100" spans="1:37" ht="15.75" thickBot="1" x14ac:dyDescent="0.3">
      <c r="A100" s="99" t="s">
        <v>104</v>
      </c>
      <c r="B100" s="100">
        <f t="shared" ref="B100:AF100" si="25">SUM(B15,B20,B22:B23,B48,B50:B51,B53,B55,B101:B105,B127,B133,B139,B148,B150,B162,B169,B172:B173,B180,B182,B184,B188:B190,B192:B194,B199,B205:B206,B208:B210,B218,B223)</f>
        <v>39.299999999999983</v>
      </c>
      <c r="C100" s="100">
        <f t="shared" si="25"/>
        <v>31.839999999999979</v>
      </c>
      <c r="D100" s="100">
        <f t="shared" si="25"/>
        <v>35.039999999999992</v>
      </c>
      <c r="E100" s="100">
        <f t="shared" si="25"/>
        <v>34.440000000000019</v>
      </c>
      <c r="F100" s="100">
        <f t="shared" si="25"/>
        <v>39.539999999999985</v>
      </c>
      <c r="G100" s="100">
        <f t="shared" si="25"/>
        <v>80.939999999999969</v>
      </c>
      <c r="H100" s="100">
        <f t="shared" si="25"/>
        <v>84.039999999999992</v>
      </c>
      <c r="I100" s="100">
        <f t="shared" si="25"/>
        <v>113.34000000000003</v>
      </c>
      <c r="J100" s="100">
        <f t="shared" si="25"/>
        <v>148.84</v>
      </c>
      <c r="K100" s="100">
        <f t="shared" si="25"/>
        <v>221.93999999999994</v>
      </c>
      <c r="L100" s="100">
        <f t="shared" si="25"/>
        <v>245.44</v>
      </c>
      <c r="M100" s="100">
        <f t="shared" si="25"/>
        <v>61.628888899999964</v>
      </c>
      <c r="N100" s="100">
        <f t="shared" si="25"/>
        <v>69.32888890000001</v>
      </c>
      <c r="O100" s="100">
        <f t="shared" si="25"/>
        <v>49.328888900000003</v>
      </c>
      <c r="P100" s="100">
        <f t="shared" si="25"/>
        <v>39.640000000000022</v>
      </c>
      <c r="Q100" s="100">
        <f t="shared" si="25"/>
        <v>38.700000000000024</v>
      </c>
      <c r="R100" s="100">
        <f t="shared" si="25"/>
        <v>173</v>
      </c>
      <c r="S100" s="100">
        <f t="shared" si="25"/>
        <v>168.3</v>
      </c>
      <c r="T100" s="100">
        <f t="shared" si="25"/>
        <v>171</v>
      </c>
      <c r="U100" s="100">
        <f t="shared" si="25"/>
        <v>189.89999999999998</v>
      </c>
      <c r="V100" s="100">
        <f t="shared" si="25"/>
        <v>207.60000000000002</v>
      </c>
      <c r="W100" s="100">
        <f t="shared" si="25"/>
        <v>247.3</v>
      </c>
      <c r="X100" s="100">
        <f t="shared" si="25"/>
        <v>283.2</v>
      </c>
      <c r="Y100" s="100">
        <f t="shared" si="25"/>
        <v>273.2</v>
      </c>
      <c r="Z100" s="100">
        <f t="shared" si="25"/>
        <v>245.5</v>
      </c>
      <c r="AA100" s="100">
        <f t="shared" si="25"/>
        <v>224.89999999999998</v>
      </c>
      <c r="AB100" s="100">
        <f t="shared" si="25"/>
        <v>209.90000000000003</v>
      </c>
      <c r="AC100" s="100">
        <f t="shared" si="25"/>
        <v>175.1</v>
      </c>
      <c r="AD100" s="100">
        <f t="shared" si="25"/>
        <v>142.20000000000002</v>
      </c>
      <c r="AE100" s="100">
        <f t="shared" si="25"/>
        <v>96.759999999999991</v>
      </c>
      <c r="AF100" s="100">
        <f t="shared" si="25"/>
        <v>58.699999999999989</v>
      </c>
      <c r="AG100" s="101"/>
      <c r="AH100" s="48">
        <f t="shared" si="13"/>
        <v>283.2</v>
      </c>
      <c r="AI100" s="49">
        <f t="shared" si="14"/>
        <v>31.839999999999979</v>
      </c>
    </row>
    <row r="101" spans="1:37" x14ac:dyDescent="0.25">
      <c r="A101" s="88" t="s">
        <v>105</v>
      </c>
      <c r="B101" s="102">
        <v>28.2</v>
      </c>
      <c r="C101" s="102">
        <v>28</v>
      </c>
      <c r="D101" s="102">
        <v>26</v>
      </c>
      <c r="E101" s="102">
        <v>28.4</v>
      </c>
      <c r="F101" s="102">
        <v>30.6</v>
      </c>
      <c r="G101" s="102">
        <v>33.799999999999997</v>
      </c>
      <c r="H101" s="102">
        <v>38</v>
      </c>
      <c r="I101" s="102">
        <v>43.5</v>
      </c>
      <c r="J101" s="102">
        <v>55.2</v>
      </c>
      <c r="K101" s="102">
        <v>53.8</v>
      </c>
      <c r="L101" s="102">
        <v>56.4</v>
      </c>
      <c r="M101" s="102">
        <v>57.3</v>
      </c>
      <c r="N101" s="102">
        <v>68</v>
      </c>
      <c r="O101" s="102">
        <v>68</v>
      </c>
      <c r="P101" s="102">
        <v>45.5</v>
      </c>
      <c r="Q101" s="102">
        <v>45.5</v>
      </c>
      <c r="R101" s="102">
        <v>72.400000000000006</v>
      </c>
      <c r="S101" s="102">
        <v>69.5</v>
      </c>
      <c r="T101" s="102">
        <v>73.099999999999994</v>
      </c>
      <c r="U101" s="102">
        <v>76.400000000000006</v>
      </c>
      <c r="V101" s="102">
        <v>76.900000000000006</v>
      </c>
      <c r="W101" s="102">
        <v>79.5</v>
      </c>
      <c r="X101" s="102">
        <v>74.099999999999994</v>
      </c>
      <c r="Y101" s="102">
        <v>73.7</v>
      </c>
      <c r="Z101" s="102">
        <v>77.2</v>
      </c>
      <c r="AA101" s="102">
        <v>80.900000000000006</v>
      </c>
      <c r="AB101" s="102">
        <v>77.7</v>
      </c>
      <c r="AC101" s="102">
        <v>80</v>
      </c>
      <c r="AD101" s="102">
        <v>68.900000000000006</v>
      </c>
      <c r="AE101" s="102">
        <v>61.3</v>
      </c>
      <c r="AF101" s="102">
        <v>45</v>
      </c>
      <c r="AG101" s="103">
        <v>75</v>
      </c>
      <c r="AH101" s="48">
        <f t="shared" si="13"/>
        <v>80.900000000000006</v>
      </c>
      <c r="AI101" s="49">
        <f t="shared" si="14"/>
        <v>26</v>
      </c>
    </row>
    <row r="102" spans="1:37" x14ac:dyDescent="0.25">
      <c r="A102" s="91" t="s">
        <v>106</v>
      </c>
      <c r="B102" s="104">
        <v>48</v>
      </c>
      <c r="C102" s="104">
        <v>46</v>
      </c>
      <c r="D102" s="104">
        <v>45</v>
      </c>
      <c r="E102" s="104">
        <v>48</v>
      </c>
      <c r="F102" s="104">
        <v>50.8</v>
      </c>
      <c r="G102" s="104">
        <v>53.5</v>
      </c>
      <c r="H102" s="104">
        <v>59</v>
      </c>
      <c r="I102" s="104">
        <v>67.599999999999994</v>
      </c>
      <c r="J102" s="104">
        <v>82.5</v>
      </c>
      <c r="K102" s="104">
        <v>82.9</v>
      </c>
      <c r="L102" s="104">
        <v>88</v>
      </c>
      <c r="M102" s="104">
        <v>-87.8</v>
      </c>
      <c r="N102" s="104">
        <v>-82</v>
      </c>
      <c r="O102" s="104">
        <v>-82</v>
      </c>
      <c r="P102" s="104">
        <v>-69.099999999999994</v>
      </c>
      <c r="Q102" s="104">
        <v>-69.099999999999994</v>
      </c>
      <c r="R102" s="104">
        <v>0</v>
      </c>
      <c r="S102" s="104">
        <v>0</v>
      </c>
      <c r="T102" s="104">
        <v>0</v>
      </c>
      <c r="U102" s="104">
        <v>0</v>
      </c>
      <c r="V102" s="104">
        <v>0</v>
      </c>
      <c r="W102" s="104">
        <v>0</v>
      </c>
      <c r="X102" s="104">
        <v>0</v>
      </c>
      <c r="Y102" s="104">
        <v>0</v>
      </c>
      <c r="Z102" s="104">
        <v>0</v>
      </c>
      <c r="AA102" s="104">
        <v>0</v>
      </c>
      <c r="AB102" s="104">
        <v>0</v>
      </c>
      <c r="AC102" s="104">
        <v>0</v>
      </c>
      <c r="AD102" s="104">
        <v>0</v>
      </c>
      <c r="AE102" s="104">
        <v>0</v>
      </c>
      <c r="AF102" s="104">
        <v>67.599999999999994</v>
      </c>
      <c r="AG102" s="103">
        <v>240</v>
      </c>
      <c r="AH102" s="48">
        <f t="shared" si="13"/>
        <v>88</v>
      </c>
      <c r="AI102" s="49">
        <f t="shared" si="14"/>
        <v>-87.8</v>
      </c>
    </row>
    <row r="103" spans="1:37" x14ac:dyDescent="0.25">
      <c r="A103" s="91" t="s">
        <v>107</v>
      </c>
      <c r="B103" s="104">
        <v>-144</v>
      </c>
      <c r="C103" s="104">
        <v>-147</v>
      </c>
      <c r="D103" s="104">
        <v>-143</v>
      </c>
      <c r="E103" s="104">
        <f>-72.8-76.1</f>
        <v>-148.89999999999998</v>
      </c>
      <c r="F103" s="104">
        <f>-72.6-76.3</f>
        <v>-148.89999999999998</v>
      </c>
      <c r="G103" s="104">
        <f>-66-69.8</f>
        <v>-135.80000000000001</v>
      </c>
      <c r="H103" s="104">
        <f>-70.2-74.2</f>
        <v>-144.4</v>
      </c>
      <c r="I103" s="104">
        <f>-63.8-68.1</f>
        <v>-131.89999999999998</v>
      </c>
      <c r="J103" s="104">
        <f>-61.7-64.4</f>
        <v>-126.10000000000001</v>
      </c>
      <c r="K103" s="104">
        <f>-40.7-44.6</f>
        <v>-85.300000000000011</v>
      </c>
      <c r="L103" s="104">
        <f>-57.1-61.3</f>
        <v>-118.4</v>
      </c>
      <c r="M103" s="104">
        <f>-64-62.2</f>
        <v>-126.2</v>
      </c>
      <c r="N103" s="104">
        <f>-64-62.2</f>
        <v>-126.2</v>
      </c>
      <c r="O103" s="104">
        <f t="shared" ref="O103" si="26">-64-62.2</f>
        <v>-126.2</v>
      </c>
      <c r="P103" s="104">
        <f>-61.6-66.1</f>
        <v>-127.69999999999999</v>
      </c>
      <c r="Q103" s="104">
        <f>-61.6-66.1</f>
        <v>-127.69999999999999</v>
      </c>
      <c r="R103" s="104">
        <v>-42</v>
      </c>
      <c r="S103" s="104">
        <f>-21-22</f>
        <v>-43</v>
      </c>
      <c r="T103" s="104">
        <f>-19.5-20.8</f>
        <v>-40.299999999999997</v>
      </c>
      <c r="U103" s="104">
        <f>-12.6-14.7</f>
        <v>-27.299999999999997</v>
      </c>
      <c r="V103" s="104">
        <f>-5.2-5.9</f>
        <v>-11.100000000000001</v>
      </c>
      <c r="W103" s="104">
        <f>21</f>
        <v>21</v>
      </c>
      <c r="X103" s="104">
        <f>17.4+19.1</f>
        <v>36.5</v>
      </c>
      <c r="Y103" s="104">
        <f>14.8+16.3</f>
        <v>31.1</v>
      </c>
      <c r="Z103" s="104">
        <f>9.5+11</f>
        <v>20.5</v>
      </c>
      <c r="AA103" s="104">
        <f>1.4+1</f>
        <v>2.4</v>
      </c>
      <c r="AB103" s="104">
        <f>-5.2-6</f>
        <v>-11.2</v>
      </c>
      <c r="AC103" s="104">
        <f>-21.7-23.6</f>
        <v>-45.3</v>
      </c>
      <c r="AD103" s="104">
        <f>-29.8-31.8</f>
        <v>-61.6</v>
      </c>
      <c r="AE103" s="104">
        <f>-41.84-46.11</f>
        <v>-87.95</v>
      </c>
      <c r="AF103" s="104">
        <f>-64-67.6</f>
        <v>-131.6</v>
      </c>
      <c r="AG103" s="103">
        <v>240</v>
      </c>
      <c r="AH103" s="48">
        <f t="shared" si="13"/>
        <v>36.5</v>
      </c>
      <c r="AI103" s="49">
        <f t="shared" si="14"/>
        <v>-148.89999999999998</v>
      </c>
    </row>
    <row r="104" spans="1:37" x14ac:dyDescent="0.25">
      <c r="A104" s="91" t="s">
        <v>108</v>
      </c>
      <c r="B104" s="104">
        <v>-6</v>
      </c>
      <c r="C104" s="104">
        <v>-9</v>
      </c>
      <c r="D104" s="104">
        <v>-8</v>
      </c>
      <c r="E104" s="104">
        <v>-10.6</v>
      </c>
      <c r="F104" s="104">
        <v>-10.1</v>
      </c>
      <c r="G104" s="104">
        <v>-8.4</v>
      </c>
      <c r="H104" s="104">
        <v>-6.4</v>
      </c>
      <c r="I104" s="104">
        <v>-3.4</v>
      </c>
      <c r="J104" s="104">
        <v>-0.9</v>
      </c>
      <c r="K104" s="104">
        <v>3.5</v>
      </c>
      <c r="L104" s="104">
        <v>0</v>
      </c>
      <c r="M104" s="104">
        <v>-1.1111111</v>
      </c>
      <c r="N104" s="104">
        <v>-1.1111111</v>
      </c>
      <c r="O104" s="104">
        <v>-1.1111111</v>
      </c>
      <c r="P104" s="104">
        <v>1.4</v>
      </c>
      <c r="Q104" s="104">
        <v>1.4</v>
      </c>
      <c r="R104" s="104">
        <v>13.9</v>
      </c>
      <c r="S104" s="104">
        <v>12.2</v>
      </c>
      <c r="T104" s="104">
        <v>8.6</v>
      </c>
      <c r="U104" s="104">
        <v>11.2</v>
      </c>
      <c r="V104" s="104">
        <v>15</v>
      </c>
      <c r="W104" s="104">
        <v>20</v>
      </c>
      <c r="X104" s="104">
        <v>22.5</v>
      </c>
      <c r="Y104" s="104">
        <v>23.2</v>
      </c>
      <c r="Z104" s="104">
        <v>21.8</v>
      </c>
      <c r="AA104" s="104">
        <v>18.100000000000001</v>
      </c>
      <c r="AB104" s="104">
        <v>16.399999999999999</v>
      </c>
      <c r="AC104" s="104">
        <v>11.8</v>
      </c>
      <c r="AD104" s="104">
        <v>7.6</v>
      </c>
      <c r="AE104" s="104">
        <v>-1.0900000000000001</v>
      </c>
      <c r="AF104" s="104">
        <v>-9.5</v>
      </c>
      <c r="AG104" s="103">
        <v>60</v>
      </c>
      <c r="AH104" s="48">
        <f t="shared" si="13"/>
        <v>23.2</v>
      </c>
      <c r="AI104" s="49">
        <f t="shared" si="14"/>
        <v>-10.6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42.4</v>
      </c>
      <c r="M105" s="106">
        <v>42.4</v>
      </c>
      <c r="N105" s="106">
        <v>42.4</v>
      </c>
      <c r="O105" s="106">
        <v>42.4</v>
      </c>
      <c r="P105" s="106">
        <v>36.299999999999997</v>
      </c>
      <c r="Q105" s="106">
        <v>36.299999999999997</v>
      </c>
      <c r="R105" s="106">
        <v>36.799999999999997</v>
      </c>
      <c r="S105" s="106">
        <v>36.799999999999997</v>
      </c>
      <c r="T105" s="106">
        <v>36.799999999999997</v>
      </c>
      <c r="U105" s="106">
        <v>36.799999999999997</v>
      </c>
      <c r="V105" s="106">
        <v>36.799999999999997</v>
      </c>
      <c r="W105" s="106">
        <v>36.799999999999997</v>
      </c>
      <c r="X105" s="106">
        <v>60.1</v>
      </c>
      <c r="Y105" s="106">
        <v>55.2</v>
      </c>
      <c r="Z105" s="106">
        <v>41.2</v>
      </c>
      <c r="AA105" s="106">
        <v>38.700000000000003</v>
      </c>
      <c r="AB105" s="106">
        <v>39.9</v>
      </c>
      <c r="AC105" s="106">
        <v>41</v>
      </c>
      <c r="AD105" s="106">
        <v>40.4</v>
      </c>
      <c r="AE105" s="106">
        <v>37.6</v>
      </c>
      <c r="AF105" s="106">
        <v>0</v>
      </c>
      <c r="AG105" s="107">
        <v>120</v>
      </c>
      <c r="AH105" s="48">
        <f t="shared" si="13"/>
        <v>60.1</v>
      </c>
      <c r="AI105" s="49">
        <f t="shared" si="14"/>
        <v>0</v>
      </c>
    </row>
    <row r="106" spans="1:37" x14ac:dyDescent="0.25">
      <c r="A106" s="105" t="s">
        <v>110</v>
      </c>
      <c r="B106" s="106">
        <v>23</v>
      </c>
      <c r="C106" s="106">
        <v>32</v>
      </c>
      <c r="D106" s="106">
        <v>25</v>
      </c>
      <c r="E106" s="106">
        <v>-25.4</v>
      </c>
      <c r="F106" s="106">
        <v>-28.4</v>
      </c>
      <c r="G106" s="106">
        <v>-19.2</v>
      </c>
      <c r="H106" s="106">
        <v>-34.299999999999997</v>
      </c>
      <c r="I106" s="106">
        <v>-31</v>
      </c>
      <c r="J106" s="106">
        <v>-13.9</v>
      </c>
      <c r="K106" s="106">
        <v>16.2</v>
      </c>
      <c r="L106" s="106">
        <v>-1.4</v>
      </c>
      <c r="M106" s="106">
        <v>-11.4</v>
      </c>
      <c r="N106" s="106">
        <v>-11.4</v>
      </c>
      <c r="O106" s="106">
        <v>-11.4</v>
      </c>
      <c r="P106" s="106">
        <v>-12</v>
      </c>
      <c r="Q106" s="106">
        <v>-12</v>
      </c>
      <c r="R106" s="106">
        <v>28.4</v>
      </c>
      <c r="S106" s="106">
        <v>36.4</v>
      </c>
      <c r="T106" s="106">
        <v>36.5</v>
      </c>
      <c r="U106" s="106">
        <v>30.8</v>
      </c>
      <c r="V106" s="106">
        <v>37.200000000000003</v>
      </c>
      <c r="W106" s="106">
        <v>60</v>
      </c>
      <c r="X106" s="106">
        <v>81</v>
      </c>
      <c r="Y106" s="106">
        <v>76.099999999999994</v>
      </c>
      <c r="Z106" s="106">
        <v>61.4</v>
      </c>
      <c r="AA106" s="106">
        <v>37.1</v>
      </c>
      <c r="AB106" s="106">
        <v>26.1</v>
      </c>
      <c r="AC106" s="106">
        <v>5.3</v>
      </c>
      <c r="AD106" s="106">
        <v>-1.8</v>
      </c>
      <c r="AE106" s="106">
        <v>-16.46</v>
      </c>
      <c r="AF106" s="106">
        <v>-12.3</v>
      </c>
      <c r="AG106" s="107"/>
      <c r="AH106" s="48">
        <f t="shared" si="13"/>
        <v>81</v>
      </c>
      <c r="AI106" s="49">
        <f t="shared" si="14"/>
        <v>-34.299999999999997</v>
      </c>
    </row>
    <row r="107" spans="1:37" x14ac:dyDescent="0.25">
      <c r="A107" s="105" t="s">
        <v>111</v>
      </c>
      <c r="B107" s="106">
        <v>59.3</v>
      </c>
      <c r="C107" s="106">
        <v>60</v>
      </c>
      <c r="D107" s="106">
        <v>62</v>
      </c>
      <c r="E107" s="106">
        <v>58.7</v>
      </c>
      <c r="F107" s="106">
        <v>55</v>
      </c>
      <c r="G107" s="106">
        <v>56.8</v>
      </c>
      <c r="H107" s="106">
        <v>44.2</v>
      </c>
      <c r="I107" s="106">
        <v>45.4</v>
      </c>
      <c r="J107" s="106">
        <v>39.799999999999997</v>
      </c>
      <c r="K107" s="106">
        <v>56</v>
      </c>
      <c r="L107" s="106">
        <v>47.7</v>
      </c>
      <c r="M107" s="106">
        <v>-46.2</v>
      </c>
      <c r="N107" s="106">
        <v>-46.2</v>
      </c>
      <c r="O107" s="106">
        <v>-46.2</v>
      </c>
      <c r="P107" s="106">
        <v>-49.1</v>
      </c>
      <c r="Q107" s="106">
        <v>-49.1</v>
      </c>
      <c r="R107" s="106">
        <v>-57.1</v>
      </c>
      <c r="S107" s="106"/>
      <c r="T107" s="106"/>
      <c r="U107" s="106">
        <v>2</v>
      </c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>
        <v>-22</v>
      </c>
      <c r="AG107" s="108"/>
      <c r="AH107" s="48">
        <f t="shared" si="13"/>
        <v>62</v>
      </c>
      <c r="AI107" s="49">
        <f t="shared" si="14"/>
        <v>-57.1</v>
      </c>
    </row>
    <row r="108" spans="1:37" x14ac:dyDescent="0.25">
      <c r="A108" s="109" t="s">
        <v>112</v>
      </c>
      <c r="B108" s="94">
        <v>97</v>
      </c>
      <c r="C108" s="94">
        <v>100</v>
      </c>
      <c r="D108" s="94">
        <v>100</v>
      </c>
      <c r="E108" s="94">
        <v>99.6</v>
      </c>
      <c r="F108" s="94">
        <v>98.3</v>
      </c>
      <c r="G108" s="94">
        <v>99.8</v>
      </c>
      <c r="H108" s="94">
        <v>91.8</v>
      </c>
      <c r="I108" s="94">
        <v>92.1</v>
      </c>
      <c r="J108" s="94">
        <v>88.8</v>
      </c>
      <c r="K108" s="94">
        <v>83.7</v>
      </c>
      <c r="L108" s="94">
        <v>80.599999999999994</v>
      </c>
      <c r="M108" s="94">
        <v>79.5</v>
      </c>
      <c r="N108" s="94">
        <v>79.5</v>
      </c>
      <c r="O108" s="94">
        <v>79.5</v>
      </c>
      <c r="P108" s="94">
        <v>78.599999999999994</v>
      </c>
      <c r="Q108" s="94">
        <v>78.599999999999994</v>
      </c>
      <c r="R108" s="94">
        <v>82.2</v>
      </c>
      <c r="S108" s="94">
        <v>81.3</v>
      </c>
      <c r="T108" s="94">
        <v>78.8</v>
      </c>
      <c r="U108" s="94">
        <v>79.3</v>
      </c>
      <c r="V108" s="94">
        <v>73.2</v>
      </c>
      <c r="W108" s="94">
        <v>60</v>
      </c>
      <c r="X108" s="94">
        <v>56.7</v>
      </c>
      <c r="Y108" s="94">
        <v>64</v>
      </c>
      <c r="Z108" s="94">
        <v>67.3</v>
      </c>
      <c r="AA108" s="94">
        <v>72.900000000000006</v>
      </c>
      <c r="AB108" s="94">
        <v>74.7</v>
      </c>
      <c r="AC108" s="94">
        <v>80</v>
      </c>
      <c r="AD108" s="94">
        <v>10.1</v>
      </c>
      <c r="AE108" s="94">
        <v>90.18</v>
      </c>
      <c r="AF108" s="94">
        <v>92.3</v>
      </c>
      <c r="AG108" s="108"/>
      <c r="AH108" s="48">
        <f t="shared" si="13"/>
        <v>100</v>
      </c>
      <c r="AI108" s="49">
        <f t="shared" si="14"/>
        <v>10.1</v>
      </c>
    </row>
    <row r="109" spans="1:37" ht="15.75" thickBot="1" x14ac:dyDescent="0.3">
      <c r="A109" s="109" t="s">
        <v>113</v>
      </c>
      <c r="B109" s="94">
        <v>103</v>
      </c>
      <c r="C109" s="94">
        <v>105</v>
      </c>
      <c r="D109" s="94">
        <v>103</v>
      </c>
      <c r="E109" s="94">
        <v>103.3</v>
      </c>
      <c r="F109" s="94">
        <v>106.1</v>
      </c>
      <c r="G109" s="94">
        <v>110.3</v>
      </c>
      <c r="H109" s="94">
        <v>103.3</v>
      </c>
      <c r="I109" s="94">
        <v>99</v>
      </c>
      <c r="J109" s="94">
        <v>98.1</v>
      </c>
      <c r="K109" s="94">
        <v>91.5</v>
      </c>
      <c r="L109" s="94">
        <v>88.4</v>
      </c>
      <c r="M109" s="94">
        <v>93.4</v>
      </c>
      <c r="N109" s="94">
        <v>92</v>
      </c>
      <c r="O109" s="94">
        <v>92</v>
      </c>
      <c r="P109" s="94">
        <v>91.9</v>
      </c>
      <c r="Q109" s="94">
        <v>91.9</v>
      </c>
      <c r="R109" s="94">
        <v>52.9</v>
      </c>
      <c r="S109" s="94">
        <v>43.2</v>
      </c>
      <c r="T109" s="94">
        <v>45.7</v>
      </c>
      <c r="U109" s="94">
        <v>43.8</v>
      </c>
      <c r="V109" s="94">
        <v>30.6</v>
      </c>
      <c r="W109" s="94">
        <v>10</v>
      </c>
      <c r="X109" s="94">
        <v>-7.4</v>
      </c>
      <c r="Y109" s="94">
        <v>-0.8</v>
      </c>
      <c r="Z109" s="94">
        <v>8.6</v>
      </c>
      <c r="AA109" s="94">
        <v>26.7</v>
      </c>
      <c r="AB109" s="94">
        <v>33.6</v>
      </c>
      <c r="AC109" s="94">
        <v>55.1</v>
      </c>
      <c r="AD109" s="94">
        <v>64.5</v>
      </c>
      <c r="AE109" s="94">
        <v>82.3</v>
      </c>
      <c r="AF109" s="94">
        <v>101.5</v>
      </c>
      <c r="AG109" s="108"/>
      <c r="AH109" s="48">
        <f t="shared" si="13"/>
        <v>110.3</v>
      </c>
      <c r="AI109" s="49">
        <f t="shared" si="14"/>
        <v>-7.4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27">SUM(B111:B215)</f>
        <v>0</v>
      </c>
      <c r="C216" s="125">
        <f t="shared" si="27"/>
        <v>0</v>
      </c>
      <c r="D216" s="125">
        <f t="shared" si="27"/>
        <v>0</v>
      </c>
      <c r="E216" s="125">
        <f t="shared" si="27"/>
        <v>0</v>
      </c>
      <c r="F216" s="125">
        <f t="shared" si="27"/>
        <v>0</v>
      </c>
      <c r="G216" s="125">
        <f t="shared" si="27"/>
        <v>0</v>
      </c>
      <c r="H216" s="125">
        <f t="shared" si="27"/>
        <v>0</v>
      </c>
      <c r="I216" s="125">
        <f t="shared" si="27"/>
        <v>0</v>
      </c>
      <c r="J216" s="125">
        <f t="shared" si="27"/>
        <v>0</v>
      </c>
      <c r="K216" s="125">
        <f t="shared" si="27"/>
        <v>0</v>
      </c>
      <c r="L216" s="125">
        <f t="shared" si="27"/>
        <v>0</v>
      </c>
      <c r="M216" s="125">
        <f t="shared" si="27"/>
        <v>0</v>
      </c>
      <c r="N216" s="125">
        <f t="shared" si="27"/>
        <v>0</v>
      </c>
      <c r="O216" s="125">
        <f t="shared" si="27"/>
        <v>0</v>
      </c>
      <c r="P216" s="125">
        <f t="shared" si="27"/>
        <v>0</v>
      </c>
      <c r="Q216" s="125">
        <f t="shared" si="27"/>
        <v>0</v>
      </c>
      <c r="R216" s="125">
        <f t="shared" si="27"/>
        <v>0</v>
      </c>
      <c r="S216" s="125">
        <f t="shared" si="27"/>
        <v>0</v>
      </c>
      <c r="T216" s="125">
        <f t="shared" si="27"/>
        <v>0</v>
      </c>
      <c r="U216" s="125">
        <f t="shared" si="27"/>
        <v>0</v>
      </c>
      <c r="V216" s="125">
        <f t="shared" si="27"/>
        <v>0</v>
      </c>
      <c r="W216" s="125">
        <f t="shared" si="27"/>
        <v>0</v>
      </c>
      <c r="X216" s="125">
        <f t="shared" si="27"/>
        <v>0</v>
      </c>
      <c r="Y216" s="125">
        <f t="shared" si="27"/>
        <v>0</v>
      </c>
      <c r="Z216" s="125">
        <f t="shared" si="27"/>
        <v>0</v>
      </c>
      <c r="AA216" s="125">
        <f t="shared" si="27"/>
        <v>0</v>
      </c>
      <c r="AB216" s="125">
        <f t="shared" si="27"/>
        <v>0</v>
      </c>
      <c r="AC216" s="125">
        <f t="shared" si="27"/>
        <v>0</v>
      </c>
      <c r="AD216" s="125">
        <f t="shared" si="27"/>
        <v>0</v>
      </c>
      <c r="AE216" s="125">
        <f t="shared" si="27"/>
        <v>0</v>
      </c>
      <c r="AF216" s="126">
        <f t="shared" si="27"/>
        <v>0</v>
      </c>
      <c r="AG216" s="127">
        <f t="shared" si="27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28">AF218</f>
        <v>0</v>
      </c>
      <c r="C218" s="129">
        <v>0.3</v>
      </c>
      <c r="D218" s="129">
        <f t="shared" ref="D218:P223" si="29">C218</f>
        <v>0.3</v>
      </c>
      <c r="E218" s="129">
        <f t="shared" si="29"/>
        <v>0.3</v>
      </c>
      <c r="F218" s="129">
        <f t="shared" si="29"/>
        <v>0.3</v>
      </c>
      <c r="G218" s="129">
        <f t="shared" si="29"/>
        <v>0.3</v>
      </c>
      <c r="H218" s="129">
        <f t="shared" si="29"/>
        <v>0.3</v>
      </c>
      <c r="I218" s="129">
        <f t="shared" si="29"/>
        <v>0.3</v>
      </c>
      <c r="J218" s="129">
        <f t="shared" si="29"/>
        <v>0.3</v>
      </c>
      <c r="K218" s="129">
        <f t="shared" si="29"/>
        <v>0.3</v>
      </c>
      <c r="L218" s="129">
        <f t="shared" si="29"/>
        <v>0.3</v>
      </c>
      <c r="M218" s="129">
        <f t="shared" si="29"/>
        <v>0.3</v>
      </c>
      <c r="N218" s="129">
        <f t="shared" si="29"/>
        <v>0.3</v>
      </c>
      <c r="O218" s="129">
        <f t="shared" si="29"/>
        <v>0.3</v>
      </c>
      <c r="P218" s="129">
        <f t="shared" si="29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28"/>
        <v>0</v>
      </c>
      <c r="C219" s="117">
        <v>0.4</v>
      </c>
      <c r="D219" s="117">
        <f t="shared" si="29"/>
        <v>0.4</v>
      </c>
      <c r="E219" s="117">
        <f t="shared" si="29"/>
        <v>0.4</v>
      </c>
      <c r="F219" s="117">
        <f t="shared" si="29"/>
        <v>0.4</v>
      </c>
      <c r="G219" s="117">
        <f t="shared" si="29"/>
        <v>0.4</v>
      </c>
      <c r="H219" s="117">
        <f t="shared" si="29"/>
        <v>0.4</v>
      </c>
      <c r="I219" s="117">
        <f t="shared" si="29"/>
        <v>0.4</v>
      </c>
      <c r="J219" s="117">
        <f t="shared" si="29"/>
        <v>0.4</v>
      </c>
      <c r="K219" s="117">
        <f t="shared" si="29"/>
        <v>0.4</v>
      </c>
      <c r="L219" s="117">
        <f t="shared" si="29"/>
        <v>0.4</v>
      </c>
      <c r="M219" s="117">
        <f t="shared" si="29"/>
        <v>0.4</v>
      </c>
      <c r="N219" s="117">
        <f t="shared" si="29"/>
        <v>0.4</v>
      </c>
      <c r="O219" s="117">
        <f t="shared" si="29"/>
        <v>0.4</v>
      </c>
      <c r="P219" s="117">
        <f t="shared" si="29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28"/>
        <v>0</v>
      </c>
      <c r="C220" s="117">
        <v>1.5</v>
      </c>
      <c r="D220" s="117">
        <f t="shared" si="29"/>
        <v>1.5</v>
      </c>
      <c r="E220" s="117">
        <f t="shared" si="29"/>
        <v>1.5</v>
      </c>
      <c r="F220" s="117">
        <f t="shared" si="29"/>
        <v>1.5</v>
      </c>
      <c r="G220" s="117">
        <f t="shared" si="29"/>
        <v>1.5</v>
      </c>
      <c r="H220" s="117">
        <f t="shared" si="29"/>
        <v>1.5</v>
      </c>
      <c r="I220" s="117">
        <f t="shared" si="29"/>
        <v>1.5</v>
      </c>
      <c r="J220" s="117">
        <f t="shared" si="29"/>
        <v>1.5</v>
      </c>
      <c r="K220" s="117">
        <f t="shared" si="29"/>
        <v>1.5</v>
      </c>
      <c r="L220" s="117">
        <f t="shared" si="29"/>
        <v>1.5</v>
      </c>
      <c r="M220" s="117">
        <f t="shared" si="29"/>
        <v>1.5</v>
      </c>
      <c r="N220" s="117">
        <f t="shared" si="29"/>
        <v>1.5</v>
      </c>
      <c r="O220" s="117">
        <f t="shared" si="29"/>
        <v>1.5</v>
      </c>
      <c r="P220" s="117">
        <f t="shared" si="29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28"/>
        <v>0</v>
      </c>
      <c r="C221" s="117">
        <v>0.3</v>
      </c>
      <c r="D221" s="117">
        <f t="shared" si="29"/>
        <v>0.3</v>
      </c>
      <c r="E221" s="117">
        <f t="shared" si="29"/>
        <v>0.3</v>
      </c>
      <c r="F221" s="117">
        <f t="shared" si="29"/>
        <v>0.3</v>
      </c>
      <c r="G221" s="117">
        <f t="shared" si="29"/>
        <v>0.3</v>
      </c>
      <c r="H221" s="117">
        <f t="shared" si="29"/>
        <v>0.3</v>
      </c>
      <c r="I221" s="117">
        <f t="shared" si="29"/>
        <v>0.3</v>
      </c>
      <c r="J221" s="117">
        <f t="shared" si="29"/>
        <v>0.3</v>
      </c>
      <c r="K221" s="117">
        <f t="shared" si="29"/>
        <v>0.3</v>
      </c>
      <c r="L221" s="117">
        <f t="shared" si="29"/>
        <v>0.3</v>
      </c>
      <c r="M221" s="117">
        <f t="shared" si="29"/>
        <v>0.3</v>
      </c>
      <c r="N221" s="117">
        <f t="shared" si="29"/>
        <v>0.3</v>
      </c>
      <c r="O221" s="117">
        <f t="shared" si="29"/>
        <v>0.3</v>
      </c>
      <c r="P221" s="117">
        <f t="shared" si="29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28"/>
        <v>0</v>
      </c>
      <c r="C222" s="117">
        <v>0.4</v>
      </c>
      <c r="D222" s="117">
        <f t="shared" si="29"/>
        <v>0.4</v>
      </c>
      <c r="E222" s="117">
        <f t="shared" si="29"/>
        <v>0.4</v>
      </c>
      <c r="F222" s="117">
        <f t="shared" si="29"/>
        <v>0.4</v>
      </c>
      <c r="G222" s="117">
        <f t="shared" si="29"/>
        <v>0.4</v>
      </c>
      <c r="H222" s="117">
        <f t="shared" si="29"/>
        <v>0.4</v>
      </c>
      <c r="I222" s="117">
        <f t="shared" si="29"/>
        <v>0.4</v>
      </c>
      <c r="J222" s="117">
        <f t="shared" si="29"/>
        <v>0.4</v>
      </c>
      <c r="K222" s="117">
        <f t="shared" si="29"/>
        <v>0.4</v>
      </c>
      <c r="L222" s="117">
        <f t="shared" si="29"/>
        <v>0.4</v>
      </c>
      <c r="M222" s="117">
        <f t="shared" si="29"/>
        <v>0.4</v>
      </c>
      <c r="N222" s="117">
        <f t="shared" si="29"/>
        <v>0.4</v>
      </c>
      <c r="O222" s="117">
        <f t="shared" si="29"/>
        <v>0.4</v>
      </c>
      <c r="P222" s="117">
        <f t="shared" si="29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28"/>
        <v>0</v>
      </c>
      <c r="C223" s="121">
        <v>0.64</v>
      </c>
      <c r="D223" s="121">
        <f t="shared" si="29"/>
        <v>0.64</v>
      </c>
      <c r="E223" s="121">
        <f t="shared" si="29"/>
        <v>0.64</v>
      </c>
      <c r="F223" s="121">
        <f t="shared" si="29"/>
        <v>0.64</v>
      </c>
      <c r="G223" s="121">
        <f t="shared" si="29"/>
        <v>0.64</v>
      </c>
      <c r="H223" s="121">
        <f t="shared" si="29"/>
        <v>0.64</v>
      </c>
      <c r="I223" s="121">
        <f t="shared" si="29"/>
        <v>0.64</v>
      </c>
      <c r="J223" s="121">
        <f t="shared" si="29"/>
        <v>0.64</v>
      </c>
      <c r="K223" s="121">
        <f t="shared" si="29"/>
        <v>0.64</v>
      </c>
      <c r="L223" s="121">
        <f t="shared" si="29"/>
        <v>0.64</v>
      </c>
      <c r="M223" s="121">
        <f t="shared" si="29"/>
        <v>0.64</v>
      </c>
      <c r="N223" s="121">
        <f t="shared" si="29"/>
        <v>0.64</v>
      </c>
      <c r="O223" s="121">
        <f t="shared" si="29"/>
        <v>0.64</v>
      </c>
      <c r="P223" s="121">
        <f t="shared" si="29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30">SUM(B218:B223)</f>
        <v>0</v>
      </c>
      <c r="C224" s="125">
        <f t="shared" si="30"/>
        <v>3.54</v>
      </c>
      <c r="D224" s="125">
        <f t="shared" si="30"/>
        <v>3.54</v>
      </c>
      <c r="E224" s="125">
        <f t="shared" si="30"/>
        <v>3.54</v>
      </c>
      <c r="F224" s="125">
        <f t="shared" si="30"/>
        <v>3.54</v>
      </c>
      <c r="G224" s="125">
        <f t="shared" si="30"/>
        <v>3.54</v>
      </c>
      <c r="H224" s="125">
        <f t="shared" si="30"/>
        <v>3.54</v>
      </c>
      <c r="I224" s="125">
        <f t="shared" si="30"/>
        <v>3.54</v>
      </c>
      <c r="J224" s="125">
        <f t="shared" si="30"/>
        <v>3.54</v>
      </c>
      <c r="K224" s="125">
        <f t="shared" si="30"/>
        <v>3.54</v>
      </c>
      <c r="L224" s="125">
        <f t="shared" si="30"/>
        <v>3.54</v>
      </c>
      <c r="M224" s="125">
        <f t="shared" si="30"/>
        <v>3.54</v>
      </c>
      <c r="N224" s="125">
        <f t="shared" si="30"/>
        <v>3.54</v>
      </c>
      <c r="O224" s="125">
        <f t="shared" si="30"/>
        <v>3.54</v>
      </c>
      <c r="P224" s="125">
        <f t="shared" si="30"/>
        <v>3.54</v>
      </c>
      <c r="Q224" s="125">
        <f t="shared" si="30"/>
        <v>0</v>
      </c>
      <c r="R224" s="125">
        <f t="shared" si="30"/>
        <v>0</v>
      </c>
      <c r="S224" s="125">
        <f t="shared" si="30"/>
        <v>0</v>
      </c>
      <c r="T224" s="125">
        <f t="shared" si="30"/>
        <v>0</v>
      </c>
      <c r="U224" s="125">
        <f t="shared" si="30"/>
        <v>0</v>
      </c>
      <c r="V224" s="125">
        <f t="shared" si="30"/>
        <v>0</v>
      </c>
      <c r="W224" s="125">
        <f t="shared" si="30"/>
        <v>0</v>
      </c>
      <c r="X224" s="125">
        <f t="shared" si="30"/>
        <v>0</v>
      </c>
      <c r="Y224" s="125">
        <f t="shared" si="30"/>
        <v>0</v>
      </c>
      <c r="Z224" s="125">
        <f t="shared" si="30"/>
        <v>0</v>
      </c>
      <c r="AA224" s="125">
        <f t="shared" si="30"/>
        <v>0</v>
      </c>
      <c r="AB224" s="125">
        <f t="shared" si="30"/>
        <v>0</v>
      </c>
      <c r="AC224" s="125">
        <f t="shared" si="30"/>
        <v>0</v>
      </c>
      <c r="AD224" s="125">
        <f t="shared" si="30"/>
        <v>0</v>
      </c>
      <c r="AE224" s="125">
        <f t="shared" si="30"/>
        <v>0</v>
      </c>
      <c r="AF224" s="125">
        <f t="shared" si="30"/>
        <v>0</v>
      </c>
      <c r="AG224" s="134">
        <f t="shared" si="30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1583.64</v>
      </c>
      <c r="C233" s="150">
        <f>INDEX(G9:N9,1,MATCH(MAX(G81:N81),G81:N81,0))</f>
        <v>0.3125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20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2079/06/20)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2079/06/20)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31">B81</f>
        <v>1276.04</v>
      </c>
      <c r="U238" s="159">
        <f t="shared" si="31"/>
        <v>1265.74</v>
      </c>
      <c r="V238" s="159">
        <f t="shared" si="31"/>
        <v>1257.24</v>
      </c>
      <c r="W238" s="159">
        <f t="shared" si="31"/>
        <v>1251.54</v>
      </c>
      <c r="X238" s="159">
        <f t="shared" si="31"/>
        <v>1241.44</v>
      </c>
      <c r="Y238" s="159">
        <f t="shared" si="31"/>
        <v>1289.04</v>
      </c>
      <c r="Z238" s="159">
        <f t="shared" si="31"/>
        <v>1314.84</v>
      </c>
      <c r="AA238" s="159">
        <f t="shared" si="31"/>
        <v>1375.94</v>
      </c>
      <c r="AB238" s="159">
        <f t="shared" si="31"/>
        <v>1427.14</v>
      </c>
      <c r="AC238" s="159">
        <f t="shared" si="31"/>
        <v>1519.8400000000001</v>
      </c>
      <c r="AD238" s="159">
        <f t="shared" si="31"/>
        <v>1583.64</v>
      </c>
      <c r="AE238" s="159">
        <f t="shared" si="31"/>
        <v>1572.8400000000001</v>
      </c>
      <c r="AF238" s="159">
        <f t="shared" si="31"/>
        <v>1527.04</v>
      </c>
      <c r="AG238" s="159">
        <f t="shared" si="31"/>
        <v>1480.04</v>
      </c>
      <c r="AH238" s="159">
        <f t="shared" si="31"/>
        <v>1485.04</v>
      </c>
      <c r="AI238" s="159">
        <f t="shared" si="31"/>
        <v>1475.3400000000001</v>
      </c>
      <c r="AJ238" s="159">
        <f t="shared" si="31"/>
        <v>1416.44</v>
      </c>
      <c r="AK238" s="159">
        <f t="shared" si="31"/>
        <v>1389.94</v>
      </c>
      <c r="AL238" s="159">
        <f t="shared" si="31"/>
        <v>1408.6399999999999</v>
      </c>
      <c r="AM238" s="159">
        <f t="shared" si="31"/>
        <v>1404.6399999999999</v>
      </c>
      <c r="AN238" s="159">
        <f t="shared" si="31"/>
        <v>1413.44</v>
      </c>
      <c r="AO238" s="159">
        <f t="shared" si="31"/>
        <v>1633.64</v>
      </c>
      <c r="AP238" s="159">
        <f t="shared" si="31"/>
        <v>1660.64</v>
      </c>
      <c r="AQ238" s="159">
        <f t="shared" si="31"/>
        <v>1634.24</v>
      </c>
      <c r="AR238" s="159">
        <f t="shared" si="31"/>
        <v>1516.24</v>
      </c>
      <c r="AS238" s="159">
        <f t="shared" si="31"/>
        <v>1540.24</v>
      </c>
      <c r="AT238" s="159">
        <f t="shared" si="31"/>
        <v>1504.44</v>
      </c>
      <c r="AU238" s="159">
        <f t="shared" si="31"/>
        <v>1469.24</v>
      </c>
      <c r="AV238" s="159">
        <f t="shared" si="31"/>
        <v>1405.84</v>
      </c>
      <c r="AW238" s="159">
        <f t="shared" si="31"/>
        <v>1352.44</v>
      </c>
      <c r="AX238" s="159">
        <f t="shared" si="31"/>
        <v>1348.94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32">C223</f>
        <v>0.64</v>
      </c>
      <c r="C259" s="162">
        <f t="shared" si="32"/>
        <v>0.64</v>
      </c>
      <c r="D259" s="162">
        <f t="shared" si="32"/>
        <v>0.64</v>
      </c>
      <c r="E259" s="162">
        <f t="shared" si="32"/>
        <v>0.64</v>
      </c>
      <c r="F259" s="162">
        <f t="shared" si="32"/>
        <v>0.64</v>
      </c>
      <c r="G259" s="162">
        <f t="shared" si="32"/>
        <v>0.64</v>
      </c>
      <c r="H259" s="162">
        <f t="shared" si="32"/>
        <v>0.64</v>
      </c>
      <c r="I259" s="162">
        <f t="shared" si="32"/>
        <v>0.64</v>
      </c>
      <c r="J259" s="162">
        <f t="shared" si="32"/>
        <v>0.64</v>
      </c>
      <c r="K259" s="162">
        <f t="shared" si="32"/>
        <v>0.64</v>
      </c>
      <c r="L259" s="162">
        <f t="shared" si="32"/>
        <v>0.64</v>
      </c>
      <c r="M259" s="162">
        <f t="shared" si="32"/>
        <v>0.64</v>
      </c>
      <c r="N259" s="162">
        <f t="shared" si="32"/>
        <v>0.64</v>
      </c>
      <c r="O259" s="162">
        <f t="shared" si="32"/>
        <v>0.64</v>
      </c>
      <c r="P259" s="162">
        <f t="shared" si="32"/>
        <v>0</v>
      </c>
      <c r="Q259" s="162">
        <f t="shared" si="32"/>
        <v>0</v>
      </c>
      <c r="R259" s="162">
        <f t="shared" si="32"/>
        <v>0</v>
      </c>
      <c r="S259" s="162">
        <f t="shared" si="32"/>
        <v>0</v>
      </c>
      <c r="T259" s="162">
        <f t="shared" si="32"/>
        <v>0</v>
      </c>
      <c r="U259" s="162">
        <f t="shared" si="32"/>
        <v>0</v>
      </c>
      <c r="V259" s="162">
        <f t="shared" si="32"/>
        <v>0</v>
      </c>
      <c r="W259" s="162">
        <f t="shared" si="32"/>
        <v>0</v>
      </c>
      <c r="X259" s="162">
        <f t="shared" si="32"/>
        <v>0</v>
      </c>
      <c r="Y259" s="162">
        <f t="shared" si="32"/>
        <v>0</v>
      </c>
      <c r="Z259" s="162">
        <f t="shared" si="32"/>
        <v>0</v>
      </c>
      <c r="AA259" s="162">
        <f t="shared" si="32"/>
        <v>0</v>
      </c>
      <c r="AB259" s="162">
        <f t="shared" si="32"/>
        <v>0</v>
      </c>
      <c r="AC259" s="162">
        <f t="shared" si="32"/>
        <v>0</v>
      </c>
      <c r="AD259" s="162">
        <f t="shared" si="32"/>
        <v>0</v>
      </c>
      <c r="AE259" s="162">
        <f t="shared" si="32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33">IF(B227&lt;100,"",B227-520)</f>
        <v/>
      </c>
      <c r="C260" s="163" t="str">
        <f t="shared" si="33"/>
        <v/>
      </c>
      <c r="D260" s="163" t="str">
        <f t="shared" si="33"/>
        <v/>
      </c>
      <c r="E260" s="163" t="str">
        <f t="shared" si="33"/>
        <v/>
      </c>
      <c r="F260" s="163" t="str">
        <f t="shared" si="33"/>
        <v/>
      </c>
      <c r="G260" s="163" t="str">
        <f t="shared" si="33"/>
        <v/>
      </c>
      <c r="H260" s="163" t="str">
        <f t="shared" si="33"/>
        <v/>
      </c>
      <c r="I260" s="163" t="str">
        <f t="shared" si="33"/>
        <v/>
      </c>
      <c r="J260" s="163" t="str">
        <f t="shared" si="33"/>
        <v/>
      </c>
      <c r="K260" s="163" t="str">
        <f t="shared" si="33"/>
        <v/>
      </c>
      <c r="L260" s="163" t="str">
        <f t="shared" si="33"/>
        <v/>
      </c>
      <c r="M260" s="163" t="str">
        <f t="shared" si="33"/>
        <v/>
      </c>
      <c r="N260" s="163" t="str">
        <f t="shared" si="33"/>
        <v/>
      </c>
      <c r="O260" s="163" t="str">
        <f t="shared" si="33"/>
        <v/>
      </c>
      <c r="P260" s="163" t="str">
        <f t="shared" si="33"/>
        <v/>
      </c>
      <c r="Q260" s="163" t="str">
        <f t="shared" si="33"/>
        <v/>
      </c>
      <c r="R260" s="163" t="str">
        <f t="shared" si="33"/>
        <v/>
      </c>
      <c r="S260" s="163" t="str">
        <f t="shared" si="33"/>
        <v/>
      </c>
      <c r="T260" s="163" t="str">
        <f t="shared" si="33"/>
        <v/>
      </c>
      <c r="U260" s="163" t="str">
        <f t="shared" si="33"/>
        <v/>
      </c>
      <c r="V260" s="163" t="str">
        <f t="shared" si="33"/>
        <v/>
      </c>
      <c r="W260" s="163" t="str">
        <f t="shared" si="33"/>
        <v/>
      </c>
      <c r="X260" s="163" t="str">
        <f t="shared" si="33"/>
        <v/>
      </c>
      <c r="Y260" s="163" t="str">
        <f t="shared" si="33"/>
        <v/>
      </c>
      <c r="Z260" s="163" t="str">
        <f t="shared" si="33"/>
        <v/>
      </c>
      <c r="AA260" s="163" t="str">
        <f t="shared" si="33"/>
        <v/>
      </c>
      <c r="AB260" s="163" t="str">
        <f t="shared" si="33"/>
        <v/>
      </c>
      <c r="AC260" s="163" t="str">
        <f t="shared" si="33"/>
        <v/>
      </c>
      <c r="AD260" s="163" t="str">
        <f t="shared" si="33"/>
        <v/>
      </c>
      <c r="AE260" s="163" t="str">
        <f t="shared" si="33"/>
        <v/>
      </c>
      <c r="AF260" s="163" t="str">
        <f t="shared" si="33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34">IF(B228&lt;100,"",B228-620)</f>
        <v/>
      </c>
      <c r="C261" s="163" t="str">
        <f t="shared" si="34"/>
        <v/>
      </c>
      <c r="D261" s="163" t="str">
        <f t="shared" si="34"/>
        <v/>
      </c>
      <c r="E261" s="163" t="str">
        <f t="shared" si="34"/>
        <v/>
      </c>
      <c r="F261" s="163" t="str">
        <f t="shared" si="34"/>
        <v/>
      </c>
      <c r="G261" s="163" t="str">
        <f t="shared" si="34"/>
        <v/>
      </c>
      <c r="H261" s="163" t="str">
        <f t="shared" si="34"/>
        <v/>
      </c>
      <c r="I261" s="163" t="str">
        <f t="shared" si="34"/>
        <v/>
      </c>
      <c r="J261" s="163" t="str">
        <f t="shared" si="34"/>
        <v/>
      </c>
      <c r="K261" s="163" t="str">
        <f t="shared" si="34"/>
        <v/>
      </c>
      <c r="L261" s="163" t="str">
        <f t="shared" si="34"/>
        <v/>
      </c>
      <c r="M261" s="163" t="str">
        <f t="shared" si="34"/>
        <v/>
      </c>
      <c r="N261" s="163" t="str">
        <f t="shared" si="34"/>
        <v/>
      </c>
      <c r="O261" s="163" t="str">
        <f t="shared" si="34"/>
        <v/>
      </c>
      <c r="P261" s="163" t="str">
        <f t="shared" si="34"/>
        <v/>
      </c>
      <c r="Q261" s="163" t="str">
        <f t="shared" si="34"/>
        <v/>
      </c>
      <c r="R261" s="163" t="str">
        <f t="shared" si="34"/>
        <v/>
      </c>
      <c r="S261" s="163" t="str">
        <f t="shared" si="34"/>
        <v/>
      </c>
      <c r="T261" s="163" t="str">
        <f t="shared" si="34"/>
        <v/>
      </c>
      <c r="U261" s="163" t="str">
        <f t="shared" si="34"/>
        <v/>
      </c>
      <c r="V261" s="163" t="str">
        <f t="shared" si="34"/>
        <v/>
      </c>
      <c r="W261" s="163" t="str">
        <f t="shared" si="34"/>
        <v/>
      </c>
      <c r="X261" s="163" t="str">
        <f t="shared" si="34"/>
        <v/>
      </c>
      <c r="Y261" s="163" t="str">
        <f t="shared" si="34"/>
        <v/>
      </c>
      <c r="Z261" s="163" t="str">
        <f t="shared" si="34"/>
        <v/>
      </c>
      <c r="AA261" s="163" t="str">
        <f t="shared" si="34"/>
        <v/>
      </c>
      <c r="AB261" s="163" t="str">
        <f t="shared" si="34"/>
        <v/>
      </c>
      <c r="AC261" s="163" t="str">
        <f t="shared" si="34"/>
        <v/>
      </c>
      <c r="AD261" s="163" t="str">
        <f t="shared" si="34"/>
        <v/>
      </c>
      <c r="AE261" s="163" t="str">
        <f t="shared" si="34"/>
        <v/>
      </c>
      <c r="AF261" s="163" t="str">
        <f t="shared" si="34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5">IF(B229&lt;100,"",B229-330)</f>
        <v/>
      </c>
      <c r="C262" s="163" t="str">
        <f t="shared" si="35"/>
        <v/>
      </c>
      <c r="D262" s="163" t="str">
        <f t="shared" si="35"/>
        <v/>
      </c>
      <c r="E262" s="163" t="str">
        <f t="shared" si="35"/>
        <v/>
      </c>
      <c r="F262" s="163" t="str">
        <f t="shared" si="35"/>
        <v/>
      </c>
      <c r="G262" s="163" t="str">
        <f t="shared" si="35"/>
        <v/>
      </c>
      <c r="H262" s="163" t="str">
        <f t="shared" si="35"/>
        <v/>
      </c>
      <c r="I262" s="163" t="str">
        <f t="shared" si="35"/>
        <v/>
      </c>
      <c r="J262" s="163" t="str">
        <f t="shared" si="35"/>
        <v/>
      </c>
      <c r="K262" s="163" t="str">
        <f t="shared" si="35"/>
        <v/>
      </c>
      <c r="L262" s="163" t="str">
        <f t="shared" si="35"/>
        <v/>
      </c>
      <c r="M262" s="163" t="str">
        <f t="shared" si="35"/>
        <v/>
      </c>
      <c r="N262" s="163" t="str">
        <f t="shared" si="35"/>
        <v/>
      </c>
      <c r="O262" s="163" t="str">
        <f t="shared" si="35"/>
        <v/>
      </c>
      <c r="P262" s="163" t="str">
        <f t="shared" si="35"/>
        <v/>
      </c>
      <c r="Q262" s="163" t="str">
        <f t="shared" si="35"/>
        <v/>
      </c>
      <c r="R262" s="163" t="str">
        <f t="shared" si="35"/>
        <v/>
      </c>
      <c r="S262" s="163" t="str">
        <f t="shared" si="35"/>
        <v/>
      </c>
      <c r="T262" s="163" t="str">
        <f t="shared" si="35"/>
        <v/>
      </c>
      <c r="U262" s="163" t="str">
        <f t="shared" si="35"/>
        <v/>
      </c>
      <c r="V262" s="163" t="str">
        <f t="shared" si="35"/>
        <v/>
      </c>
      <c r="W262" s="163" t="str">
        <f t="shared" si="35"/>
        <v/>
      </c>
      <c r="X262" s="163" t="str">
        <f t="shared" si="35"/>
        <v/>
      </c>
      <c r="Y262" s="163" t="str">
        <f t="shared" si="35"/>
        <v/>
      </c>
      <c r="Z262" s="163" t="str">
        <f t="shared" si="35"/>
        <v/>
      </c>
      <c r="AA262" s="163" t="str">
        <f t="shared" si="35"/>
        <v/>
      </c>
      <c r="AB262" s="163" t="str">
        <f t="shared" si="35"/>
        <v/>
      </c>
      <c r="AC262" s="163" t="str">
        <f t="shared" si="35"/>
        <v/>
      </c>
      <c r="AD262" s="163" t="str">
        <f t="shared" si="35"/>
        <v/>
      </c>
      <c r="AE262" s="163" t="str">
        <f t="shared" si="35"/>
        <v/>
      </c>
      <c r="AF262" s="163" t="str">
        <f t="shared" si="35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6">IF(B230&lt;100,"",B230-1500)</f>
        <v/>
      </c>
      <c r="C263" s="163" t="str">
        <f t="shared" si="36"/>
        <v/>
      </c>
      <c r="D263" s="163" t="str">
        <f t="shared" si="36"/>
        <v/>
      </c>
      <c r="E263" s="163" t="str">
        <f t="shared" si="36"/>
        <v/>
      </c>
      <c r="F263" s="163" t="str">
        <f t="shared" si="36"/>
        <v/>
      </c>
      <c r="G263" s="163" t="str">
        <f t="shared" si="36"/>
        <v/>
      </c>
      <c r="H263" s="163" t="str">
        <f t="shared" si="36"/>
        <v/>
      </c>
      <c r="I263" s="163" t="str">
        <f t="shared" si="36"/>
        <v/>
      </c>
      <c r="J263" s="163" t="str">
        <f t="shared" si="36"/>
        <v/>
      </c>
      <c r="K263" s="163" t="str">
        <f t="shared" si="36"/>
        <v/>
      </c>
      <c r="L263" s="163" t="str">
        <f t="shared" si="36"/>
        <v/>
      </c>
      <c r="M263" s="163" t="str">
        <f t="shared" si="36"/>
        <v/>
      </c>
      <c r="N263" s="163" t="str">
        <f t="shared" si="36"/>
        <v/>
      </c>
      <c r="O263" s="163" t="str">
        <f t="shared" si="36"/>
        <v/>
      </c>
      <c r="P263" s="163" t="str">
        <f t="shared" si="36"/>
        <v/>
      </c>
      <c r="Q263" s="163" t="str">
        <f t="shared" si="36"/>
        <v/>
      </c>
      <c r="R263" s="163" t="str">
        <f t="shared" si="36"/>
        <v/>
      </c>
      <c r="S263" s="163" t="str">
        <f t="shared" si="36"/>
        <v/>
      </c>
      <c r="T263" s="163" t="str">
        <f t="shared" si="36"/>
        <v/>
      </c>
      <c r="U263" s="163" t="str">
        <f t="shared" si="36"/>
        <v/>
      </c>
      <c r="V263" s="163" t="str">
        <f t="shared" si="36"/>
        <v/>
      </c>
      <c r="W263" s="163" t="str">
        <f t="shared" si="36"/>
        <v/>
      </c>
      <c r="X263" s="163" t="str">
        <f t="shared" si="36"/>
        <v/>
      </c>
      <c r="Y263" s="163" t="str">
        <f t="shared" si="36"/>
        <v/>
      </c>
      <c r="Z263" s="163" t="str">
        <f t="shared" si="36"/>
        <v/>
      </c>
      <c r="AA263" s="163" t="str">
        <f t="shared" si="36"/>
        <v/>
      </c>
      <c r="AB263" s="163" t="str">
        <f t="shared" si="36"/>
        <v/>
      </c>
      <c r="AC263" s="163" t="str">
        <f t="shared" si="36"/>
        <v/>
      </c>
      <c r="AD263" s="163" t="str">
        <f t="shared" si="36"/>
        <v/>
      </c>
      <c r="AE263" s="163" t="str">
        <f t="shared" si="36"/>
        <v/>
      </c>
      <c r="AF263" s="163" t="str">
        <f t="shared" si="36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B16:AF16 T11:AF11 B20:AF23">
    <cfRule type="expression" dxfId="5251" priority="244">
      <formula>B$9&gt;=20/24</formula>
    </cfRule>
    <cfRule type="expression" dxfId="5250" priority="245">
      <formula>AND(B$9&gt;=14/24,B$9&lt;20/24)</formula>
    </cfRule>
    <cfRule type="expression" dxfId="5249" priority="246">
      <formula>AND(B$9&gt;=8/24,B$9&lt;14/24)</formula>
    </cfRule>
    <cfRule type="expression" dxfId="5248" priority="247">
      <formula>B$9&lt;8/24</formula>
    </cfRule>
  </conditionalFormatting>
  <conditionalFormatting sqref="AL4:AL6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5247" priority="239">
      <formula>S$9&gt;=20/24</formula>
    </cfRule>
    <cfRule type="expression" dxfId="5246" priority="240">
      <formula>AND(S$9&gt;=14/24,S$9&lt;20/24)</formula>
    </cfRule>
    <cfRule type="expression" dxfId="5245" priority="241">
      <formula>AND(S$9&gt;=8/24,S$9&lt;14/24)</formula>
    </cfRule>
    <cfRule type="expression" dxfId="5244" priority="242">
      <formula>S$9&lt;8/24</formula>
    </cfRule>
  </conditionalFormatting>
  <conditionalFormatting sqref="AG57 B12:Q16 S39:AF39 R11:AF16 B18:AF18 B20:AF23 B37:AF37">
    <cfRule type="expression" dxfId="5243" priority="238">
      <formula>B11&gt;$AG11</formula>
    </cfRule>
  </conditionalFormatting>
  <conditionalFormatting sqref="A91:A101 A11:A14 A51:A78 A87:A89 A194:A224 A38:A49 A110:A181 A34:A35 A83:A85 A80:A81 A103:A105 A31:A32 A18:A29 A16">
    <cfRule type="expression" dxfId="5242" priority="237">
      <formula>$AH11=0</formula>
    </cfRule>
  </conditionalFormatting>
  <conditionalFormatting sqref="A106">
    <cfRule type="expression" dxfId="5241" priority="236">
      <formula>$AH106=0</formula>
    </cfRule>
  </conditionalFormatting>
  <conditionalFormatting sqref="AL35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5240" priority="234">
      <formula>$AH37=0</formula>
    </cfRule>
  </conditionalFormatting>
  <conditionalFormatting sqref="A90">
    <cfRule type="expression" dxfId="5239" priority="233">
      <formula>$AH90=0</formula>
    </cfRule>
  </conditionalFormatting>
  <conditionalFormatting sqref="A15">
    <cfRule type="expression" dxfId="5238" priority="232">
      <formula>$AH15=0</formula>
    </cfRule>
  </conditionalFormatting>
  <conditionalFormatting sqref="A188:A193">
    <cfRule type="expression" dxfId="5237" priority="231">
      <formula>$AH188=0</formula>
    </cfRule>
  </conditionalFormatting>
  <conditionalFormatting sqref="A182:A187">
    <cfRule type="expression" dxfId="5236" priority="230">
      <formula>$AH182=0</formula>
    </cfRule>
  </conditionalFormatting>
  <conditionalFormatting sqref="A50">
    <cfRule type="expression" dxfId="5235" priority="229">
      <formula>$AH50=0</formula>
    </cfRule>
  </conditionalFormatting>
  <conditionalFormatting sqref="A86">
    <cfRule type="expression" dxfId="5234" priority="228">
      <formula>$AH86=0</formula>
    </cfRule>
  </conditionalFormatting>
  <conditionalFormatting sqref="C91:AF91">
    <cfRule type="expression" dxfId="5233" priority="224">
      <formula>C$9&gt;=20/24</formula>
    </cfRule>
    <cfRule type="expression" dxfId="5232" priority="225">
      <formula>AND(C$9&gt;=14/24,C$9&lt;20/24)</formula>
    </cfRule>
    <cfRule type="expression" dxfId="5231" priority="226">
      <formula>AND(C$9&gt;=8/24,C$9&lt;14/24)</formula>
    </cfRule>
    <cfRule type="expression" dxfId="5230" priority="227">
      <formula>C$9&lt;8/24</formula>
    </cfRule>
  </conditionalFormatting>
  <conditionalFormatting sqref="AL36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229" priority="250">
      <formula>C$9&gt;=20/24</formula>
    </cfRule>
    <cfRule type="expression" dxfId="5228" priority="251">
      <formula>AND(C$9&gt;=14/24,C$9&lt;20/24)</formula>
    </cfRule>
    <cfRule type="expression" dxfId="5227" priority="252">
      <formula>AND(C$9&gt;=8/24,C$9&lt;14/24)</formula>
    </cfRule>
    <cfRule type="expression" dxfId="5226" priority="253">
      <formula>C$9&lt;8/24</formula>
    </cfRule>
  </conditionalFormatting>
  <conditionalFormatting sqref="A225">
    <cfRule type="expression" dxfId="5225" priority="254">
      <formula>$AH225=0</formula>
    </cfRule>
  </conditionalFormatting>
  <conditionalFormatting sqref="AG237">
    <cfRule type="expression" dxfId="5224" priority="255">
      <formula>B$9&gt;=20/24</formula>
    </cfRule>
    <cfRule type="expression" dxfId="5223" priority="256">
      <formula>AND(B$9&gt;=14/24,B$9&lt;20/24)</formula>
    </cfRule>
    <cfRule type="expression" dxfId="5222" priority="257">
      <formula>AND(B$9&gt;=8/24,B$9&lt;14/24)</formula>
    </cfRule>
    <cfRule type="expression" dxfId="5221" priority="258">
      <formula>B$9&lt;8/24</formula>
    </cfRule>
  </conditionalFormatting>
  <conditionalFormatting sqref="S8">
    <cfRule type="expression" dxfId="5220" priority="219">
      <formula>U$9&gt;=20/24</formula>
    </cfRule>
    <cfRule type="expression" dxfId="5219" priority="220">
      <formula>AND(U$9&gt;=14/24,U$9&lt;20/24)</formula>
    </cfRule>
    <cfRule type="expression" dxfId="5218" priority="221">
      <formula>AND(U$9&gt;=8/24,U$9&lt;14/24)</formula>
    </cfRule>
    <cfRule type="expression" dxfId="5217" priority="222">
      <formula>U$9&lt;8/24</formula>
    </cfRule>
  </conditionalFormatting>
  <conditionalFormatting sqref="AB8">
    <cfRule type="expression" dxfId="5216" priority="215">
      <formula>AD$9&gt;=20/24</formula>
    </cfRule>
    <cfRule type="expression" dxfId="5215" priority="216">
      <formula>AND(AD$9&gt;=14/24,AD$9&lt;20/24)</formula>
    </cfRule>
    <cfRule type="expression" dxfId="5214" priority="217">
      <formula>AND(AD$9&gt;=8/24,AD$9&lt;14/24)</formula>
    </cfRule>
    <cfRule type="expression" dxfId="5213" priority="218">
      <formula>AD$9&lt;8/24</formula>
    </cfRule>
  </conditionalFormatting>
  <conditionalFormatting sqref="AH237:AX237">
    <cfRule type="expression" dxfId="5212" priority="259">
      <formula>AG$9&gt;=20/24</formula>
    </cfRule>
    <cfRule type="expression" dxfId="5211" priority="260">
      <formula>AND(AG$9&gt;=14/24,AG$9&lt;20/24)</formula>
    </cfRule>
    <cfRule type="expression" dxfId="5210" priority="261">
      <formula>AND(AG$9&gt;=8/24,AG$9&lt;14/24)</formula>
    </cfRule>
    <cfRule type="expression" dxfId="5209" priority="262">
      <formula>AG$9&lt;8/24</formula>
    </cfRule>
  </conditionalFormatting>
  <conditionalFormatting sqref="T237">
    <cfRule type="expression" dxfId="5208" priority="263">
      <formula>AX$9&gt;=20/24</formula>
    </cfRule>
    <cfRule type="expression" dxfId="5207" priority="264">
      <formula>AND(AX$9&gt;=14/24,AX$9&lt;20/24)</formula>
    </cfRule>
    <cfRule type="expression" dxfId="5206" priority="265">
      <formula>AND(AX$9&gt;=8/24,AX$9&lt;14/24)</formula>
    </cfRule>
    <cfRule type="expression" dxfId="5205" priority="266">
      <formula>AX$9&lt;8/24</formula>
    </cfRule>
  </conditionalFormatting>
  <conditionalFormatting sqref="A107:A108">
    <cfRule type="expression" dxfId="5204" priority="214">
      <formula>$AH107=0</formula>
    </cfRule>
  </conditionalFormatting>
  <conditionalFormatting sqref="E46:Q47 S46:AF47 E63:AF63">
    <cfRule type="expression" dxfId="5203" priority="210">
      <formula>E$9&gt;=20/24</formula>
    </cfRule>
    <cfRule type="expression" dxfId="5202" priority="211">
      <formula>AND(E$9&gt;=14/24,E$9&lt;20/24)</formula>
    </cfRule>
    <cfRule type="expression" dxfId="5201" priority="212">
      <formula>AND(E$9&gt;=8/24,E$9&lt;14/24)</formula>
    </cfRule>
    <cfRule type="expression" dxfId="5200" priority="213">
      <formula>E$9&lt;8/24</formula>
    </cfRule>
  </conditionalFormatting>
  <conditionalFormatting sqref="E45:Q45 S45:AF45">
    <cfRule type="expression" dxfId="5199" priority="206">
      <formula>E$9&gt;=20/24</formula>
    </cfRule>
    <cfRule type="expression" dxfId="5198" priority="207">
      <formula>AND(E$9&gt;=14/24,E$9&lt;20/24)</formula>
    </cfRule>
    <cfRule type="expression" dxfId="5197" priority="208">
      <formula>AND(E$9&gt;=8/24,E$9&lt;14/24)</formula>
    </cfRule>
    <cfRule type="expression" dxfId="5196" priority="209">
      <formula>E$9&lt;8/24</formula>
    </cfRule>
  </conditionalFormatting>
  <conditionalFormatting sqref="E45:Q47 S45:AF47">
    <cfRule type="expression" dxfId="5195" priority="205">
      <formula>E45&gt;$AG45</formula>
    </cfRule>
  </conditionalFormatting>
  <conditionalFormatting sqref="C88:AF88 C75:AF78 S59:AF61 L39:R39 D92:AF98 R11:S14 E64:AB65 T38:AF38 T12:AF14 T29:AF29 T18:AF18 T25:AF27 AC64:AF73">
    <cfRule type="expression" dxfId="5194" priority="201">
      <formula>C$9&gt;=20/24</formula>
    </cfRule>
    <cfRule type="expression" dxfId="5193" priority="202">
      <formula>AND(C$9&gt;=14/24,C$9&lt;20/24)</formula>
    </cfRule>
    <cfRule type="expression" dxfId="5192" priority="203">
      <formula>AND(C$9&gt;=8/24,C$9&lt;14/24)</formula>
    </cfRule>
    <cfRule type="expression" dxfId="5191" priority="204">
      <formula>C$9&lt;8/24</formula>
    </cfRule>
  </conditionalFormatting>
  <conditionalFormatting sqref="S59:AF61 L39:R39 E48:Q48 R11:S11 T38:AF38 T25:AF29 AC48:AF49 C57:AF57">
    <cfRule type="expression" dxfId="5190" priority="196">
      <formula>C11&gt;$AG11</formula>
    </cfRule>
  </conditionalFormatting>
  <conditionalFormatting sqref="T37:AF37">
    <cfRule type="expression" dxfId="5189" priority="192">
      <formula>T$9&gt;=20/24</formula>
    </cfRule>
    <cfRule type="expression" dxfId="5188" priority="193">
      <formula>AND(T$9&gt;=14/24,T$9&lt;20/24)</formula>
    </cfRule>
    <cfRule type="expression" dxfId="5187" priority="194">
      <formula>AND(T$9&gt;=8/24,T$9&lt;14/24)</formula>
    </cfRule>
    <cfRule type="expression" dxfId="5186" priority="195">
      <formula>T$9&lt;8/24</formula>
    </cfRule>
  </conditionalFormatting>
  <conditionalFormatting sqref="T15:AF15">
    <cfRule type="expression" dxfId="5185" priority="188">
      <formula>T$9&gt;=20/24</formula>
    </cfRule>
    <cfRule type="expression" dxfId="5184" priority="189">
      <formula>AND(T$9&gt;=14/24,T$9&lt;20/24)</formula>
    </cfRule>
    <cfRule type="expression" dxfId="5183" priority="190">
      <formula>AND(T$9&gt;=8/24,T$9&lt;14/24)</formula>
    </cfRule>
    <cfRule type="expression" dxfId="5182" priority="191">
      <formula>T$9&lt;8/24</formula>
    </cfRule>
  </conditionalFormatting>
  <conditionalFormatting sqref="AC50:AF56">
    <cfRule type="expression" dxfId="5181" priority="179">
      <formula>AC$9&gt;=20/24</formula>
    </cfRule>
    <cfRule type="expression" dxfId="5180" priority="180">
      <formula>AND(AC$9&gt;=14/24,AC$9&lt;20/24)</formula>
    </cfRule>
    <cfRule type="expression" dxfId="5179" priority="181">
      <formula>AND(AC$9&gt;=8/24,AC$9&lt;14/24)</formula>
    </cfRule>
    <cfRule type="expression" dxfId="5178" priority="182">
      <formula>AC$9&lt;8/24</formula>
    </cfRule>
  </conditionalFormatting>
  <conditionalFormatting sqref="AC50:AF56">
    <cfRule type="expression" dxfId="5177" priority="178">
      <formula>AC50&gt;$AG50</formula>
    </cfRule>
  </conditionalFormatting>
  <conditionalFormatting sqref="R45:R47 R48:S50 S51 T48:AB51">
    <cfRule type="expression" dxfId="5176" priority="174">
      <formula>R$9&gt;=20/24</formula>
    </cfRule>
    <cfRule type="expression" dxfId="5175" priority="175">
      <formula>AND(R$9&gt;=14/24,R$9&lt;20/24)</formula>
    </cfRule>
    <cfRule type="expression" dxfId="5174" priority="176">
      <formula>AND(R$9&gt;=8/24,R$9&lt;14/24)</formula>
    </cfRule>
    <cfRule type="expression" dxfId="5173" priority="177">
      <formula>R$9&lt;8/24</formula>
    </cfRule>
  </conditionalFormatting>
  <conditionalFormatting sqref="R45:R47 R48:S50 S51 T48:AB51">
    <cfRule type="expression" dxfId="5172" priority="173">
      <formula>R45&gt;$AG45</formula>
    </cfRule>
  </conditionalFormatting>
  <conditionalFormatting sqref="T28:AF28">
    <cfRule type="expression" dxfId="5171" priority="169">
      <formula>T$9&gt;=20/24</formula>
    </cfRule>
    <cfRule type="expression" dxfId="5170" priority="170">
      <formula>AND(T$9&gt;=14/24,T$9&lt;20/24)</formula>
    </cfRule>
    <cfRule type="expression" dxfId="5169" priority="171">
      <formula>AND(T$9&gt;=8/24,T$9&lt;14/24)</formula>
    </cfRule>
    <cfRule type="expression" dxfId="5168" priority="172">
      <formula>T$9&lt;8/24</formula>
    </cfRule>
  </conditionalFormatting>
  <conditionalFormatting sqref="T19:AF19 T24:AF24">
    <cfRule type="expression" dxfId="5167" priority="165">
      <formula>T$9&gt;=20/24</formula>
    </cfRule>
    <cfRule type="expression" dxfId="5166" priority="166">
      <formula>AND(T$9&gt;=14/24,T$9&lt;20/24)</formula>
    </cfRule>
    <cfRule type="expression" dxfId="5165" priority="167">
      <formula>AND(T$9&gt;=8/24,T$9&lt;14/24)</formula>
    </cfRule>
    <cfRule type="expression" dxfId="5164" priority="168">
      <formula>T$9&lt;8/24</formula>
    </cfRule>
  </conditionalFormatting>
  <conditionalFormatting sqref="T19:AF19 T24:AF24">
    <cfRule type="expression" dxfId="5163" priority="164">
      <formula>T19&gt;$AG19</formula>
    </cfRule>
  </conditionalFormatting>
  <conditionalFormatting sqref="D45">
    <cfRule type="expression" dxfId="5162" priority="160">
      <formula>D$9&gt;=20/24</formula>
    </cfRule>
    <cfRule type="expression" dxfId="5161" priority="161">
      <formula>AND(D$9&gt;=14/24,D$9&lt;20/24)</formula>
    </cfRule>
    <cfRule type="expression" dxfId="5160" priority="162">
      <formula>AND(D$9&gt;=8/24,D$9&lt;14/24)</formula>
    </cfRule>
    <cfRule type="expression" dxfId="5159" priority="163">
      <formula>D$9&lt;8/24</formula>
    </cfRule>
  </conditionalFormatting>
  <conditionalFormatting sqref="D45">
    <cfRule type="expression" dxfId="5158" priority="159">
      <formula>D45&gt;$AG45</formula>
    </cfRule>
  </conditionalFormatting>
  <conditionalFormatting sqref="B101 B80:AF80 B89:AF89 B103:B108 B11:Q11">
    <cfRule type="expression" dxfId="5157" priority="146">
      <formula>B$9&gt;=20/24</formula>
    </cfRule>
    <cfRule type="expression" dxfId="5156" priority="147">
      <formula>AND(B$9&gt;=14/24,B$9&lt;20/24)</formula>
    </cfRule>
    <cfRule type="expression" dxfId="5155" priority="148">
      <formula>AND(B$9&gt;=8/24,B$9&lt;14/24)</formula>
    </cfRule>
    <cfRule type="expression" dxfId="5154" priority="149">
      <formula>B$9&lt;8/24</formula>
    </cfRule>
  </conditionalFormatting>
  <conditionalFormatting sqref="B39:K39">
    <cfRule type="expression" dxfId="5153" priority="142">
      <formula>B$9&gt;=20/24</formula>
    </cfRule>
    <cfRule type="expression" dxfId="5152" priority="143">
      <formula>AND(B$9&gt;=14/24,B$9&lt;20/24)</formula>
    </cfRule>
    <cfRule type="expression" dxfId="5151" priority="144">
      <formula>AND(B$9&gt;=8/24,B$9&lt;14/24)</formula>
    </cfRule>
    <cfRule type="expression" dxfId="5150" priority="145">
      <formula>B$9&lt;8/24</formula>
    </cfRule>
  </conditionalFormatting>
  <conditionalFormatting sqref="B39:K39 B11:Q11">
    <cfRule type="expression" dxfId="5149" priority="141">
      <formula>B11&gt;$AG11</formula>
    </cfRule>
  </conditionalFormatting>
  <conditionalFormatting sqref="B91">
    <cfRule type="expression" dxfId="5148" priority="137">
      <formula>B$9&gt;=20/24</formula>
    </cfRule>
    <cfRule type="expression" dxfId="5147" priority="138">
      <formula>AND(B$9&gt;=14/24,B$9&lt;20/24)</formula>
    </cfRule>
    <cfRule type="expression" dxfId="5146" priority="139">
      <formula>AND(B$9&gt;=8/24,B$9&lt;14/24)</formula>
    </cfRule>
    <cfRule type="expression" dxfId="5145" priority="140">
      <formula>B$9&lt;8/24</formula>
    </cfRule>
  </conditionalFormatting>
  <conditionalFormatting sqref="B46:D47 B63:D63 B38:S38">
    <cfRule type="expression" dxfId="5144" priority="133">
      <formula>B$9&gt;=20/24</formula>
    </cfRule>
    <cfRule type="expression" dxfId="5143" priority="134">
      <formula>AND(B$9&gt;=14/24,B$9&lt;20/24)</formula>
    </cfRule>
    <cfRule type="expression" dxfId="5142" priority="135">
      <formula>AND(B$9&gt;=8/24,B$9&lt;14/24)</formula>
    </cfRule>
    <cfRule type="expression" dxfId="5141" priority="136">
      <formula>B$9&lt;8/24</formula>
    </cfRule>
  </conditionalFormatting>
  <conditionalFormatting sqref="B45:C45">
    <cfRule type="expression" dxfId="5140" priority="129">
      <formula>B$9&gt;=20/24</formula>
    </cfRule>
    <cfRule type="expression" dxfId="5139" priority="130">
      <formula>AND(B$9&gt;=14/24,B$9&lt;20/24)</formula>
    </cfRule>
    <cfRule type="expression" dxfId="5138" priority="131">
      <formula>AND(B$9&gt;=8/24,B$9&lt;14/24)</formula>
    </cfRule>
    <cfRule type="expression" dxfId="5137" priority="132">
      <formula>B$9&lt;8/24</formula>
    </cfRule>
  </conditionalFormatting>
  <conditionalFormatting sqref="B45:C47 D46:D47 B38:S38">
    <cfRule type="expression" dxfId="5136" priority="128">
      <formula>B38&gt;$AG38</formula>
    </cfRule>
  </conditionalFormatting>
  <conditionalFormatting sqref="B59:B62 B75:B79 B81:AF81 B88 C62:AG62 C79:AG79 B90:AF90 B92:C98 B64:D73 B12:Q14 C59:R61 B18:S18 B25:S27 B29:S29 E66:AB73 B31:AF34">
    <cfRule type="expression" dxfId="5135" priority="124">
      <formula>B$9&gt;=20/24</formula>
    </cfRule>
    <cfRule type="expression" dxfId="5134" priority="125">
      <formula>AND(B$9&gt;=14/24,B$9&lt;20/24)</formula>
    </cfRule>
    <cfRule type="expression" dxfId="5133" priority="126">
      <formula>AND(B$9&gt;=8/24,B$9&lt;14/24)</formula>
    </cfRule>
    <cfRule type="expression" dxfId="5132" priority="127">
      <formula>B$9&lt;8/24</formula>
    </cfRule>
  </conditionalFormatting>
  <conditionalFormatting sqref="B35:AF35">
    <cfRule type="expression" dxfId="5131" priority="120">
      <formula>B$9&gt;=20/24</formula>
    </cfRule>
    <cfRule type="expression" dxfId="5130" priority="121">
      <formula>AND(B$9&gt;=14/24,B$9&lt;20/24)</formula>
    </cfRule>
    <cfRule type="expression" dxfId="5129" priority="122">
      <formula>AND(B$9&gt;=8/24,B$9&lt;14/24)</formula>
    </cfRule>
    <cfRule type="expression" dxfId="5128" priority="123">
      <formula>B$9&lt;8/24</formula>
    </cfRule>
  </conditionalFormatting>
  <conditionalFormatting sqref="B57:B62 B40:AG40 C58:AG58 C62:AG62 B48:D49 E49:Q49 C59:R61 B25:S29 B31:AF35">
    <cfRule type="expression" dxfId="5127" priority="119">
      <formula>B25&gt;$AG25</formula>
    </cfRule>
  </conditionalFormatting>
  <conditionalFormatting sqref="B37:S37">
    <cfRule type="expression" dxfId="5126" priority="115">
      <formula>B$9&gt;=20/24</formula>
    </cfRule>
    <cfRule type="expression" dxfId="5125" priority="116">
      <formula>AND(B$9&gt;=14/24,B$9&lt;20/24)</formula>
    </cfRule>
    <cfRule type="expression" dxfId="5124" priority="117">
      <formula>AND(B$9&gt;=8/24,B$9&lt;14/24)</formula>
    </cfRule>
    <cfRule type="expression" dxfId="5123" priority="118">
      <formula>B$9&lt;8/24</formula>
    </cfRule>
  </conditionalFormatting>
  <conditionalFormatting sqref="B15:S15">
    <cfRule type="expression" dxfId="5122" priority="111">
      <formula>B$9&gt;=20/24</formula>
    </cfRule>
    <cfRule type="expression" dxfId="5121" priority="112">
      <formula>AND(B$9&gt;=14/24,B$9&lt;20/24)</formula>
    </cfRule>
    <cfRule type="expression" dxfId="5120" priority="113">
      <formula>AND(B$9&gt;=8/24,B$9&lt;14/24)</formula>
    </cfRule>
    <cfRule type="expression" dxfId="5119" priority="114">
      <formula>B$9&lt;8/24</formula>
    </cfRule>
  </conditionalFormatting>
  <conditionalFormatting sqref="B36:AF36">
    <cfRule type="expression" dxfId="5118" priority="107">
      <formula>B$9&gt;=20/24</formula>
    </cfRule>
    <cfRule type="expression" dxfId="5117" priority="108">
      <formula>AND(B$9&gt;=14/24,B$9&lt;20/24)</formula>
    </cfRule>
    <cfRule type="expression" dxfId="5116" priority="109">
      <formula>AND(B$9&gt;=8/24,B$9&lt;14/24)</formula>
    </cfRule>
    <cfRule type="expression" dxfId="5115" priority="110">
      <formula>B$9&lt;8/24</formula>
    </cfRule>
  </conditionalFormatting>
  <conditionalFormatting sqref="B36:AF36">
    <cfRule type="expression" dxfId="5114" priority="106">
      <formula>B36&gt;$AG36</formula>
    </cfRule>
  </conditionalFormatting>
  <conditionalFormatting sqref="B50:Q56 R51:R56 S52:AB56">
    <cfRule type="expression" dxfId="5113" priority="102">
      <formula>B$9&gt;=20/24</formula>
    </cfRule>
    <cfRule type="expression" dxfId="5112" priority="103">
      <formula>AND(B$9&gt;=14/24,B$9&lt;20/24)</formula>
    </cfRule>
    <cfRule type="expression" dxfId="5111" priority="104">
      <formula>AND(B$9&gt;=8/24,B$9&lt;14/24)</formula>
    </cfRule>
    <cfRule type="expression" dxfId="5110" priority="105">
      <formula>B$9&lt;8/24</formula>
    </cfRule>
  </conditionalFormatting>
  <conditionalFormatting sqref="B50:Q56 R51:R56 S52:AB56">
    <cfRule type="expression" dxfId="5109" priority="101">
      <formula>B50&gt;$AG50</formula>
    </cfRule>
  </conditionalFormatting>
  <conditionalFormatting sqref="B28:S28">
    <cfRule type="expression" dxfId="5108" priority="97">
      <formula>B$9&gt;=20/24</formula>
    </cfRule>
    <cfRule type="expression" dxfId="5107" priority="98">
      <formula>AND(B$9&gt;=14/24,B$9&lt;20/24)</formula>
    </cfRule>
    <cfRule type="expression" dxfId="5106" priority="99">
      <formula>AND(B$9&gt;=8/24,B$9&lt;14/24)</formula>
    </cfRule>
    <cfRule type="expression" dxfId="5105" priority="100">
      <formula>B$9&lt;8/24</formula>
    </cfRule>
  </conditionalFormatting>
  <conditionalFormatting sqref="B19:S19 B24:S24">
    <cfRule type="expression" dxfId="5104" priority="93">
      <formula>B$9&gt;=20/24</formula>
    </cfRule>
    <cfRule type="expression" dxfId="5103" priority="94">
      <formula>AND(B$9&gt;=14/24,B$9&lt;20/24)</formula>
    </cfRule>
    <cfRule type="expression" dxfId="5102" priority="95">
      <formula>AND(B$9&gt;=8/24,B$9&lt;14/24)</formula>
    </cfRule>
    <cfRule type="expression" dxfId="5101" priority="96">
      <formula>B$9&lt;8/24</formula>
    </cfRule>
  </conditionalFormatting>
  <conditionalFormatting sqref="B19:S19 B24:S24">
    <cfRule type="expression" dxfId="5100" priority="92">
      <formula>B19&gt;$AG19</formula>
    </cfRule>
  </conditionalFormatting>
  <conditionalFormatting sqref="A36">
    <cfRule type="expression" dxfId="5099" priority="91">
      <formula>$AH36=0</formula>
    </cfRule>
  </conditionalFormatting>
  <conditionalFormatting sqref="B74:AF74">
    <cfRule type="expression" dxfId="5098" priority="87">
      <formula>B$9&gt;=20/24</formula>
    </cfRule>
    <cfRule type="expression" dxfId="5097" priority="88">
      <formula>AND(B$9&gt;=14/24,B$9&lt;20/24)</formula>
    </cfRule>
    <cfRule type="expression" dxfId="5096" priority="89">
      <formula>AND(B$9&gt;=8/24,B$9&lt;14/24)</formula>
    </cfRule>
    <cfRule type="expression" dxfId="5095" priority="90">
      <formula>B$9&lt;8/24</formula>
    </cfRule>
  </conditionalFormatting>
  <conditionalFormatting sqref="B83:AF87">
    <cfRule type="expression" dxfId="5094" priority="83">
      <formula>B$9&gt;=20/24</formula>
    </cfRule>
    <cfRule type="expression" dxfId="5093" priority="84">
      <formula>AND(B$9&gt;=14/24,B$9&lt;20/24)</formula>
    </cfRule>
    <cfRule type="expression" dxfId="5092" priority="85">
      <formula>AND(B$9&gt;=8/24,B$9&lt;14/24)</formula>
    </cfRule>
    <cfRule type="expression" dxfId="5091" priority="86">
      <formula>B$9&lt;8/24</formula>
    </cfRule>
  </conditionalFormatting>
  <conditionalFormatting sqref="AL37 AL34 AL18:AL29 AL7:AL16 AL31:AL32">
    <cfRule type="iconSet" priority="267">
      <iconSet iconSet="3TrafficLights2" reverse="1">
        <cfvo type="percent" val="0"/>
        <cfvo type="num" val="1"/>
        <cfvo type="num" val="1"/>
      </iconSet>
    </cfRule>
  </conditionalFormatting>
  <conditionalFormatting sqref="C41:AF43">
    <cfRule type="expression" dxfId="5090" priority="79">
      <formula>C$9&gt;=20/24</formula>
    </cfRule>
    <cfRule type="expression" dxfId="5089" priority="80">
      <formula>AND(C$9&gt;=14/24,C$9&lt;20/24)</formula>
    </cfRule>
    <cfRule type="expression" dxfId="5088" priority="81">
      <formula>AND(C$9&gt;=8/24,C$9&lt;14/24)</formula>
    </cfRule>
    <cfRule type="expression" dxfId="5087" priority="82">
      <formula>C$9&lt;8/24</formula>
    </cfRule>
  </conditionalFormatting>
  <conditionalFormatting sqref="C41:AF43">
    <cfRule type="expression" dxfId="5086" priority="78">
      <formula>C41&gt;$AG41</formula>
    </cfRule>
  </conditionalFormatting>
  <conditionalFormatting sqref="B41:B44 C44:AG44">
    <cfRule type="expression" dxfId="5085" priority="74">
      <formula>B$9&gt;=20/24</formula>
    </cfRule>
    <cfRule type="expression" dxfId="5084" priority="75">
      <formula>AND(B$9&gt;=14/24,B$9&lt;20/24)</formula>
    </cfRule>
    <cfRule type="expression" dxfId="5083" priority="76">
      <formula>AND(B$9&gt;=8/24,B$9&lt;14/24)</formula>
    </cfRule>
    <cfRule type="expression" dxfId="5082" priority="77">
      <formula>B$9&lt;8/24</formula>
    </cfRule>
  </conditionalFormatting>
  <conditionalFormatting sqref="B41:B44 C44:AG44">
    <cfRule type="expression" dxfId="5081" priority="73">
      <formula>B41&gt;$AG41</formula>
    </cfRule>
  </conditionalFormatting>
  <conditionalFormatting sqref="C99:AF99">
    <cfRule type="expression" dxfId="5080" priority="69">
      <formula>C$9&gt;=20/24</formula>
    </cfRule>
    <cfRule type="expression" dxfId="5079" priority="70">
      <formula>AND(C$9&gt;=14/24,C$9&lt;20/24)</formula>
    </cfRule>
    <cfRule type="expression" dxfId="5078" priority="71">
      <formula>AND(C$9&gt;=8/24,C$9&lt;14/24)</formula>
    </cfRule>
    <cfRule type="expression" dxfId="5077" priority="72">
      <formula>C$9&lt;8/24</formula>
    </cfRule>
  </conditionalFormatting>
  <conditionalFormatting sqref="B99">
    <cfRule type="expression" dxfId="5076" priority="65">
      <formula>B$9&gt;=20/24</formula>
    </cfRule>
    <cfRule type="expression" dxfId="5075" priority="66">
      <formula>AND(B$9&gt;=14/24,B$9&lt;20/24)</formula>
    </cfRule>
    <cfRule type="expression" dxfId="5074" priority="67">
      <formula>AND(B$9&gt;=8/24,B$9&lt;14/24)</formula>
    </cfRule>
    <cfRule type="expression" dxfId="5073" priority="68">
      <formula>B$9&lt;8/24</formula>
    </cfRule>
  </conditionalFormatting>
  <conditionalFormatting sqref="AL33">
    <cfRule type="iconSet" priority="64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5072" priority="59">
      <formula>$AH33=0</formula>
    </cfRule>
  </conditionalFormatting>
  <conditionalFormatting sqref="A82">
    <cfRule type="expression" dxfId="5071" priority="57">
      <formula>$AH82=0</formula>
    </cfRule>
  </conditionalFormatting>
  <conditionalFormatting sqref="A79">
    <cfRule type="expression" dxfId="5070" priority="58">
      <formula>$AH79=0</formula>
    </cfRule>
  </conditionalFormatting>
  <conditionalFormatting sqref="A109">
    <cfRule type="expression" dxfId="5069" priority="48">
      <formula>$AH109=0</formula>
    </cfRule>
  </conditionalFormatting>
  <conditionalFormatting sqref="C102:AF102">
    <cfRule type="expression" dxfId="5068" priority="44">
      <formula>C$9&gt;=20/24</formula>
    </cfRule>
    <cfRule type="expression" dxfId="5067" priority="45">
      <formula>AND(C$9&gt;=14/24,C$9&lt;20/24)</formula>
    </cfRule>
    <cfRule type="expression" dxfId="5066" priority="46">
      <formula>AND(C$9&gt;=8/24,C$9&lt;14/24)</formula>
    </cfRule>
    <cfRule type="expression" dxfId="5065" priority="47">
      <formula>C$9&lt;8/24</formula>
    </cfRule>
  </conditionalFormatting>
  <conditionalFormatting sqref="A102">
    <cfRule type="expression" dxfId="5064" priority="43">
      <formula>$AH102=0</formula>
    </cfRule>
  </conditionalFormatting>
  <conditionalFormatting sqref="B102">
    <cfRule type="expression" dxfId="5063" priority="39">
      <formula>B$9&gt;=20/24</formula>
    </cfRule>
    <cfRule type="expression" dxfId="5062" priority="40">
      <formula>AND(B$9&gt;=14/24,B$9&lt;20/24)</formula>
    </cfRule>
    <cfRule type="expression" dxfId="5061" priority="41">
      <formula>AND(B$9&gt;=8/24,B$9&lt;14/24)</formula>
    </cfRule>
    <cfRule type="expression" dxfId="5060" priority="42">
      <formula>B$9&lt;8/24</formula>
    </cfRule>
  </conditionalFormatting>
  <conditionalFormatting sqref="B17:AF17">
    <cfRule type="expression" dxfId="5059" priority="32">
      <formula>B17&gt;$AG17</formula>
    </cfRule>
  </conditionalFormatting>
  <conditionalFormatting sqref="A17">
    <cfRule type="expression" dxfId="5058" priority="31">
      <formula>$AH17=0</formula>
    </cfRule>
  </conditionalFormatting>
  <conditionalFormatting sqref="T17:AF17">
    <cfRule type="expression" dxfId="5057" priority="27">
      <formula>T$9&gt;=20/24</formula>
    </cfRule>
    <cfRule type="expression" dxfId="5056" priority="28">
      <formula>AND(T$9&gt;=14/24,T$9&lt;20/24)</formula>
    </cfRule>
    <cfRule type="expression" dxfId="5055" priority="29">
      <formula>AND(T$9&gt;=8/24,T$9&lt;14/24)</formula>
    </cfRule>
    <cfRule type="expression" dxfId="5054" priority="30">
      <formula>T$9&lt;8/24</formula>
    </cfRule>
  </conditionalFormatting>
  <conditionalFormatting sqref="B17:S17">
    <cfRule type="expression" dxfId="5053" priority="23">
      <formula>B$9&gt;=20/24</formula>
    </cfRule>
    <cfRule type="expression" dxfId="5052" priority="24">
      <formula>AND(B$9&gt;=14/24,B$9&lt;20/24)</formula>
    </cfRule>
    <cfRule type="expression" dxfId="5051" priority="25">
      <formula>AND(B$9&gt;=8/24,B$9&lt;14/24)</formula>
    </cfRule>
    <cfRule type="expression" dxfId="5050" priority="26">
      <formula>B$9&lt;8/24</formula>
    </cfRule>
  </conditionalFormatting>
  <conditionalFormatting sqref="AL17">
    <cfRule type="iconSet" priority="33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5049" priority="21">
      <formula>$AH30=0</formula>
    </cfRule>
  </conditionalFormatting>
  <conditionalFormatting sqref="V30:AF30">
    <cfRule type="expression" dxfId="5048" priority="17">
      <formula>V$9&gt;=20/24</formula>
    </cfRule>
    <cfRule type="expression" dxfId="5047" priority="18">
      <formula>AND(V$9&gt;=14/24,V$9&lt;20/24)</formula>
    </cfRule>
    <cfRule type="expression" dxfId="5046" priority="19">
      <formula>AND(V$9&gt;=8/24,V$9&lt;14/24)</formula>
    </cfRule>
    <cfRule type="expression" dxfId="5045" priority="20">
      <formula>V$9&lt;8/24</formula>
    </cfRule>
  </conditionalFormatting>
  <conditionalFormatting sqref="V30:AF30">
    <cfRule type="expression" dxfId="5044" priority="16">
      <formula>V30&gt;$AG30</formula>
    </cfRule>
  </conditionalFormatting>
  <conditionalFormatting sqref="B30:U30">
    <cfRule type="expression" dxfId="5043" priority="7">
      <formula>B$9&gt;=20/24</formula>
    </cfRule>
    <cfRule type="expression" dxfId="5042" priority="8">
      <formula>AND(B$9&gt;=14/24,B$9&lt;20/24)</formula>
    </cfRule>
    <cfRule type="expression" dxfId="5041" priority="9">
      <formula>AND(B$9&gt;=8/24,B$9&lt;14/24)</formula>
    </cfRule>
    <cfRule type="expression" dxfId="5040" priority="10">
      <formula>B$9&lt;8/24</formula>
    </cfRule>
  </conditionalFormatting>
  <conditionalFormatting sqref="B30:U30">
    <cfRule type="expression" dxfId="5039" priority="6">
      <formula>B30&gt;$AG30</formula>
    </cfRule>
  </conditionalFormatting>
  <conditionalFormatting sqref="AL30">
    <cfRule type="iconSet" priority="22">
      <iconSet iconSet="3TrafficLights2" reverse="1">
        <cfvo type="percent" val="0"/>
        <cfvo type="num" val="1"/>
        <cfvo type="num" val="1"/>
      </iconSet>
    </cfRule>
  </conditionalFormatting>
  <conditionalFormatting sqref="AK7">
    <cfRule type="expression" dxfId="5038" priority="2">
      <formula>AK$9&gt;=20/24</formula>
    </cfRule>
    <cfRule type="expression" dxfId="5037" priority="3">
      <formula>AND(AK$9&gt;=14/24,AK$9&lt;20/24)</formula>
    </cfRule>
    <cfRule type="expression" dxfId="5036" priority="4">
      <formula>AND(AK$9&gt;=8/24,AK$9&lt;14/24)</formula>
    </cfRule>
    <cfRule type="expression" dxfId="5035" priority="5">
      <formula>AK$9&lt;8/24</formula>
    </cfRule>
  </conditionalFormatting>
  <conditionalFormatting sqref="AK7">
    <cfRule type="expression" dxfId="5034" priority="1">
      <formula>AK7&gt;$AG7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0" id="{C006EDB9-20A3-4D4D-8EFE-2AEBAEC8094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1" id="{7EEC8327-8895-489C-B0F4-26DFE920421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2" id="{AC0416FC-6154-4810-AEF9-3AB4FF635AD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3" id="{328BFFF2-E86F-4E56-B4D4-FB220B3C45D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53" id="{08A90423-8173-457F-B1D4-D137EAD30958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4" id="{62EA5317-A4F8-4F66-B6DF-E146E996FF5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5" id="{D6A34FA4-647B-4E5B-AAC7-75EFAE4ED38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6" id="{67D8C056-7BEA-4E13-9462-0926F8225097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9" id="{C55924E1-C73F-4F2A-AA5A-A19258DD11EE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0" id="{58F83291-EA09-41DC-B5DC-783D996971B6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1" id="{6967725D-3C0F-4DEC-AD60-0D5311D50685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2" id="{E865E6DC-C6CB-49D6-835C-3A732C7FA39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J270"/>
  <sheetViews>
    <sheetView zoomScale="90" zoomScaleNormal="90" workbookViewId="0">
      <pane xSplit="1" ySplit="10" topLeftCell="B20" activePane="bottomRight" state="frozen"/>
      <selection activeCell="AF88" sqref="AF88"/>
      <selection pane="topRight" activeCell="AF88" sqref="AF88"/>
      <selection pane="bottomLeft" activeCell="AF88" sqref="AF88"/>
      <selection pane="bottomRight" activeCell="Y41" sqref="Y41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2079/06/21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1606MW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Load=1291</v>
      </c>
      <c r="B7" s="35">
        <f t="shared" ref="B7:AF7" si="1">B81</f>
        <v>1345.94</v>
      </c>
      <c r="C7" s="35">
        <f t="shared" si="1"/>
        <v>1339.1399999999999</v>
      </c>
      <c r="D7" s="35">
        <f t="shared" si="1"/>
        <v>1318.84</v>
      </c>
      <c r="E7" s="35">
        <f t="shared" si="1"/>
        <v>1318.84</v>
      </c>
      <c r="F7" s="35">
        <f t="shared" si="1"/>
        <v>1301.3399999999999</v>
      </c>
      <c r="G7" s="35">
        <f t="shared" si="1"/>
        <v>1308.3399999999999</v>
      </c>
      <c r="H7" s="35">
        <f t="shared" si="1"/>
        <v>1364.44</v>
      </c>
      <c r="I7" s="35">
        <f t="shared" si="1"/>
        <v>1386.44</v>
      </c>
      <c r="J7" s="35">
        <f t="shared" si="1"/>
        <v>1491.1399999999999</v>
      </c>
      <c r="K7" s="35">
        <f t="shared" si="1"/>
        <v>1511.1399999999999</v>
      </c>
      <c r="L7" s="35">
        <f t="shared" si="1"/>
        <v>1565.1399999999999</v>
      </c>
      <c r="M7" s="35">
        <f t="shared" si="1"/>
        <v>1606.04</v>
      </c>
      <c r="N7" s="35">
        <f t="shared" si="1"/>
        <v>1553.14</v>
      </c>
      <c r="O7" s="35">
        <f t="shared" si="1"/>
        <v>1552.94</v>
      </c>
      <c r="P7" s="35">
        <f t="shared" si="1"/>
        <v>1398.74</v>
      </c>
      <c r="Q7" s="35">
        <f t="shared" si="1"/>
        <v>1354.6399999999999</v>
      </c>
      <c r="R7" s="35">
        <f t="shared" si="1"/>
        <v>1364.44</v>
      </c>
      <c r="S7" s="35">
        <f t="shared" si="1"/>
        <v>1383.54</v>
      </c>
      <c r="T7" s="35">
        <f t="shared" si="1"/>
        <v>1398.24</v>
      </c>
      <c r="U7" s="35">
        <f t="shared" si="1"/>
        <v>1382.04</v>
      </c>
      <c r="V7" s="35">
        <f t="shared" si="1"/>
        <v>1452.04</v>
      </c>
      <c r="W7" s="35">
        <f t="shared" si="1"/>
        <v>1589.34</v>
      </c>
      <c r="X7" s="35">
        <f t="shared" si="1"/>
        <v>1756.9399999999998</v>
      </c>
      <c r="Y7" s="35">
        <f t="shared" si="1"/>
        <v>1699.34</v>
      </c>
      <c r="Z7" s="35">
        <f t="shared" si="1"/>
        <v>1605.84</v>
      </c>
      <c r="AA7" s="35">
        <f t="shared" si="1"/>
        <v>1545.84</v>
      </c>
      <c r="AB7" s="35">
        <f t="shared" si="1"/>
        <v>1465.84</v>
      </c>
      <c r="AC7" s="35">
        <f t="shared" si="1"/>
        <v>1399.7399999999998</v>
      </c>
      <c r="AD7" s="35">
        <f t="shared" si="1"/>
        <v>1374.84</v>
      </c>
      <c r="AE7" s="35">
        <f t="shared" si="1"/>
        <v>1298.44</v>
      </c>
      <c r="AF7" s="35">
        <f t="shared" si="1"/>
        <v>1290.6399999999999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6">
        <v>46.5</v>
      </c>
      <c r="C11" s="46">
        <v>46.7</v>
      </c>
      <c r="D11" s="46">
        <v>46.7</v>
      </c>
      <c r="E11" s="46">
        <v>46.7</v>
      </c>
      <c r="F11" s="46">
        <v>46.7</v>
      </c>
      <c r="G11" s="46">
        <v>46.7</v>
      </c>
      <c r="H11" s="46">
        <v>46.7</v>
      </c>
      <c r="I11" s="46">
        <v>46.7</v>
      </c>
      <c r="J11" s="46">
        <v>46.7</v>
      </c>
      <c r="K11" s="46">
        <v>46.7</v>
      </c>
      <c r="L11" s="46">
        <v>46.7</v>
      </c>
      <c r="M11" s="45">
        <v>46.7</v>
      </c>
      <c r="N11" s="45">
        <v>46.7</v>
      </c>
      <c r="O11" s="45">
        <v>46.7</v>
      </c>
      <c r="P11" s="45">
        <v>46.7</v>
      </c>
      <c r="Q11" s="45">
        <v>42.6</v>
      </c>
      <c r="R11" s="45">
        <v>42.6</v>
      </c>
      <c r="S11" s="45">
        <v>40.799999999999997</v>
      </c>
      <c r="T11" s="45">
        <v>40.799999999999997</v>
      </c>
      <c r="U11" s="45">
        <v>40.799999999999997</v>
      </c>
      <c r="V11" s="45">
        <v>40</v>
      </c>
      <c r="W11" s="45">
        <v>40</v>
      </c>
      <c r="X11" s="46">
        <v>49.6</v>
      </c>
      <c r="Y11" s="46">
        <v>49.6</v>
      </c>
      <c r="Z11" s="46">
        <v>46</v>
      </c>
      <c r="AA11" s="46">
        <v>46</v>
      </c>
      <c r="AB11" s="46">
        <v>46</v>
      </c>
      <c r="AC11" s="46">
        <v>46</v>
      </c>
      <c r="AD11" s="46">
        <v>46</v>
      </c>
      <c r="AE11" s="46">
        <v>46</v>
      </c>
      <c r="AF11" s="46">
        <v>46</v>
      </c>
      <c r="AG11" s="47">
        <v>52.4</v>
      </c>
      <c r="AH11" s="48">
        <f>MAX(B11:AF11)</f>
        <v>49.6</v>
      </c>
      <c r="AI11" s="49">
        <f>MIN(B11:AF11)</f>
        <v>40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50.6</v>
      </c>
      <c r="C12" s="45">
        <v>50.5</v>
      </c>
      <c r="D12" s="45">
        <v>50.5</v>
      </c>
      <c r="E12" s="45">
        <v>50.5</v>
      </c>
      <c r="F12" s="45">
        <v>50.5</v>
      </c>
      <c r="G12" s="45">
        <v>50.5</v>
      </c>
      <c r="H12" s="45">
        <v>50.5</v>
      </c>
      <c r="I12" s="45">
        <v>50.5</v>
      </c>
      <c r="J12" s="45">
        <v>50.5</v>
      </c>
      <c r="K12" s="45">
        <v>50.5</v>
      </c>
      <c r="L12" s="45">
        <v>50.5</v>
      </c>
      <c r="M12" s="45">
        <v>50.7</v>
      </c>
      <c r="N12" s="45">
        <v>50.7</v>
      </c>
      <c r="O12" s="45">
        <v>50.7</v>
      </c>
      <c r="P12" s="45">
        <v>50.7</v>
      </c>
      <c r="Q12" s="45">
        <v>50.6</v>
      </c>
      <c r="R12" s="45">
        <v>50.6</v>
      </c>
      <c r="S12" s="45">
        <v>50.3</v>
      </c>
      <c r="T12" s="45">
        <v>50.3</v>
      </c>
      <c r="U12" s="45">
        <v>50.3</v>
      </c>
      <c r="V12" s="45">
        <v>50.3</v>
      </c>
      <c r="W12" s="45">
        <v>50.3</v>
      </c>
      <c r="X12" s="45">
        <v>50.5</v>
      </c>
      <c r="Y12" s="45">
        <v>50.5</v>
      </c>
      <c r="Z12" s="45">
        <v>50.5</v>
      </c>
      <c r="AA12" s="45">
        <v>50.5</v>
      </c>
      <c r="AB12" s="45">
        <v>50.5</v>
      </c>
      <c r="AC12" s="45">
        <v>50.5</v>
      </c>
      <c r="AD12" s="45">
        <v>50.5</v>
      </c>
      <c r="AE12" s="45">
        <v>50.5</v>
      </c>
      <c r="AF12" s="45">
        <v>50.5</v>
      </c>
      <c r="AG12" s="51">
        <v>50</v>
      </c>
      <c r="AH12" s="48">
        <f t="shared" ref="AH12:AH75" si="2">MAX(B12:AF12)</f>
        <v>50.7</v>
      </c>
      <c r="AI12" s="49">
        <f t="shared" ref="AI12:AI75" si="3">MIN(B12:AF12)</f>
        <v>50.3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41.4</v>
      </c>
      <c r="C13" s="45">
        <v>41.6</v>
      </c>
      <c r="D13" s="45">
        <v>41.6</v>
      </c>
      <c r="E13" s="45">
        <v>41.6</v>
      </c>
      <c r="F13" s="45">
        <v>41.6</v>
      </c>
      <c r="G13" s="45">
        <v>41.6</v>
      </c>
      <c r="H13" s="45">
        <v>41.6</v>
      </c>
      <c r="I13" s="45">
        <v>41.6</v>
      </c>
      <c r="J13" s="45">
        <v>41.6</v>
      </c>
      <c r="K13" s="45">
        <v>41.6</v>
      </c>
      <c r="L13" s="45">
        <v>41.6</v>
      </c>
      <c r="M13" s="45">
        <v>40</v>
      </c>
      <c r="N13" s="45">
        <v>40</v>
      </c>
      <c r="O13" s="45">
        <v>40</v>
      </c>
      <c r="P13" s="45">
        <v>40</v>
      </c>
      <c r="Q13" s="45">
        <v>38.799999999999997</v>
      </c>
      <c r="R13" s="45">
        <v>38.799999999999997</v>
      </c>
      <c r="S13" s="45">
        <v>39.700000000000003</v>
      </c>
      <c r="T13" s="45">
        <v>39.700000000000003</v>
      </c>
      <c r="U13" s="45">
        <v>39.700000000000003</v>
      </c>
      <c r="V13" s="45">
        <v>39.700000000000003</v>
      </c>
      <c r="W13" s="45">
        <v>39.700000000000003</v>
      </c>
      <c r="X13" s="45">
        <v>39.9</v>
      </c>
      <c r="Y13" s="45">
        <v>39.9</v>
      </c>
      <c r="Z13" s="45">
        <v>40</v>
      </c>
      <c r="AA13" s="45">
        <v>40</v>
      </c>
      <c r="AB13" s="45">
        <v>40</v>
      </c>
      <c r="AC13" s="45">
        <v>40</v>
      </c>
      <c r="AD13" s="45">
        <v>40</v>
      </c>
      <c r="AE13" s="45">
        <v>40</v>
      </c>
      <c r="AF13" s="45">
        <v>40</v>
      </c>
      <c r="AG13" s="51">
        <v>45</v>
      </c>
      <c r="AH13" s="48">
        <f t="shared" si="2"/>
        <v>41.6</v>
      </c>
      <c r="AI13" s="49">
        <f t="shared" si="3"/>
        <v>38.799999999999997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20</v>
      </c>
      <c r="C14" s="45">
        <v>20</v>
      </c>
      <c r="D14" s="45">
        <v>20</v>
      </c>
      <c r="E14" s="45">
        <v>20</v>
      </c>
      <c r="F14" s="45">
        <v>20</v>
      </c>
      <c r="G14" s="45">
        <v>20</v>
      </c>
      <c r="H14" s="45">
        <v>20</v>
      </c>
      <c r="I14" s="45">
        <v>20</v>
      </c>
      <c r="J14" s="45">
        <v>30</v>
      </c>
      <c r="K14" s="45">
        <v>30</v>
      </c>
      <c r="L14" s="45">
        <v>30</v>
      </c>
      <c r="M14" s="45">
        <v>27</v>
      </c>
      <c r="N14" s="45">
        <v>27</v>
      </c>
      <c r="O14" s="45">
        <v>27</v>
      </c>
      <c r="P14" s="45">
        <v>27</v>
      </c>
      <c r="Q14" s="45">
        <v>25</v>
      </c>
      <c r="R14" s="45">
        <v>25</v>
      </c>
      <c r="S14" s="45">
        <v>21</v>
      </c>
      <c r="T14" s="45">
        <v>21</v>
      </c>
      <c r="U14" s="45">
        <v>21</v>
      </c>
      <c r="V14" s="45">
        <v>35</v>
      </c>
      <c r="W14" s="45">
        <v>35</v>
      </c>
      <c r="X14" s="45">
        <v>37</v>
      </c>
      <c r="Y14" s="45">
        <v>35</v>
      </c>
      <c r="Z14" s="45">
        <v>25</v>
      </c>
      <c r="AA14" s="45">
        <v>25</v>
      </c>
      <c r="AB14" s="45">
        <v>26</v>
      </c>
      <c r="AC14" s="45">
        <v>26</v>
      </c>
      <c r="AD14" s="45">
        <v>22</v>
      </c>
      <c r="AE14" s="45">
        <v>22</v>
      </c>
      <c r="AF14" s="45">
        <v>0</v>
      </c>
      <c r="AG14" s="51">
        <v>42</v>
      </c>
      <c r="AH14" s="48">
        <f t="shared" si="2"/>
        <v>37</v>
      </c>
      <c r="AI14" s="49">
        <f t="shared" si="3"/>
        <v>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10</v>
      </c>
      <c r="I15" s="45">
        <v>15</v>
      </c>
      <c r="J15" s="45">
        <v>30</v>
      </c>
      <c r="K15" s="45">
        <v>30</v>
      </c>
      <c r="L15" s="45">
        <v>30</v>
      </c>
      <c r="M15" s="45">
        <v>27</v>
      </c>
      <c r="N15" s="45">
        <v>27</v>
      </c>
      <c r="O15" s="45">
        <v>27</v>
      </c>
      <c r="P15" s="45">
        <v>27</v>
      </c>
      <c r="Q15" s="45">
        <v>15</v>
      </c>
      <c r="R15" s="45">
        <v>24</v>
      </c>
      <c r="S15" s="45">
        <v>22.6</v>
      </c>
      <c r="T15" s="45">
        <v>22.6</v>
      </c>
      <c r="U15" s="45">
        <v>22.6</v>
      </c>
      <c r="V15" s="45">
        <v>25</v>
      </c>
      <c r="W15" s="45">
        <v>25</v>
      </c>
      <c r="X15" s="45">
        <v>24.6</v>
      </c>
      <c r="Y15" s="45">
        <v>25</v>
      </c>
      <c r="Z15" s="45">
        <v>25</v>
      </c>
      <c r="AA15" s="45">
        <v>25</v>
      </c>
      <c r="AB15" s="45">
        <v>15</v>
      </c>
      <c r="AC15" s="45">
        <v>5.9</v>
      </c>
      <c r="AD15" s="45">
        <v>0</v>
      </c>
      <c r="AE15" s="45">
        <v>0</v>
      </c>
      <c r="AF15" s="45">
        <v>0</v>
      </c>
      <c r="AG15" s="52">
        <v>30</v>
      </c>
      <c r="AH15" s="48">
        <f t="shared" si="2"/>
        <v>30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21.8</v>
      </c>
      <c r="C16" s="45">
        <v>21.3</v>
      </c>
      <c r="D16" s="45">
        <v>21.3</v>
      </c>
      <c r="E16" s="45">
        <v>21.3</v>
      </c>
      <c r="F16" s="45">
        <v>21.3</v>
      </c>
      <c r="G16" s="45">
        <v>21.3</v>
      </c>
      <c r="H16" s="45">
        <v>21.3</v>
      </c>
      <c r="I16" s="45">
        <v>21.3</v>
      </c>
      <c r="J16" s="45">
        <v>21.3</v>
      </c>
      <c r="K16" s="45">
        <v>21.3</v>
      </c>
      <c r="L16" s="45">
        <v>21.3</v>
      </c>
      <c r="M16" s="45">
        <v>21.3</v>
      </c>
      <c r="N16" s="45">
        <v>21.3</v>
      </c>
      <c r="O16" s="45">
        <v>21.3</v>
      </c>
      <c r="P16" s="45">
        <v>21.3</v>
      </c>
      <c r="Q16" s="45">
        <v>18.8</v>
      </c>
      <c r="R16" s="45">
        <v>18.8</v>
      </c>
      <c r="S16" s="45">
        <v>17.100000000000001</v>
      </c>
      <c r="T16" s="45">
        <v>17.100000000000001</v>
      </c>
      <c r="U16" s="45">
        <v>17.100000000000001</v>
      </c>
      <c r="V16" s="45">
        <v>17.100000000000001</v>
      </c>
      <c r="W16" s="45">
        <v>17.100000000000001</v>
      </c>
      <c r="X16" s="45">
        <v>17.100000000000001</v>
      </c>
      <c r="Y16" s="45">
        <v>17.100000000000001</v>
      </c>
      <c r="Z16" s="45">
        <v>17.100000000000001</v>
      </c>
      <c r="AA16" s="45">
        <v>17.100000000000001</v>
      </c>
      <c r="AB16" s="45">
        <v>17.100000000000001</v>
      </c>
      <c r="AC16" s="45">
        <v>17.100000000000001</v>
      </c>
      <c r="AD16" s="45">
        <v>17.100000000000001</v>
      </c>
      <c r="AE16" s="45">
        <v>17.100000000000001</v>
      </c>
      <c r="AF16" s="45">
        <v>17.100000000000001</v>
      </c>
      <c r="AG16" s="51">
        <v>24.2</v>
      </c>
      <c r="AH16" s="48">
        <f t="shared" si="2"/>
        <v>21.8</v>
      </c>
      <c r="AI16" s="49">
        <f t="shared" si="3"/>
        <v>17.100000000000001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4</v>
      </c>
      <c r="I17" s="45">
        <v>10</v>
      </c>
      <c r="J17" s="45">
        <v>25</v>
      </c>
      <c r="K17" s="45">
        <v>25</v>
      </c>
      <c r="L17" s="45">
        <v>25</v>
      </c>
      <c r="M17" s="45">
        <v>25</v>
      </c>
      <c r="N17" s="45">
        <v>25</v>
      </c>
      <c r="O17" s="45">
        <v>25</v>
      </c>
      <c r="P17" s="45">
        <v>25</v>
      </c>
      <c r="Q17" s="45">
        <v>25</v>
      </c>
      <c r="R17" s="45">
        <v>25</v>
      </c>
      <c r="S17" s="45">
        <v>25</v>
      </c>
      <c r="T17" s="45">
        <v>25</v>
      </c>
      <c r="U17" s="45">
        <v>15</v>
      </c>
      <c r="V17" s="45">
        <v>15</v>
      </c>
      <c r="W17" s="45">
        <v>25</v>
      </c>
      <c r="X17" s="45">
        <v>27</v>
      </c>
      <c r="Y17" s="45">
        <v>27</v>
      </c>
      <c r="Z17" s="45">
        <v>27</v>
      </c>
      <c r="AA17" s="45">
        <v>27</v>
      </c>
      <c r="AB17" s="45">
        <v>27</v>
      </c>
      <c r="AC17" s="45">
        <v>0</v>
      </c>
      <c r="AD17" s="45">
        <v>0</v>
      </c>
      <c r="AE17" s="45">
        <v>0</v>
      </c>
      <c r="AF17" s="45">
        <v>0</v>
      </c>
      <c r="AG17" s="52">
        <v>30</v>
      </c>
      <c r="AH17" s="48">
        <f t="shared" si="2"/>
        <v>27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24.1</v>
      </c>
      <c r="C18" s="45">
        <v>24.1</v>
      </c>
      <c r="D18" s="45">
        <v>24.1</v>
      </c>
      <c r="E18" s="45">
        <v>24.1</v>
      </c>
      <c r="F18" s="45">
        <v>24.1</v>
      </c>
      <c r="G18" s="45">
        <v>24.1</v>
      </c>
      <c r="H18" s="45">
        <v>24.1</v>
      </c>
      <c r="I18" s="45">
        <v>24.1</v>
      </c>
      <c r="J18" s="45">
        <v>24.5</v>
      </c>
      <c r="K18" s="45">
        <v>24.5</v>
      </c>
      <c r="L18" s="45">
        <v>24.5</v>
      </c>
      <c r="M18" s="45">
        <v>22.3</v>
      </c>
      <c r="N18" s="45">
        <v>22.3</v>
      </c>
      <c r="O18" s="45">
        <v>22.3</v>
      </c>
      <c r="P18" s="45">
        <v>22.3</v>
      </c>
      <c r="Q18" s="45">
        <v>22.3</v>
      </c>
      <c r="R18" s="45">
        <v>22.3</v>
      </c>
      <c r="S18" s="45">
        <v>24.2</v>
      </c>
      <c r="T18" s="45">
        <v>24.2</v>
      </c>
      <c r="U18" s="45">
        <v>24.2</v>
      </c>
      <c r="V18" s="45">
        <v>24.2</v>
      </c>
      <c r="W18" s="45">
        <v>24.2</v>
      </c>
      <c r="X18" s="45">
        <v>24.2</v>
      </c>
      <c r="Y18" s="45">
        <v>24.2</v>
      </c>
      <c r="Z18" s="45">
        <v>24.2</v>
      </c>
      <c r="AA18" s="45">
        <v>24.2</v>
      </c>
      <c r="AB18" s="45">
        <v>24.2</v>
      </c>
      <c r="AC18" s="45">
        <v>24.2</v>
      </c>
      <c r="AD18" s="45">
        <v>24.2</v>
      </c>
      <c r="AE18" s="45">
        <v>24.2</v>
      </c>
      <c r="AF18" s="45">
        <v>24.2</v>
      </c>
      <c r="AG18" s="51">
        <v>25</v>
      </c>
      <c r="AH18" s="48">
        <f t="shared" si="2"/>
        <v>24.5</v>
      </c>
      <c r="AI18" s="49">
        <f t="shared" si="3"/>
        <v>22.3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25</v>
      </c>
      <c r="C19" s="45">
        <v>25</v>
      </c>
      <c r="D19" s="45">
        <v>25</v>
      </c>
      <c r="E19" s="45">
        <v>25</v>
      </c>
      <c r="F19" s="45">
        <v>25</v>
      </c>
      <c r="G19" s="45">
        <v>25</v>
      </c>
      <c r="H19" s="45">
        <v>25</v>
      </c>
      <c r="I19" s="45">
        <v>25</v>
      </c>
      <c r="J19" s="45">
        <v>25</v>
      </c>
      <c r="K19" s="45">
        <v>25</v>
      </c>
      <c r="L19" s="45">
        <v>25</v>
      </c>
      <c r="M19" s="45">
        <v>22</v>
      </c>
      <c r="N19" s="45">
        <v>22</v>
      </c>
      <c r="O19" s="45">
        <v>22</v>
      </c>
      <c r="P19" s="45">
        <v>22</v>
      </c>
      <c r="Q19" s="45">
        <v>22</v>
      </c>
      <c r="R19" s="45">
        <v>22</v>
      </c>
      <c r="S19" s="45">
        <v>22</v>
      </c>
      <c r="T19" s="45">
        <v>22</v>
      </c>
      <c r="U19" s="45">
        <v>22</v>
      </c>
      <c r="V19" s="45">
        <v>22</v>
      </c>
      <c r="W19" s="45">
        <v>22</v>
      </c>
      <c r="X19" s="45">
        <v>22</v>
      </c>
      <c r="Y19" s="45">
        <v>22</v>
      </c>
      <c r="Z19" s="45">
        <v>22</v>
      </c>
      <c r="AA19" s="45">
        <v>22</v>
      </c>
      <c r="AB19" s="45">
        <v>22</v>
      </c>
      <c r="AC19" s="45">
        <v>22</v>
      </c>
      <c r="AD19" s="45">
        <v>22</v>
      </c>
      <c r="AE19" s="45">
        <v>22</v>
      </c>
      <c r="AF19" s="45">
        <v>22</v>
      </c>
      <c r="AG19" s="51">
        <v>25</v>
      </c>
      <c r="AH19" s="48">
        <f t="shared" si="2"/>
        <v>25</v>
      </c>
      <c r="AI19" s="49">
        <f t="shared" si="3"/>
        <v>22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21</v>
      </c>
      <c r="C20" s="45">
        <v>21</v>
      </c>
      <c r="D20" s="45">
        <v>21</v>
      </c>
      <c r="E20" s="45">
        <v>21</v>
      </c>
      <c r="F20" s="45">
        <v>21</v>
      </c>
      <c r="G20" s="45">
        <v>21</v>
      </c>
      <c r="H20" s="45">
        <v>21</v>
      </c>
      <c r="I20" s="45">
        <v>21</v>
      </c>
      <c r="J20" s="45">
        <v>21</v>
      </c>
      <c r="K20" s="45">
        <v>21</v>
      </c>
      <c r="L20" s="45">
        <v>21</v>
      </c>
      <c r="M20" s="45">
        <v>20</v>
      </c>
      <c r="N20" s="45">
        <v>20</v>
      </c>
      <c r="O20" s="45">
        <v>20</v>
      </c>
      <c r="P20" s="45">
        <v>20</v>
      </c>
      <c r="Q20" s="45">
        <v>20</v>
      </c>
      <c r="R20" s="45">
        <v>20</v>
      </c>
      <c r="S20" s="45">
        <v>20</v>
      </c>
      <c r="T20" s="45">
        <v>20</v>
      </c>
      <c r="U20" s="45">
        <v>20</v>
      </c>
      <c r="V20" s="45">
        <v>20</v>
      </c>
      <c r="W20" s="45">
        <v>20</v>
      </c>
      <c r="X20" s="45">
        <v>20</v>
      </c>
      <c r="Y20" s="45">
        <v>20</v>
      </c>
      <c r="Z20" s="45">
        <v>20</v>
      </c>
      <c r="AA20" s="45">
        <v>20</v>
      </c>
      <c r="AB20" s="45">
        <v>20</v>
      </c>
      <c r="AC20" s="45">
        <v>20</v>
      </c>
      <c r="AD20" s="45">
        <v>20</v>
      </c>
      <c r="AE20" s="45">
        <v>15</v>
      </c>
      <c r="AF20" s="45">
        <v>15</v>
      </c>
      <c r="AG20" s="51">
        <v>25</v>
      </c>
      <c r="AH20" s="48">
        <f t="shared" si="2"/>
        <v>21</v>
      </c>
      <c r="AI20" s="49">
        <f t="shared" si="3"/>
        <v>15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19</v>
      </c>
      <c r="C21" s="45">
        <v>19</v>
      </c>
      <c r="D21" s="45">
        <v>19</v>
      </c>
      <c r="E21" s="45">
        <v>19</v>
      </c>
      <c r="F21" s="45">
        <v>19</v>
      </c>
      <c r="G21" s="45">
        <v>19</v>
      </c>
      <c r="H21" s="45">
        <v>19</v>
      </c>
      <c r="I21" s="45">
        <v>19</v>
      </c>
      <c r="J21" s="45">
        <v>19</v>
      </c>
      <c r="K21" s="45">
        <v>19</v>
      </c>
      <c r="L21" s="45">
        <v>19</v>
      </c>
      <c r="M21" s="45">
        <v>19</v>
      </c>
      <c r="N21" s="45">
        <v>19</v>
      </c>
      <c r="O21" s="45">
        <v>19</v>
      </c>
      <c r="P21" s="45">
        <v>19</v>
      </c>
      <c r="Q21" s="45">
        <v>21.1</v>
      </c>
      <c r="R21" s="45">
        <v>21.1</v>
      </c>
      <c r="S21" s="45">
        <v>19.600000000000001</v>
      </c>
      <c r="T21" s="45">
        <v>19.600000000000001</v>
      </c>
      <c r="U21" s="45">
        <v>19.600000000000001</v>
      </c>
      <c r="V21" s="45">
        <v>19.600000000000001</v>
      </c>
      <c r="W21" s="45">
        <v>19.600000000000001</v>
      </c>
      <c r="X21" s="45">
        <v>19.600000000000001</v>
      </c>
      <c r="Y21" s="45">
        <v>19.600000000000001</v>
      </c>
      <c r="Z21" s="45">
        <v>19.600000000000001</v>
      </c>
      <c r="AA21" s="45">
        <v>19.600000000000001</v>
      </c>
      <c r="AB21" s="45">
        <v>19.600000000000001</v>
      </c>
      <c r="AC21" s="45">
        <v>19.600000000000001</v>
      </c>
      <c r="AD21" s="45">
        <v>19.600000000000001</v>
      </c>
      <c r="AE21" s="45">
        <v>19.600000000000001</v>
      </c>
      <c r="AF21" s="45">
        <v>19.600000000000001</v>
      </c>
      <c r="AG21" s="51">
        <v>23.5</v>
      </c>
      <c r="AH21" s="48">
        <f t="shared" si="2"/>
        <v>21.1</v>
      </c>
      <c r="AI21" s="49">
        <f t="shared" si="3"/>
        <v>19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13</v>
      </c>
      <c r="C22" s="45">
        <v>13</v>
      </c>
      <c r="D22" s="45">
        <v>13</v>
      </c>
      <c r="E22" s="45">
        <v>13</v>
      </c>
      <c r="F22" s="45">
        <v>13</v>
      </c>
      <c r="G22" s="45">
        <v>13</v>
      </c>
      <c r="H22" s="45">
        <v>13</v>
      </c>
      <c r="I22" s="45">
        <v>13</v>
      </c>
      <c r="J22" s="45">
        <v>13</v>
      </c>
      <c r="K22" s="45">
        <v>13</v>
      </c>
      <c r="L22" s="45">
        <v>13</v>
      </c>
      <c r="M22" s="45">
        <v>12</v>
      </c>
      <c r="N22" s="45">
        <v>12</v>
      </c>
      <c r="O22" s="45">
        <v>12</v>
      </c>
      <c r="P22" s="45">
        <v>12</v>
      </c>
      <c r="Q22" s="45">
        <v>12</v>
      </c>
      <c r="R22" s="45">
        <v>12</v>
      </c>
      <c r="S22" s="45">
        <v>12</v>
      </c>
      <c r="T22" s="45">
        <v>12</v>
      </c>
      <c r="U22" s="45">
        <v>12</v>
      </c>
      <c r="V22" s="45">
        <v>12</v>
      </c>
      <c r="W22" s="45">
        <v>12</v>
      </c>
      <c r="X22" s="45">
        <v>12</v>
      </c>
      <c r="Y22" s="45">
        <v>12</v>
      </c>
      <c r="Z22" s="45">
        <v>12</v>
      </c>
      <c r="AA22" s="45">
        <v>12</v>
      </c>
      <c r="AB22" s="45">
        <v>12</v>
      </c>
      <c r="AC22" s="45">
        <v>12</v>
      </c>
      <c r="AD22" s="45">
        <v>12</v>
      </c>
      <c r="AE22" s="45">
        <v>12</v>
      </c>
      <c r="AF22" s="45">
        <v>12</v>
      </c>
      <c r="AG22" s="51">
        <v>22.2</v>
      </c>
      <c r="AH22" s="48">
        <f t="shared" si="2"/>
        <v>13</v>
      </c>
      <c r="AI22" s="49">
        <f t="shared" si="3"/>
        <v>12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18</v>
      </c>
      <c r="C23" s="45">
        <v>18</v>
      </c>
      <c r="D23" s="45">
        <v>18</v>
      </c>
      <c r="E23" s="45">
        <v>18</v>
      </c>
      <c r="F23" s="45">
        <v>18</v>
      </c>
      <c r="G23" s="45">
        <v>18</v>
      </c>
      <c r="H23" s="45">
        <v>18</v>
      </c>
      <c r="I23" s="45">
        <v>18</v>
      </c>
      <c r="J23" s="45">
        <v>18</v>
      </c>
      <c r="K23" s="45">
        <v>18</v>
      </c>
      <c r="L23" s="45">
        <v>18</v>
      </c>
      <c r="M23" s="45">
        <v>18</v>
      </c>
      <c r="N23" s="45">
        <v>18</v>
      </c>
      <c r="O23" s="45">
        <v>18</v>
      </c>
      <c r="P23" s="45">
        <v>18</v>
      </c>
      <c r="Q23" s="45">
        <v>18</v>
      </c>
      <c r="R23" s="45">
        <v>18</v>
      </c>
      <c r="S23" s="45">
        <v>18</v>
      </c>
      <c r="T23" s="45">
        <v>18</v>
      </c>
      <c r="U23" s="45">
        <v>18</v>
      </c>
      <c r="V23" s="45">
        <v>18</v>
      </c>
      <c r="W23" s="45">
        <v>18</v>
      </c>
      <c r="X23" s="45">
        <v>18</v>
      </c>
      <c r="Y23" s="45">
        <v>18</v>
      </c>
      <c r="Z23" s="45">
        <v>18</v>
      </c>
      <c r="AA23" s="45">
        <v>18</v>
      </c>
      <c r="AB23" s="45">
        <v>18</v>
      </c>
      <c r="AC23" s="45">
        <v>18</v>
      </c>
      <c r="AD23" s="45">
        <v>18</v>
      </c>
      <c r="AE23" s="45">
        <v>18</v>
      </c>
      <c r="AF23" s="45">
        <v>18</v>
      </c>
      <c r="AG23" s="51">
        <v>22.1</v>
      </c>
      <c r="AH23" s="48">
        <f t="shared" si="2"/>
        <v>18</v>
      </c>
      <c r="AI23" s="49">
        <f t="shared" si="3"/>
        <v>18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14</v>
      </c>
      <c r="C24" s="45">
        <v>14</v>
      </c>
      <c r="D24" s="45">
        <v>14</v>
      </c>
      <c r="E24" s="45">
        <v>14</v>
      </c>
      <c r="F24" s="45">
        <v>14</v>
      </c>
      <c r="G24" s="45">
        <v>14</v>
      </c>
      <c r="H24" s="45">
        <v>14</v>
      </c>
      <c r="I24" s="45">
        <v>14</v>
      </c>
      <c r="J24" s="45">
        <v>14</v>
      </c>
      <c r="K24" s="45">
        <v>14</v>
      </c>
      <c r="L24" s="45">
        <v>14</v>
      </c>
      <c r="M24" s="45">
        <v>14</v>
      </c>
      <c r="N24" s="45">
        <v>14</v>
      </c>
      <c r="O24" s="45">
        <v>14</v>
      </c>
      <c r="P24" s="45">
        <v>14</v>
      </c>
      <c r="Q24" s="45">
        <v>14</v>
      </c>
      <c r="R24" s="45">
        <v>14</v>
      </c>
      <c r="S24" s="45">
        <v>14</v>
      </c>
      <c r="T24" s="45">
        <v>14</v>
      </c>
      <c r="U24" s="45">
        <v>14</v>
      </c>
      <c r="V24" s="45">
        <v>14</v>
      </c>
      <c r="W24" s="45">
        <v>14</v>
      </c>
      <c r="X24" s="45">
        <v>14</v>
      </c>
      <c r="Y24" s="45">
        <v>14</v>
      </c>
      <c r="Z24" s="45">
        <v>14</v>
      </c>
      <c r="AA24" s="45">
        <v>14</v>
      </c>
      <c r="AB24" s="45">
        <v>14</v>
      </c>
      <c r="AC24" s="45">
        <v>14</v>
      </c>
      <c r="AD24" s="45">
        <v>14</v>
      </c>
      <c r="AE24" s="45">
        <v>14</v>
      </c>
      <c r="AF24" s="45">
        <v>14</v>
      </c>
      <c r="AG24" s="51">
        <v>22</v>
      </c>
      <c r="AH24" s="48">
        <f t="shared" si="2"/>
        <v>14</v>
      </c>
      <c r="AI24" s="49">
        <f t="shared" si="3"/>
        <v>14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18</v>
      </c>
      <c r="C25" s="45">
        <v>18</v>
      </c>
      <c r="D25" s="45">
        <v>18</v>
      </c>
      <c r="E25" s="45">
        <v>18</v>
      </c>
      <c r="F25" s="45">
        <v>18</v>
      </c>
      <c r="G25" s="45">
        <v>18</v>
      </c>
      <c r="H25" s="45">
        <v>18</v>
      </c>
      <c r="I25" s="45">
        <v>18</v>
      </c>
      <c r="J25" s="45">
        <v>18</v>
      </c>
      <c r="K25" s="45">
        <v>18</v>
      </c>
      <c r="L25" s="45">
        <v>18</v>
      </c>
      <c r="M25" s="45">
        <v>15</v>
      </c>
      <c r="N25" s="45">
        <v>15</v>
      </c>
      <c r="O25" s="45">
        <v>15</v>
      </c>
      <c r="P25" s="45">
        <v>15</v>
      </c>
      <c r="Q25" s="45">
        <v>15</v>
      </c>
      <c r="R25" s="45">
        <v>15</v>
      </c>
      <c r="S25" s="45">
        <v>15</v>
      </c>
      <c r="T25" s="45">
        <v>15</v>
      </c>
      <c r="U25" s="45">
        <v>15</v>
      </c>
      <c r="V25" s="45">
        <v>15</v>
      </c>
      <c r="W25" s="45">
        <v>18</v>
      </c>
      <c r="X25" s="45">
        <v>20</v>
      </c>
      <c r="Y25" s="45">
        <v>20</v>
      </c>
      <c r="Z25" s="45">
        <v>20</v>
      </c>
      <c r="AA25" s="45">
        <v>20</v>
      </c>
      <c r="AB25" s="45">
        <v>20</v>
      </c>
      <c r="AC25" s="45">
        <v>20</v>
      </c>
      <c r="AD25" s="45">
        <v>20</v>
      </c>
      <c r="AE25" s="45">
        <v>20</v>
      </c>
      <c r="AF25" s="45">
        <v>20</v>
      </c>
      <c r="AG25" s="51">
        <v>22</v>
      </c>
      <c r="AH25" s="48">
        <f t="shared" si="2"/>
        <v>20</v>
      </c>
      <c r="AI25" s="49">
        <f t="shared" si="3"/>
        <v>15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5</v>
      </c>
      <c r="J26" s="45">
        <v>10</v>
      </c>
      <c r="K26" s="45">
        <v>10</v>
      </c>
      <c r="L26" s="45">
        <v>10</v>
      </c>
      <c r="M26" s="45">
        <v>10</v>
      </c>
      <c r="N26" s="45">
        <v>10</v>
      </c>
      <c r="O26" s="45">
        <v>10</v>
      </c>
      <c r="P26" s="45">
        <v>10</v>
      </c>
      <c r="Q26" s="45">
        <v>5</v>
      </c>
      <c r="R26" s="45">
        <v>5</v>
      </c>
      <c r="S26" s="45">
        <v>5</v>
      </c>
      <c r="T26" s="45">
        <v>5</v>
      </c>
      <c r="U26" s="45">
        <v>5</v>
      </c>
      <c r="V26" s="45">
        <v>5</v>
      </c>
      <c r="W26" s="45">
        <v>5</v>
      </c>
      <c r="X26" s="45">
        <v>10</v>
      </c>
      <c r="Y26" s="45">
        <v>10</v>
      </c>
      <c r="Z26" s="45">
        <v>10</v>
      </c>
      <c r="AA26" s="45">
        <v>10</v>
      </c>
      <c r="AB26" s="45">
        <v>10</v>
      </c>
      <c r="AC26" s="45">
        <v>10</v>
      </c>
      <c r="AD26" s="45">
        <v>0</v>
      </c>
      <c r="AE26" s="45">
        <v>0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11</v>
      </c>
      <c r="C27" s="45">
        <v>11</v>
      </c>
      <c r="D27" s="45">
        <v>11</v>
      </c>
      <c r="E27" s="45">
        <v>11</v>
      </c>
      <c r="F27" s="45">
        <v>11</v>
      </c>
      <c r="G27" s="45">
        <v>11</v>
      </c>
      <c r="H27" s="45">
        <v>11</v>
      </c>
      <c r="I27" s="45">
        <v>11</v>
      </c>
      <c r="J27" s="45">
        <v>11</v>
      </c>
      <c r="K27" s="45">
        <v>11</v>
      </c>
      <c r="L27" s="45">
        <v>11</v>
      </c>
      <c r="M27" s="45">
        <v>11</v>
      </c>
      <c r="N27" s="45">
        <v>11</v>
      </c>
      <c r="O27" s="45">
        <v>11</v>
      </c>
      <c r="P27" s="45">
        <v>11</v>
      </c>
      <c r="Q27" s="45">
        <v>11</v>
      </c>
      <c r="R27" s="45">
        <v>11</v>
      </c>
      <c r="S27" s="45">
        <v>11</v>
      </c>
      <c r="T27" s="45">
        <v>11</v>
      </c>
      <c r="U27" s="45">
        <v>11</v>
      </c>
      <c r="V27" s="45">
        <v>11</v>
      </c>
      <c r="W27" s="45">
        <v>11</v>
      </c>
      <c r="X27" s="45">
        <v>11</v>
      </c>
      <c r="Y27" s="45">
        <v>11</v>
      </c>
      <c r="Z27" s="45">
        <v>11</v>
      </c>
      <c r="AA27" s="45">
        <v>11</v>
      </c>
      <c r="AB27" s="45">
        <v>11</v>
      </c>
      <c r="AC27" s="45">
        <v>11</v>
      </c>
      <c r="AD27" s="45">
        <v>11</v>
      </c>
      <c r="AE27" s="45">
        <v>11</v>
      </c>
      <c r="AF27" s="45">
        <v>11</v>
      </c>
      <c r="AG27" s="51">
        <v>14.9</v>
      </c>
      <c r="AH27" s="48">
        <f t="shared" si="2"/>
        <v>11</v>
      </c>
      <c r="AI27" s="49">
        <f t="shared" si="3"/>
        <v>11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4</v>
      </c>
      <c r="C28" s="45">
        <v>4</v>
      </c>
      <c r="D28" s="45">
        <v>4</v>
      </c>
      <c r="E28" s="45">
        <v>4</v>
      </c>
      <c r="F28" s="45">
        <v>4</v>
      </c>
      <c r="G28" s="45">
        <v>4</v>
      </c>
      <c r="H28" s="45">
        <v>4</v>
      </c>
      <c r="I28" s="45">
        <v>4</v>
      </c>
      <c r="J28" s="45">
        <v>4</v>
      </c>
      <c r="K28" s="45">
        <v>4</v>
      </c>
      <c r="L28" s="45">
        <v>4</v>
      </c>
      <c r="M28" s="45">
        <v>4</v>
      </c>
      <c r="N28" s="45">
        <v>4</v>
      </c>
      <c r="O28" s="45">
        <v>4</v>
      </c>
      <c r="P28" s="45">
        <v>4</v>
      </c>
      <c r="Q28" s="45">
        <v>4</v>
      </c>
      <c r="R28" s="45">
        <v>4</v>
      </c>
      <c r="S28" s="45">
        <v>4</v>
      </c>
      <c r="T28" s="45">
        <v>4</v>
      </c>
      <c r="U28" s="45">
        <v>4</v>
      </c>
      <c r="V28" s="45">
        <v>4</v>
      </c>
      <c r="W28" s="45">
        <v>4</v>
      </c>
      <c r="X28" s="45">
        <v>4</v>
      </c>
      <c r="Y28" s="45">
        <v>4</v>
      </c>
      <c r="Z28" s="45">
        <v>4</v>
      </c>
      <c r="AA28" s="45">
        <v>4</v>
      </c>
      <c r="AB28" s="45">
        <v>4</v>
      </c>
      <c r="AC28" s="45">
        <v>4</v>
      </c>
      <c r="AD28" s="45">
        <v>4</v>
      </c>
      <c r="AE28" s="45">
        <v>4</v>
      </c>
      <c r="AF28" s="45">
        <v>0</v>
      </c>
      <c r="AG28" s="51">
        <v>13.6</v>
      </c>
      <c r="AH28" s="48">
        <f t="shared" si="2"/>
        <v>4</v>
      </c>
      <c r="AI28" s="49">
        <f t="shared" si="3"/>
        <v>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12</v>
      </c>
      <c r="C29" s="45">
        <v>12</v>
      </c>
      <c r="D29" s="45">
        <v>12</v>
      </c>
      <c r="E29" s="45">
        <v>12</v>
      </c>
      <c r="F29" s="45">
        <v>12</v>
      </c>
      <c r="G29" s="45">
        <v>12</v>
      </c>
      <c r="H29" s="45">
        <v>12</v>
      </c>
      <c r="I29" s="45">
        <v>12</v>
      </c>
      <c r="J29" s="45">
        <v>12</v>
      </c>
      <c r="K29" s="45">
        <v>12</v>
      </c>
      <c r="L29" s="45">
        <v>12</v>
      </c>
      <c r="M29" s="45">
        <v>12</v>
      </c>
      <c r="N29" s="45">
        <v>12</v>
      </c>
      <c r="O29" s="45">
        <v>12</v>
      </c>
      <c r="P29" s="45">
        <v>12</v>
      </c>
      <c r="Q29" s="45">
        <v>12</v>
      </c>
      <c r="R29" s="45">
        <v>12</v>
      </c>
      <c r="S29" s="45">
        <v>9</v>
      </c>
      <c r="T29" s="45">
        <v>9</v>
      </c>
      <c r="U29" s="45">
        <v>9</v>
      </c>
      <c r="V29" s="45">
        <v>9</v>
      </c>
      <c r="W29" s="45">
        <v>9</v>
      </c>
      <c r="X29" s="45">
        <v>9</v>
      </c>
      <c r="Y29" s="45">
        <v>9</v>
      </c>
      <c r="Z29" s="45">
        <v>9</v>
      </c>
      <c r="AA29" s="45">
        <v>9</v>
      </c>
      <c r="AB29" s="45">
        <v>9</v>
      </c>
      <c r="AC29" s="45">
        <v>9</v>
      </c>
      <c r="AD29" s="45">
        <v>9</v>
      </c>
      <c r="AE29" s="45">
        <v>9</v>
      </c>
      <c r="AF29" s="45">
        <v>9</v>
      </c>
      <c r="AG29" s="51">
        <v>13</v>
      </c>
      <c r="AH29" s="48">
        <f t="shared" si="2"/>
        <v>12</v>
      </c>
      <c r="AI29" s="49">
        <f t="shared" si="3"/>
        <v>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6</v>
      </c>
      <c r="J30" s="45">
        <v>12</v>
      </c>
      <c r="K30" s="45">
        <v>12</v>
      </c>
      <c r="L30" s="45">
        <v>12</v>
      </c>
      <c r="M30" s="45">
        <v>12</v>
      </c>
      <c r="N30" s="45">
        <v>12</v>
      </c>
      <c r="O30" s="45">
        <v>12</v>
      </c>
      <c r="P30" s="45">
        <v>12</v>
      </c>
      <c r="Q30" s="45">
        <v>12</v>
      </c>
      <c r="R30" s="45">
        <v>12</v>
      </c>
      <c r="S30" s="45">
        <v>8</v>
      </c>
      <c r="T30" s="45">
        <v>8</v>
      </c>
      <c r="U30" s="45">
        <v>5</v>
      </c>
      <c r="V30" s="45">
        <v>5</v>
      </c>
      <c r="W30" s="45">
        <v>10</v>
      </c>
      <c r="X30" s="45">
        <v>10</v>
      </c>
      <c r="Y30" s="45">
        <v>10</v>
      </c>
      <c r="Z30" s="45">
        <v>10</v>
      </c>
      <c r="AA30" s="45">
        <v>10</v>
      </c>
      <c r="AB30" s="45">
        <v>10</v>
      </c>
      <c r="AC30" s="45">
        <v>0</v>
      </c>
      <c r="AD30" s="45">
        <v>0</v>
      </c>
      <c r="AE30" s="45">
        <v>0</v>
      </c>
      <c r="AF30" s="45">
        <v>0</v>
      </c>
      <c r="AG30" s="51">
        <v>12</v>
      </c>
      <c r="AH30" s="48">
        <f t="shared" si="2"/>
        <v>12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12</v>
      </c>
      <c r="C31" s="45">
        <v>12</v>
      </c>
      <c r="D31" s="45">
        <v>12</v>
      </c>
      <c r="E31" s="45">
        <v>12</v>
      </c>
      <c r="F31" s="45">
        <v>12</v>
      </c>
      <c r="G31" s="45">
        <v>12</v>
      </c>
      <c r="H31" s="45">
        <v>12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2"/>
        <v>12</v>
      </c>
      <c r="AI31" s="49">
        <f t="shared" si="3"/>
        <v>12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12</v>
      </c>
      <c r="C32" s="45">
        <v>12</v>
      </c>
      <c r="D32" s="45">
        <v>12</v>
      </c>
      <c r="E32" s="45">
        <v>12</v>
      </c>
      <c r="F32" s="45">
        <v>12</v>
      </c>
      <c r="G32" s="45">
        <v>12</v>
      </c>
      <c r="H32" s="45">
        <v>12</v>
      </c>
      <c r="I32" s="45">
        <v>12</v>
      </c>
      <c r="J32" s="45">
        <v>12</v>
      </c>
      <c r="K32" s="45">
        <v>12</v>
      </c>
      <c r="L32" s="45">
        <v>12</v>
      </c>
      <c r="M32" s="45">
        <v>12</v>
      </c>
      <c r="N32" s="45">
        <v>12</v>
      </c>
      <c r="O32" s="45">
        <v>12</v>
      </c>
      <c r="P32" s="45">
        <v>12</v>
      </c>
      <c r="Q32" s="45">
        <v>12</v>
      </c>
      <c r="R32" s="45">
        <v>12</v>
      </c>
      <c r="S32" s="45">
        <v>3</v>
      </c>
      <c r="T32" s="45">
        <v>3</v>
      </c>
      <c r="U32" s="45">
        <v>3</v>
      </c>
      <c r="V32" s="45">
        <v>3</v>
      </c>
      <c r="W32" s="45">
        <v>3</v>
      </c>
      <c r="X32" s="45">
        <v>3</v>
      </c>
      <c r="Y32" s="45">
        <v>3</v>
      </c>
      <c r="Z32" s="45">
        <v>3</v>
      </c>
      <c r="AA32" s="45">
        <v>3</v>
      </c>
      <c r="AB32" s="45">
        <v>3</v>
      </c>
      <c r="AC32" s="45">
        <v>3</v>
      </c>
      <c r="AD32" s="45">
        <v>3</v>
      </c>
      <c r="AE32" s="45">
        <v>3</v>
      </c>
      <c r="AF32" s="45">
        <v>3</v>
      </c>
      <c r="AG32" s="51">
        <v>12</v>
      </c>
      <c r="AH32" s="48">
        <f t="shared" si="2"/>
        <v>12</v>
      </c>
      <c r="AI32" s="49">
        <f t="shared" si="3"/>
        <v>3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8</v>
      </c>
      <c r="C33" s="45">
        <v>8</v>
      </c>
      <c r="D33" s="45">
        <v>8</v>
      </c>
      <c r="E33" s="45">
        <v>8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3">
        <v>22</v>
      </c>
      <c r="AH33" s="48">
        <f t="shared" si="2"/>
        <v>8</v>
      </c>
      <c r="AI33" s="49">
        <f t="shared" si="3"/>
        <v>8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11</v>
      </c>
      <c r="C34" s="45">
        <v>11</v>
      </c>
      <c r="D34" s="45">
        <v>11</v>
      </c>
      <c r="E34" s="45">
        <v>11</v>
      </c>
      <c r="F34" s="45">
        <v>11</v>
      </c>
      <c r="G34" s="45">
        <v>11</v>
      </c>
      <c r="H34" s="45">
        <v>11</v>
      </c>
      <c r="I34" s="45">
        <v>11</v>
      </c>
      <c r="J34" s="45">
        <v>11</v>
      </c>
      <c r="K34" s="45">
        <v>11</v>
      </c>
      <c r="L34" s="45">
        <v>11</v>
      </c>
      <c r="M34" s="45">
        <v>11</v>
      </c>
      <c r="N34" s="45">
        <v>11</v>
      </c>
      <c r="O34" s="45">
        <v>11</v>
      </c>
      <c r="P34" s="45">
        <v>11</v>
      </c>
      <c r="Q34" s="45">
        <v>11</v>
      </c>
      <c r="R34" s="45">
        <v>11</v>
      </c>
      <c r="S34" s="45">
        <v>9</v>
      </c>
      <c r="T34" s="45">
        <v>9</v>
      </c>
      <c r="U34" s="45">
        <v>9</v>
      </c>
      <c r="V34" s="45">
        <v>9</v>
      </c>
      <c r="W34" s="45">
        <v>9</v>
      </c>
      <c r="X34" s="45">
        <v>9</v>
      </c>
      <c r="Y34" s="45">
        <v>9</v>
      </c>
      <c r="Z34" s="45">
        <v>9</v>
      </c>
      <c r="AA34" s="45">
        <v>9</v>
      </c>
      <c r="AB34" s="45">
        <v>9</v>
      </c>
      <c r="AC34" s="45">
        <v>9</v>
      </c>
      <c r="AD34" s="45">
        <v>9</v>
      </c>
      <c r="AE34" s="45">
        <v>9</v>
      </c>
      <c r="AF34" s="45">
        <v>9</v>
      </c>
      <c r="AG34" s="52">
        <v>11.88</v>
      </c>
      <c r="AH34" s="48">
        <f t="shared" si="2"/>
        <v>11</v>
      </c>
      <c r="AI34" s="49">
        <f t="shared" si="3"/>
        <v>9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9</v>
      </c>
      <c r="C35" s="45">
        <v>9</v>
      </c>
      <c r="D35" s="45">
        <v>9</v>
      </c>
      <c r="E35" s="45">
        <v>9</v>
      </c>
      <c r="F35" s="45">
        <v>9</v>
      </c>
      <c r="G35" s="45">
        <v>9</v>
      </c>
      <c r="H35" s="45">
        <v>9</v>
      </c>
      <c r="I35" s="45">
        <v>9</v>
      </c>
      <c r="J35" s="45">
        <v>9</v>
      </c>
      <c r="K35" s="45">
        <v>9</v>
      </c>
      <c r="L35" s="45">
        <v>9</v>
      </c>
      <c r="M35" s="45">
        <v>9</v>
      </c>
      <c r="N35" s="45">
        <v>9</v>
      </c>
      <c r="O35" s="45">
        <v>9</v>
      </c>
      <c r="P35" s="45">
        <v>9</v>
      </c>
      <c r="Q35" s="45">
        <v>9</v>
      </c>
      <c r="R35" s="45">
        <v>9</v>
      </c>
      <c r="S35" s="45">
        <v>9</v>
      </c>
      <c r="T35" s="45">
        <v>9</v>
      </c>
      <c r="U35" s="45">
        <v>9</v>
      </c>
      <c r="V35" s="45">
        <v>9</v>
      </c>
      <c r="W35" s="45">
        <v>9</v>
      </c>
      <c r="X35" s="45">
        <v>9</v>
      </c>
      <c r="Y35" s="45">
        <v>9</v>
      </c>
      <c r="Z35" s="45">
        <v>9</v>
      </c>
      <c r="AA35" s="45">
        <v>9</v>
      </c>
      <c r="AB35" s="45">
        <v>9</v>
      </c>
      <c r="AC35" s="45">
        <v>9</v>
      </c>
      <c r="AD35" s="45">
        <v>9</v>
      </c>
      <c r="AE35" s="45">
        <v>9</v>
      </c>
      <c r="AF35" s="45">
        <v>9</v>
      </c>
      <c r="AG35" s="55">
        <v>11</v>
      </c>
      <c r="AH35" s="48">
        <f t="shared" si="2"/>
        <v>9</v>
      </c>
      <c r="AI35" s="49">
        <f t="shared" si="3"/>
        <v>9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0</v>
      </c>
      <c r="AG36" s="55">
        <v>10</v>
      </c>
      <c r="AH36" s="48">
        <f t="shared" si="2"/>
        <v>7</v>
      </c>
      <c r="AI36" s="49">
        <f t="shared" si="3"/>
        <v>0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2</v>
      </c>
      <c r="N37" s="45">
        <v>2</v>
      </c>
      <c r="O37" s="45">
        <v>2</v>
      </c>
      <c r="P37" s="45">
        <v>2</v>
      </c>
      <c r="Q37" s="45">
        <v>2</v>
      </c>
      <c r="R37" s="45">
        <v>2</v>
      </c>
      <c r="S37" s="45">
        <v>2</v>
      </c>
      <c r="T37" s="45">
        <v>2</v>
      </c>
      <c r="U37" s="45">
        <v>2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2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300</v>
      </c>
      <c r="C38" s="57">
        <v>300</v>
      </c>
      <c r="D38" s="57">
        <v>300</v>
      </c>
      <c r="E38" s="57">
        <v>300</v>
      </c>
      <c r="F38" s="57">
        <v>300</v>
      </c>
      <c r="G38" s="57">
        <v>300</v>
      </c>
      <c r="H38" s="57">
        <v>300</v>
      </c>
      <c r="I38" s="57">
        <v>300</v>
      </c>
      <c r="J38" s="57">
        <v>300</v>
      </c>
      <c r="K38" s="57">
        <v>300</v>
      </c>
      <c r="L38" s="57">
        <v>300</v>
      </c>
      <c r="M38" s="57">
        <v>300</v>
      </c>
      <c r="N38" s="57">
        <v>300</v>
      </c>
      <c r="O38" s="57">
        <v>300</v>
      </c>
      <c r="P38" s="57">
        <v>300</v>
      </c>
      <c r="Q38" s="57">
        <v>300</v>
      </c>
      <c r="R38" s="57">
        <v>300</v>
      </c>
      <c r="S38" s="57">
        <v>300</v>
      </c>
      <c r="T38" s="57">
        <v>300</v>
      </c>
      <c r="U38" s="57">
        <v>300</v>
      </c>
      <c r="V38" s="57">
        <v>300</v>
      </c>
      <c r="W38" s="57">
        <v>300</v>
      </c>
      <c r="X38" s="57">
        <v>300</v>
      </c>
      <c r="Y38" s="57">
        <v>300</v>
      </c>
      <c r="Z38" s="57">
        <v>300</v>
      </c>
      <c r="AA38" s="57">
        <v>300</v>
      </c>
      <c r="AB38" s="57">
        <v>300</v>
      </c>
      <c r="AC38" s="57">
        <v>300</v>
      </c>
      <c r="AD38" s="57">
        <v>300</v>
      </c>
      <c r="AE38" s="57">
        <v>300</v>
      </c>
      <c r="AF38" s="57">
        <v>280</v>
      </c>
      <c r="AG38" s="55">
        <v>85</v>
      </c>
      <c r="AH38" s="48">
        <f t="shared" si="2"/>
        <v>300</v>
      </c>
      <c r="AI38" s="49">
        <f t="shared" si="3"/>
        <v>280</v>
      </c>
      <c r="AK38" s="50"/>
    </row>
    <row r="39" spans="1:88" ht="15.75" thickBot="1" x14ac:dyDescent="0.3">
      <c r="A39" s="58" t="s">
        <v>47</v>
      </c>
      <c r="B39" s="59">
        <f t="shared" ref="B39" si="4">55.9+72.6</f>
        <v>128.5</v>
      </c>
      <c r="C39" s="59">
        <f>60+75.4</f>
        <v>135.4</v>
      </c>
      <c r="D39" s="59">
        <f>59.9+73.1</f>
        <v>133</v>
      </c>
      <c r="E39" s="59">
        <f>59.9+73.1</f>
        <v>133</v>
      </c>
      <c r="F39" s="59">
        <f t="shared" ref="F39:L39" si="5">59.9+73.1</f>
        <v>133</v>
      </c>
      <c r="G39" s="59">
        <f t="shared" si="5"/>
        <v>133</v>
      </c>
      <c r="H39" s="59">
        <f t="shared" si="5"/>
        <v>133</v>
      </c>
      <c r="I39" s="59">
        <f t="shared" si="5"/>
        <v>133</v>
      </c>
      <c r="J39" s="59">
        <f t="shared" si="5"/>
        <v>133</v>
      </c>
      <c r="K39" s="59">
        <f t="shared" si="5"/>
        <v>133</v>
      </c>
      <c r="L39" s="59">
        <f t="shared" si="5"/>
        <v>133</v>
      </c>
      <c r="M39" s="57">
        <f>72.5+55.9</f>
        <v>128.4</v>
      </c>
      <c r="N39" s="57">
        <f>56.7+74</f>
        <v>130.69999999999999</v>
      </c>
      <c r="O39" s="57">
        <f>72.4+57.8</f>
        <v>130.19999999999999</v>
      </c>
      <c r="P39" s="57">
        <f>70+59</f>
        <v>129</v>
      </c>
      <c r="Q39" s="57">
        <f>72.1+59</f>
        <v>131.1</v>
      </c>
      <c r="R39" s="57">
        <f>57.6+58.5</f>
        <v>116.1</v>
      </c>
      <c r="S39" s="59">
        <v>115</v>
      </c>
      <c r="T39" s="59">
        <v>124</v>
      </c>
      <c r="U39" s="59">
        <v>126</v>
      </c>
      <c r="V39" s="59">
        <v>115.6</v>
      </c>
      <c r="W39" s="59">
        <f>54.3+58.2</f>
        <v>112.5</v>
      </c>
      <c r="X39" s="59">
        <v>117.4</v>
      </c>
      <c r="Y39" s="59">
        <f>53.8+71.3</f>
        <v>125.1</v>
      </c>
      <c r="Z39" s="59">
        <f>54.2+73.5</f>
        <v>127.7</v>
      </c>
      <c r="AA39" s="59">
        <f>54.3+73.6</f>
        <v>127.89999999999999</v>
      </c>
      <c r="AB39" s="59">
        <f>55.2+72.9</f>
        <v>128.10000000000002</v>
      </c>
      <c r="AC39" s="59">
        <f>55.2+72.9</f>
        <v>128.10000000000002</v>
      </c>
      <c r="AD39" s="59">
        <f>55.3+72.2</f>
        <v>127.5</v>
      </c>
      <c r="AE39" s="59">
        <f>55.9+74</f>
        <v>129.9</v>
      </c>
      <c r="AF39" s="59">
        <f>55.9+74</f>
        <v>129.9</v>
      </c>
      <c r="AG39" s="55">
        <v>240</v>
      </c>
      <c r="AH39" s="48">
        <f t="shared" si="2"/>
        <v>135.4</v>
      </c>
      <c r="AI39" s="49">
        <f t="shared" si="3"/>
        <v>112.5</v>
      </c>
      <c r="AK39" s="50"/>
    </row>
    <row r="40" spans="1:88" ht="15.75" thickBot="1" x14ac:dyDescent="0.3">
      <c r="A40" s="60" t="s">
        <v>48</v>
      </c>
      <c r="B40" s="61">
        <f t="shared" ref="B40" si="6">SUM(B11:B38)</f>
        <v>718.4</v>
      </c>
      <c r="C40" s="61">
        <f t="shared" ref="C40:AG40" si="7">SUM(C11:C38)</f>
        <v>718.2</v>
      </c>
      <c r="D40" s="61">
        <f t="shared" si="7"/>
        <v>718.2</v>
      </c>
      <c r="E40" s="61">
        <f t="shared" si="7"/>
        <v>718.2</v>
      </c>
      <c r="F40" s="61">
        <f t="shared" si="7"/>
        <v>718.2</v>
      </c>
      <c r="G40" s="61">
        <f t="shared" si="7"/>
        <v>718.2</v>
      </c>
      <c r="H40" s="61">
        <f t="shared" si="7"/>
        <v>732.2</v>
      </c>
      <c r="I40" s="61">
        <f t="shared" si="7"/>
        <v>754.2</v>
      </c>
      <c r="J40" s="61">
        <f t="shared" si="7"/>
        <v>805.6</v>
      </c>
      <c r="K40" s="61">
        <f t="shared" si="7"/>
        <v>805.6</v>
      </c>
      <c r="L40" s="61">
        <f t="shared" si="7"/>
        <v>805.6</v>
      </c>
      <c r="M40" s="61">
        <f t="shared" si="7"/>
        <v>790</v>
      </c>
      <c r="N40" s="61">
        <f t="shared" si="7"/>
        <v>790</v>
      </c>
      <c r="O40" s="61">
        <f t="shared" si="7"/>
        <v>790</v>
      </c>
      <c r="P40" s="61">
        <f t="shared" si="7"/>
        <v>790</v>
      </c>
      <c r="Q40" s="61">
        <f t="shared" si="7"/>
        <v>765.2</v>
      </c>
      <c r="R40" s="61">
        <f t="shared" si="7"/>
        <v>774.2</v>
      </c>
      <c r="S40" s="61">
        <f t="shared" si="7"/>
        <v>748.3</v>
      </c>
      <c r="T40" s="61">
        <f t="shared" si="7"/>
        <v>748.3</v>
      </c>
      <c r="U40" s="61">
        <f t="shared" si="7"/>
        <v>735.3</v>
      </c>
      <c r="V40" s="61">
        <f t="shared" si="7"/>
        <v>748.9</v>
      </c>
      <c r="W40" s="61">
        <f t="shared" si="7"/>
        <v>766.90000000000009</v>
      </c>
      <c r="X40" s="61">
        <f t="shared" si="7"/>
        <v>787.5</v>
      </c>
      <c r="Y40" s="61">
        <f t="shared" si="7"/>
        <v>785.90000000000009</v>
      </c>
      <c r="Z40" s="61">
        <f t="shared" si="7"/>
        <v>772.4</v>
      </c>
      <c r="AA40" s="61">
        <f t="shared" si="7"/>
        <v>772.4</v>
      </c>
      <c r="AB40" s="61">
        <f t="shared" si="7"/>
        <v>763.4</v>
      </c>
      <c r="AC40" s="61">
        <f t="shared" si="7"/>
        <v>717.3</v>
      </c>
      <c r="AD40" s="61">
        <f t="shared" si="7"/>
        <v>697.4</v>
      </c>
      <c r="AE40" s="61">
        <f t="shared" si="7"/>
        <v>692.4</v>
      </c>
      <c r="AF40" s="61">
        <f t="shared" si="7"/>
        <v>639.4</v>
      </c>
      <c r="AG40" s="62">
        <f t="shared" si="7"/>
        <v>707.78000000000009</v>
      </c>
      <c r="AH40" s="48">
        <f t="shared" si="2"/>
        <v>805.6</v>
      </c>
      <c r="AI40" s="49">
        <f t="shared" si="3"/>
        <v>639.4</v>
      </c>
      <c r="AK40" s="50"/>
    </row>
    <row r="41" spans="1:88" x14ac:dyDescent="0.25">
      <c r="A41" s="63" t="s">
        <v>49</v>
      </c>
      <c r="B41" s="45">
        <v>200</v>
      </c>
      <c r="C41" s="45">
        <v>200</v>
      </c>
      <c r="D41" s="45">
        <v>200</v>
      </c>
      <c r="E41" s="45">
        <v>200</v>
      </c>
      <c r="F41" s="45">
        <v>180</v>
      </c>
      <c r="G41" s="45">
        <v>180</v>
      </c>
      <c r="H41" s="45">
        <v>180</v>
      </c>
      <c r="I41" s="45">
        <v>180</v>
      </c>
      <c r="J41" s="45">
        <v>230</v>
      </c>
      <c r="K41" s="45">
        <v>250</v>
      </c>
      <c r="L41" s="45">
        <v>304</v>
      </c>
      <c r="M41" s="45">
        <v>355</v>
      </c>
      <c r="N41" s="45">
        <v>300</v>
      </c>
      <c r="O41" s="45">
        <v>300</v>
      </c>
      <c r="P41" s="45">
        <v>160</v>
      </c>
      <c r="Q41" s="45">
        <v>140</v>
      </c>
      <c r="R41" s="45">
        <v>140</v>
      </c>
      <c r="S41" s="45">
        <v>125</v>
      </c>
      <c r="T41" s="45">
        <v>140</v>
      </c>
      <c r="U41" s="45">
        <v>140</v>
      </c>
      <c r="V41" s="45">
        <v>200</v>
      </c>
      <c r="W41" s="45">
        <v>320</v>
      </c>
      <c r="X41" s="45">
        <v>456</v>
      </c>
      <c r="Y41" s="45">
        <v>400</v>
      </c>
      <c r="Z41" s="45">
        <v>320</v>
      </c>
      <c r="AA41" s="45">
        <v>260</v>
      </c>
      <c r="AB41" s="45">
        <v>200</v>
      </c>
      <c r="AC41" s="45">
        <v>180</v>
      </c>
      <c r="AD41" s="45">
        <v>175</v>
      </c>
      <c r="AE41" s="45">
        <v>175</v>
      </c>
      <c r="AF41" s="45">
        <v>200</v>
      </c>
      <c r="AG41" s="52">
        <v>456</v>
      </c>
      <c r="AH41" s="48">
        <f t="shared" si="2"/>
        <v>456</v>
      </c>
      <c r="AI41" s="49">
        <f t="shared" si="3"/>
        <v>125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22.4</v>
      </c>
      <c r="C43" s="67">
        <v>22.5</v>
      </c>
      <c r="D43" s="67">
        <v>22.5</v>
      </c>
      <c r="E43" s="67">
        <v>22.5</v>
      </c>
      <c r="F43" s="67">
        <v>25</v>
      </c>
      <c r="G43" s="67">
        <v>25</v>
      </c>
      <c r="H43" s="67">
        <v>25</v>
      </c>
      <c r="I43" s="67">
        <v>25</v>
      </c>
      <c r="J43" s="67">
        <v>25</v>
      </c>
      <c r="K43" s="67">
        <v>25</v>
      </c>
      <c r="L43" s="67">
        <v>25</v>
      </c>
      <c r="M43" s="67">
        <v>22.4</v>
      </c>
      <c r="N43" s="67">
        <v>22.4</v>
      </c>
      <c r="O43" s="67">
        <v>22.4</v>
      </c>
      <c r="P43" s="67">
        <v>22.5</v>
      </c>
      <c r="Q43" s="67">
        <v>22.5</v>
      </c>
      <c r="R43" s="67">
        <v>22.5</v>
      </c>
      <c r="S43" s="67">
        <v>22.5</v>
      </c>
      <c r="T43" s="67">
        <v>22.2</v>
      </c>
      <c r="U43" s="67">
        <v>22</v>
      </c>
      <c r="V43" s="67">
        <v>22</v>
      </c>
      <c r="W43" s="67">
        <v>22</v>
      </c>
      <c r="X43" s="67">
        <v>22</v>
      </c>
      <c r="Y43" s="67">
        <v>22</v>
      </c>
      <c r="Z43" s="67">
        <v>22</v>
      </c>
      <c r="AA43" s="67">
        <v>22</v>
      </c>
      <c r="AB43" s="67">
        <v>22</v>
      </c>
      <c r="AC43" s="67">
        <v>22</v>
      </c>
      <c r="AD43" s="67">
        <v>22</v>
      </c>
      <c r="AE43" s="67">
        <v>22</v>
      </c>
      <c r="AF43" s="67">
        <v>22</v>
      </c>
      <c r="AG43" s="68">
        <v>22.1</v>
      </c>
      <c r="AH43" s="48">
        <f t="shared" si="2"/>
        <v>25</v>
      </c>
      <c r="AI43" s="49">
        <f t="shared" si="3"/>
        <v>22</v>
      </c>
      <c r="AK43" s="50"/>
    </row>
    <row r="44" spans="1:88" ht="15.75" thickBot="1" x14ac:dyDescent="0.3">
      <c r="A44" s="69" t="s">
        <v>52</v>
      </c>
      <c r="B44" s="61">
        <f t="shared" ref="B44" si="8">SUM(B41:B43)</f>
        <v>282.39999999999998</v>
      </c>
      <c r="C44" s="61">
        <f t="shared" ref="C44:AG44" si="9">SUM(C41:C43)</f>
        <v>282.5</v>
      </c>
      <c r="D44" s="61">
        <f t="shared" si="9"/>
        <v>282.5</v>
      </c>
      <c r="E44" s="61">
        <f t="shared" si="9"/>
        <v>282.5</v>
      </c>
      <c r="F44" s="61">
        <f t="shared" si="9"/>
        <v>265</v>
      </c>
      <c r="G44" s="61">
        <f t="shared" si="9"/>
        <v>265</v>
      </c>
      <c r="H44" s="61">
        <f t="shared" si="9"/>
        <v>265</v>
      </c>
      <c r="I44" s="61">
        <f t="shared" si="9"/>
        <v>265</v>
      </c>
      <c r="J44" s="61">
        <f t="shared" si="9"/>
        <v>315</v>
      </c>
      <c r="K44" s="61">
        <f t="shared" si="9"/>
        <v>335</v>
      </c>
      <c r="L44" s="61">
        <f t="shared" si="9"/>
        <v>389</v>
      </c>
      <c r="M44" s="61">
        <f t="shared" si="9"/>
        <v>437.4</v>
      </c>
      <c r="N44" s="61">
        <f t="shared" si="9"/>
        <v>382.4</v>
      </c>
      <c r="O44" s="61">
        <f t="shared" si="9"/>
        <v>382.4</v>
      </c>
      <c r="P44" s="61">
        <f t="shared" si="9"/>
        <v>242.5</v>
      </c>
      <c r="Q44" s="61">
        <f t="shared" si="9"/>
        <v>222.5</v>
      </c>
      <c r="R44" s="61">
        <f t="shared" si="9"/>
        <v>222.5</v>
      </c>
      <c r="S44" s="61">
        <f t="shared" si="9"/>
        <v>207.5</v>
      </c>
      <c r="T44" s="61">
        <f t="shared" si="9"/>
        <v>222.2</v>
      </c>
      <c r="U44" s="61">
        <f t="shared" si="9"/>
        <v>222</v>
      </c>
      <c r="V44" s="61">
        <f t="shared" si="9"/>
        <v>282</v>
      </c>
      <c r="W44" s="61">
        <f t="shared" si="9"/>
        <v>402</v>
      </c>
      <c r="X44" s="61">
        <f t="shared" si="9"/>
        <v>538</v>
      </c>
      <c r="Y44" s="61">
        <f t="shared" si="9"/>
        <v>482</v>
      </c>
      <c r="Z44" s="61">
        <f t="shared" si="9"/>
        <v>402</v>
      </c>
      <c r="AA44" s="61">
        <f t="shared" si="9"/>
        <v>342</v>
      </c>
      <c r="AB44" s="61">
        <f t="shared" si="9"/>
        <v>282</v>
      </c>
      <c r="AC44" s="61">
        <f t="shared" si="9"/>
        <v>262</v>
      </c>
      <c r="AD44" s="61">
        <f t="shared" si="9"/>
        <v>257</v>
      </c>
      <c r="AE44" s="61">
        <f t="shared" si="9"/>
        <v>257</v>
      </c>
      <c r="AF44" s="61">
        <f t="shared" si="9"/>
        <v>282</v>
      </c>
      <c r="AG44" s="62">
        <f t="shared" si="9"/>
        <v>538.1</v>
      </c>
      <c r="AH44" s="48">
        <f t="shared" si="2"/>
        <v>538</v>
      </c>
      <c r="AI44" s="49">
        <f t="shared" si="3"/>
        <v>207.5</v>
      </c>
      <c r="AK44" s="50"/>
    </row>
    <row r="45" spans="1:88" x14ac:dyDescent="0.25">
      <c r="A45" s="44" t="s">
        <v>53</v>
      </c>
      <c r="B45" s="45">
        <v>141.9</v>
      </c>
      <c r="C45" s="45">
        <v>143.5</v>
      </c>
      <c r="D45" s="45">
        <v>133</v>
      </c>
      <c r="E45" s="45">
        <v>133</v>
      </c>
      <c r="F45" s="45">
        <v>133</v>
      </c>
      <c r="G45" s="45">
        <v>140</v>
      </c>
      <c r="H45" s="45">
        <v>140</v>
      </c>
      <c r="I45" s="45">
        <v>140</v>
      </c>
      <c r="J45" s="45">
        <v>143.30000000000001</v>
      </c>
      <c r="K45" s="45">
        <v>143.30000000000001</v>
      </c>
      <c r="L45" s="45">
        <v>143.30000000000001</v>
      </c>
      <c r="M45" s="45">
        <v>143.5</v>
      </c>
      <c r="N45" s="45">
        <v>143.6</v>
      </c>
      <c r="O45" s="45">
        <v>143.5</v>
      </c>
      <c r="P45" s="45">
        <v>143.5</v>
      </c>
      <c r="Q45" s="45">
        <v>143.5</v>
      </c>
      <c r="R45" s="45">
        <v>143.6</v>
      </c>
      <c r="S45" s="45">
        <v>143.6</v>
      </c>
      <c r="T45" s="45">
        <v>143.6</v>
      </c>
      <c r="U45" s="45">
        <v>143.6</v>
      </c>
      <c r="V45" s="45">
        <v>143.6</v>
      </c>
      <c r="W45" s="45">
        <v>143.4</v>
      </c>
      <c r="X45" s="45">
        <v>143.4</v>
      </c>
      <c r="Y45" s="45">
        <v>143.4</v>
      </c>
      <c r="Z45" s="45">
        <v>143.4</v>
      </c>
      <c r="AA45" s="45">
        <v>143.4</v>
      </c>
      <c r="AB45" s="45">
        <v>143.4</v>
      </c>
      <c r="AC45" s="45">
        <v>143.4</v>
      </c>
      <c r="AD45" s="45">
        <v>143.4</v>
      </c>
      <c r="AE45" s="45">
        <v>114</v>
      </c>
      <c r="AF45" s="45">
        <v>114</v>
      </c>
      <c r="AG45" s="52">
        <v>144</v>
      </c>
      <c r="AH45" s="48">
        <f t="shared" si="2"/>
        <v>143.6</v>
      </c>
      <c r="AI45" s="49">
        <f t="shared" si="3"/>
        <v>114</v>
      </c>
      <c r="AK45" s="50"/>
    </row>
    <row r="46" spans="1:88" x14ac:dyDescent="0.25">
      <c r="A46" s="54" t="s">
        <v>54</v>
      </c>
      <c r="B46" s="65">
        <v>61.7</v>
      </c>
      <c r="C46" s="65">
        <v>67</v>
      </c>
      <c r="D46" s="65">
        <v>59.5</v>
      </c>
      <c r="E46" s="65">
        <v>59.5</v>
      </c>
      <c r="F46" s="65">
        <v>59.5</v>
      </c>
      <c r="G46" s="65">
        <v>59.5</v>
      </c>
      <c r="H46" s="65">
        <v>70</v>
      </c>
      <c r="I46" s="65">
        <v>70</v>
      </c>
      <c r="J46" s="65">
        <v>70</v>
      </c>
      <c r="K46" s="65">
        <v>70</v>
      </c>
      <c r="L46" s="65">
        <v>70</v>
      </c>
      <c r="M46" s="65">
        <v>72</v>
      </c>
      <c r="N46" s="45">
        <v>71.3</v>
      </c>
      <c r="O46" s="45">
        <v>70.599999999999994</v>
      </c>
      <c r="P46" s="45">
        <v>71.8</v>
      </c>
      <c r="Q46" s="45">
        <v>72.599999999999994</v>
      </c>
      <c r="R46" s="45">
        <v>73.3</v>
      </c>
      <c r="S46" s="45">
        <v>73.3</v>
      </c>
      <c r="T46" s="45">
        <v>73.3</v>
      </c>
      <c r="U46" s="45">
        <v>73.3</v>
      </c>
      <c r="V46" s="45">
        <v>73.3</v>
      </c>
      <c r="W46" s="45">
        <v>72.8</v>
      </c>
      <c r="X46" s="45">
        <v>72.8</v>
      </c>
      <c r="Y46" s="45">
        <v>72.8</v>
      </c>
      <c r="Z46" s="45">
        <v>72.8</v>
      </c>
      <c r="AA46" s="45">
        <v>72.8</v>
      </c>
      <c r="AB46" s="45">
        <v>72.8</v>
      </c>
      <c r="AC46" s="45">
        <v>72.8</v>
      </c>
      <c r="AD46" s="45">
        <v>72.8</v>
      </c>
      <c r="AE46" s="45">
        <v>50</v>
      </c>
      <c r="AF46" s="45">
        <v>64</v>
      </c>
      <c r="AG46" s="55">
        <v>70</v>
      </c>
      <c r="AH46" s="48">
        <f t="shared" si="2"/>
        <v>73.3</v>
      </c>
      <c r="AI46" s="49">
        <f t="shared" si="3"/>
        <v>50</v>
      </c>
      <c r="AK46" s="50"/>
    </row>
    <row r="47" spans="1:88" x14ac:dyDescent="0.25">
      <c r="A47" s="54" t="s">
        <v>55</v>
      </c>
      <c r="B47" s="65">
        <v>69.2</v>
      </c>
      <c r="C47" s="65">
        <v>70.7</v>
      </c>
      <c r="D47" s="65">
        <v>68.400000000000006</v>
      </c>
      <c r="E47" s="65">
        <v>68.400000000000006</v>
      </c>
      <c r="F47" s="65">
        <v>68.400000000000006</v>
      </c>
      <c r="G47" s="65">
        <v>68.400000000000006</v>
      </c>
      <c r="H47" s="65">
        <v>70</v>
      </c>
      <c r="I47" s="65">
        <v>70</v>
      </c>
      <c r="J47" s="65">
        <v>70</v>
      </c>
      <c r="K47" s="65">
        <v>70</v>
      </c>
      <c r="L47" s="65">
        <v>70</v>
      </c>
      <c r="M47" s="65">
        <v>69.900000000000006</v>
      </c>
      <c r="N47" s="45">
        <v>70.599999999999994</v>
      </c>
      <c r="O47" s="45">
        <v>71.2</v>
      </c>
      <c r="P47" s="45">
        <v>70.7</v>
      </c>
      <c r="Q47" s="45">
        <v>70.599999999999994</v>
      </c>
      <c r="R47" s="45">
        <v>70.599999999999994</v>
      </c>
      <c r="S47" s="45">
        <v>70.599999999999994</v>
      </c>
      <c r="T47" s="45">
        <v>70.599999999999994</v>
      </c>
      <c r="U47" s="45">
        <v>70.599999999999994</v>
      </c>
      <c r="V47" s="45">
        <v>70.599999999999994</v>
      </c>
      <c r="W47" s="45">
        <v>70.599999999999994</v>
      </c>
      <c r="X47" s="45">
        <v>70.599999999999994</v>
      </c>
      <c r="Y47" s="45">
        <v>70.599999999999994</v>
      </c>
      <c r="Z47" s="45">
        <v>70.599999999999994</v>
      </c>
      <c r="AA47" s="45">
        <v>70.599999999999994</v>
      </c>
      <c r="AB47" s="45">
        <v>70.599999999999994</v>
      </c>
      <c r="AC47" s="45">
        <v>70.599999999999994</v>
      </c>
      <c r="AD47" s="45">
        <v>70.599999999999994</v>
      </c>
      <c r="AE47" s="45">
        <v>63</v>
      </c>
      <c r="AF47" s="45">
        <v>71</v>
      </c>
      <c r="AG47" s="55">
        <v>69</v>
      </c>
      <c r="AH47" s="48">
        <f t="shared" si="2"/>
        <v>71.2</v>
      </c>
      <c r="AI47" s="49">
        <f t="shared" si="3"/>
        <v>63</v>
      </c>
      <c r="AK47" s="50"/>
    </row>
    <row r="48" spans="1:88" x14ac:dyDescent="0.25">
      <c r="A48" s="54" t="s">
        <v>56</v>
      </c>
      <c r="B48" s="57">
        <v>0</v>
      </c>
      <c r="C48" s="57">
        <v>0</v>
      </c>
      <c r="D48" s="57">
        <v>0</v>
      </c>
      <c r="E48" s="57">
        <v>0</v>
      </c>
      <c r="F48" s="57">
        <v>0</v>
      </c>
      <c r="G48" s="57">
        <v>0</v>
      </c>
      <c r="H48" s="57">
        <v>0</v>
      </c>
      <c r="I48" s="57">
        <v>0</v>
      </c>
      <c r="J48" s="57">
        <v>0</v>
      </c>
      <c r="K48" s="57">
        <v>0</v>
      </c>
      <c r="L48" s="57">
        <v>0</v>
      </c>
      <c r="M48" s="65">
        <v>0</v>
      </c>
      <c r="N48" s="65">
        <v>0</v>
      </c>
      <c r="O48" s="45">
        <v>0</v>
      </c>
      <c r="P48" s="45">
        <v>0</v>
      </c>
      <c r="Q48" s="45">
        <v>0</v>
      </c>
      <c r="R48" s="45">
        <v>0</v>
      </c>
      <c r="S48" s="45">
        <v>60</v>
      </c>
      <c r="T48" s="45">
        <v>60</v>
      </c>
      <c r="U48" s="45">
        <v>60</v>
      </c>
      <c r="V48" s="45">
        <v>61.4</v>
      </c>
      <c r="W48" s="45">
        <v>61.4</v>
      </c>
      <c r="X48" s="45">
        <v>61.4</v>
      </c>
      <c r="Y48" s="45">
        <v>61.4</v>
      </c>
      <c r="Z48" s="45">
        <v>61.4</v>
      </c>
      <c r="AA48" s="45">
        <v>61.4</v>
      </c>
      <c r="AB48" s="45">
        <v>61.4</v>
      </c>
      <c r="AC48" s="45">
        <v>61.4</v>
      </c>
      <c r="AD48" s="45">
        <v>61.4</v>
      </c>
      <c r="AE48" s="45">
        <v>52</v>
      </c>
      <c r="AF48" s="45">
        <v>61.4</v>
      </c>
      <c r="AG48" s="55">
        <v>60</v>
      </c>
      <c r="AH48" s="48">
        <f t="shared" si="2"/>
        <v>61.4</v>
      </c>
      <c r="AI48" s="49">
        <f t="shared" si="3"/>
        <v>0</v>
      </c>
      <c r="AK48" s="50"/>
    </row>
    <row r="49" spans="1:41" x14ac:dyDescent="0.25">
      <c r="A49" s="54" t="s">
        <v>57</v>
      </c>
      <c r="B49" s="57">
        <v>15</v>
      </c>
      <c r="C49" s="57">
        <v>0</v>
      </c>
      <c r="D49" s="57">
        <v>0</v>
      </c>
      <c r="E49" s="57">
        <v>0</v>
      </c>
      <c r="F49" s="57">
        <v>0</v>
      </c>
      <c r="G49" s="57">
        <v>0</v>
      </c>
      <c r="H49" s="57">
        <v>30</v>
      </c>
      <c r="I49" s="57">
        <v>30</v>
      </c>
      <c r="J49" s="57">
        <v>30</v>
      </c>
      <c r="K49" s="57">
        <v>30</v>
      </c>
      <c r="L49" s="57">
        <v>30</v>
      </c>
      <c r="M49" s="65">
        <v>30</v>
      </c>
      <c r="N49" s="65">
        <v>30</v>
      </c>
      <c r="O49" s="65">
        <v>30</v>
      </c>
      <c r="P49" s="45">
        <v>15</v>
      </c>
      <c r="Q49" s="45">
        <v>15</v>
      </c>
      <c r="R49" s="45">
        <v>15</v>
      </c>
      <c r="S49" s="45">
        <v>15</v>
      </c>
      <c r="T49" s="45">
        <v>15</v>
      </c>
      <c r="U49" s="45">
        <v>15</v>
      </c>
      <c r="V49" s="45">
        <v>15</v>
      </c>
      <c r="W49" s="45">
        <v>15</v>
      </c>
      <c r="X49" s="45">
        <v>26</v>
      </c>
      <c r="Y49" s="45">
        <v>26</v>
      </c>
      <c r="Z49" s="45">
        <v>26</v>
      </c>
      <c r="AA49" s="45">
        <v>26</v>
      </c>
      <c r="AB49" s="45">
        <v>15</v>
      </c>
      <c r="AC49" s="45">
        <v>15</v>
      </c>
      <c r="AD49" s="45">
        <v>15</v>
      </c>
      <c r="AE49" s="45">
        <v>15</v>
      </c>
      <c r="AF49" s="45">
        <v>15</v>
      </c>
      <c r="AG49" s="55">
        <v>30</v>
      </c>
      <c r="AH49" s="48">
        <f t="shared" si="2"/>
        <v>30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6</v>
      </c>
      <c r="N50" s="65">
        <v>8</v>
      </c>
      <c r="O50" s="65">
        <v>8</v>
      </c>
      <c r="P50" s="65">
        <v>8</v>
      </c>
      <c r="Q50" s="65">
        <v>8</v>
      </c>
      <c r="R50" s="65">
        <v>8</v>
      </c>
      <c r="S50" s="65">
        <v>8</v>
      </c>
      <c r="T50" s="65">
        <v>8</v>
      </c>
      <c r="U50" s="65">
        <v>5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  <c r="AG50" s="55">
        <v>25</v>
      </c>
      <c r="AH50" s="48">
        <f t="shared" si="2"/>
        <v>8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14.8</v>
      </c>
      <c r="C51" s="65">
        <v>14.9</v>
      </c>
      <c r="D51" s="65">
        <v>14.9</v>
      </c>
      <c r="E51" s="65">
        <v>14.9</v>
      </c>
      <c r="F51" s="65">
        <v>14.9</v>
      </c>
      <c r="G51" s="65">
        <v>14.9</v>
      </c>
      <c r="H51" s="65">
        <v>14.9</v>
      </c>
      <c r="I51" s="65">
        <v>14.9</v>
      </c>
      <c r="J51" s="65">
        <v>14.9</v>
      </c>
      <c r="K51" s="65">
        <v>14.9</v>
      </c>
      <c r="L51" s="65">
        <v>14.9</v>
      </c>
      <c r="M51" s="65">
        <v>14.9</v>
      </c>
      <c r="N51" s="65">
        <v>14.9</v>
      </c>
      <c r="O51" s="65">
        <v>14.9</v>
      </c>
      <c r="P51" s="65">
        <v>14.9</v>
      </c>
      <c r="Q51" s="65">
        <v>14.9</v>
      </c>
      <c r="R51" s="65">
        <v>14.9</v>
      </c>
      <c r="S51" s="65">
        <v>14.9</v>
      </c>
      <c r="T51" s="65">
        <v>14.9</v>
      </c>
      <c r="U51" s="65">
        <v>14.9</v>
      </c>
      <c r="V51" s="65">
        <v>14.9</v>
      </c>
      <c r="W51" s="65">
        <v>14.9</v>
      </c>
      <c r="X51" s="65">
        <v>14.9</v>
      </c>
      <c r="Y51" s="65">
        <v>14.9</v>
      </c>
      <c r="Z51" s="65">
        <v>14.9</v>
      </c>
      <c r="AA51" s="65">
        <v>14.9</v>
      </c>
      <c r="AB51" s="65">
        <v>14.9</v>
      </c>
      <c r="AC51" s="65">
        <v>14.9</v>
      </c>
      <c r="AD51" s="65">
        <v>14.9</v>
      </c>
      <c r="AE51" s="65">
        <v>14.9</v>
      </c>
      <c r="AF51" s="65">
        <v>14.9</v>
      </c>
      <c r="AG51" s="55">
        <v>24</v>
      </c>
      <c r="AH51" s="48">
        <f t="shared" si="2"/>
        <v>14.9</v>
      </c>
      <c r="AI51" s="49">
        <f t="shared" si="3"/>
        <v>14.8</v>
      </c>
      <c r="AK51" s="50"/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11.4</v>
      </c>
      <c r="C53" s="65">
        <v>10.9</v>
      </c>
      <c r="D53" s="65">
        <v>10.9</v>
      </c>
      <c r="E53" s="65">
        <v>10.9</v>
      </c>
      <c r="F53" s="65">
        <v>10.9</v>
      </c>
      <c r="G53" s="65">
        <v>10.9</v>
      </c>
      <c r="H53" s="65">
        <v>10.9</v>
      </c>
      <c r="I53" s="65">
        <v>10.9</v>
      </c>
      <c r="J53" s="65">
        <v>10.9</v>
      </c>
      <c r="K53" s="65">
        <v>10.9</v>
      </c>
      <c r="L53" s="65">
        <v>10.9</v>
      </c>
      <c r="M53" s="65">
        <v>10.9</v>
      </c>
      <c r="N53" s="65">
        <v>10.9</v>
      </c>
      <c r="O53" s="65">
        <v>10.9</v>
      </c>
      <c r="P53" s="65">
        <v>10.9</v>
      </c>
      <c r="Q53" s="65">
        <v>10.9</v>
      </c>
      <c r="R53" s="65">
        <v>10.9</v>
      </c>
      <c r="S53" s="65">
        <v>10.9</v>
      </c>
      <c r="T53" s="65">
        <v>10.9</v>
      </c>
      <c r="U53" s="65">
        <v>10.9</v>
      </c>
      <c r="V53" s="65">
        <v>10.9</v>
      </c>
      <c r="W53" s="65">
        <v>10.9</v>
      </c>
      <c r="X53" s="65">
        <v>10.9</v>
      </c>
      <c r="Y53" s="65">
        <v>10.9</v>
      </c>
      <c r="Z53" s="65">
        <v>10.9</v>
      </c>
      <c r="AA53" s="65">
        <v>10.9</v>
      </c>
      <c r="AB53" s="65">
        <v>10.9</v>
      </c>
      <c r="AC53" s="65">
        <v>10.9</v>
      </c>
      <c r="AD53" s="65">
        <v>10.9</v>
      </c>
      <c r="AE53" s="65">
        <v>10.9</v>
      </c>
      <c r="AF53" s="65">
        <v>12.4</v>
      </c>
      <c r="AG53" s="55">
        <v>14.1</v>
      </c>
      <c r="AH53" s="48">
        <f t="shared" si="2"/>
        <v>12.4</v>
      </c>
      <c r="AI53" s="49">
        <f t="shared" si="3"/>
        <v>10.9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12.4</v>
      </c>
      <c r="C54" s="65">
        <v>12.7</v>
      </c>
      <c r="D54" s="65">
        <v>12.7</v>
      </c>
      <c r="E54" s="65">
        <v>12.7</v>
      </c>
      <c r="F54" s="65">
        <v>12.7</v>
      </c>
      <c r="G54" s="65">
        <v>12.7</v>
      </c>
      <c r="H54" s="65">
        <v>12.7</v>
      </c>
      <c r="I54" s="65">
        <v>12.7</v>
      </c>
      <c r="J54" s="65">
        <v>12.7</v>
      </c>
      <c r="K54" s="65">
        <v>12.7</v>
      </c>
      <c r="L54" s="65">
        <v>12.7</v>
      </c>
      <c r="M54" s="65">
        <v>12.7</v>
      </c>
      <c r="N54" s="65">
        <v>12.7</v>
      </c>
      <c r="O54" s="65">
        <v>12.7</v>
      </c>
      <c r="P54" s="65">
        <v>12.7</v>
      </c>
      <c r="Q54" s="65">
        <v>12.7</v>
      </c>
      <c r="R54" s="65">
        <v>12.7</v>
      </c>
      <c r="S54" s="65">
        <v>12.7</v>
      </c>
      <c r="T54" s="65">
        <v>12.7</v>
      </c>
      <c r="U54" s="65">
        <v>12.7</v>
      </c>
      <c r="V54" s="65">
        <v>12.7</v>
      </c>
      <c r="W54" s="65">
        <v>12.7</v>
      </c>
      <c r="X54" s="65">
        <v>12.7</v>
      </c>
      <c r="Y54" s="65">
        <v>12.7</v>
      </c>
      <c r="Z54" s="65">
        <v>12.7</v>
      </c>
      <c r="AA54" s="65">
        <v>12.7</v>
      </c>
      <c r="AB54" s="65">
        <v>12.7</v>
      </c>
      <c r="AC54" s="65">
        <v>12.7</v>
      </c>
      <c r="AD54" s="65">
        <v>12.7</v>
      </c>
      <c r="AE54" s="65">
        <v>12.7</v>
      </c>
      <c r="AF54" s="65">
        <v>0</v>
      </c>
      <c r="AG54" s="55">
        <v>14</v>
      </c>
      <c r="AH54" s="48">
        <f t="shared" si="2"/>
        <v>12.7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9</v>
      </c>
      <c r="C55" s="65">
        <v>9</v>
      </c>
      <c r="D55" s="65">
        <v>9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9</v>
      </c>
      <c r="S55" s="65">
        <v>9</v>
      </c>
      <c r="T55" s="65">
        <v>9</v>
      </c>
      <c r="U55" s="65">
        <v>9</v>
      </c>
      <c r="V55" s="65">
        <v>9</v>
      </c>
      <c r="W55" s="65">
        <v>9</v>
      </c>
      <c r="X55" s="65">
        <v>9</v>
      </c>
      <c r="Y55" s="65">
        <v>9</v>
      </c>
      <c r="Z55" s="65">
        <v>9</v>
      </c>
      <c r="AA55" s="65">
        <v>9</v>
      </c>
      <c r="AB55" s="65">
        <v>9</v>
      </c>
      <c r="AC55" s="65">
        <v>9</v>
      </c>
      <c r="AD55" s="65">
        <v>9</v>
      </c>
      <c r="AE55" s="65">
        <v>6.8</v>
      </c>
      <c r="AF55" s="65">
        <v>6.8</v>
      </c>
      <c r="AG55" s="55">
        <v>10.050000000000001</v>
      </c>
      <c r="AH55" s="48">
        <f t="shared" si="2"/>
        <v>9</v>
      </c>
      <c r="AI55" s="49">
        <f t="shared" si="3"/>
        <v>6.8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" si="10">SUM(B45:B57)</f>
        <v>345.14</v>
      </c>
      <c r="C58" s="61">
        <f t="shared" ref="C58:AG58" si="11">SUM(C45:C57)</f>
        <v>338.43999999999994</v>
      </c>
      <c r="D58" s="61">
        <f t="shared" si="11"/>
        <v>318.13999999999993</v>
      </c>
      <c r="E58" s="61">
        <f t="shared" si="11"/>
        <v>318.13999999999993</v>
      </c>
      <c r="F58" s="61">
        <f t="shared" si="11"/>
        <v>318.13999999999993</v>
      </c>
      <c r="G58" s="61">
        <f t="shared" si="11"/>
        <v>325.13999999999993</v>
      </c>
      <c r="H58" s="61">
        <f t="shared" si="11"/>
        <v>367.23999999999995</v>
      </c>
      <c r="I58" s="61">
        <f t="shared" si="11"/>
        <v>367.23999999999995</v>
      </c>
      <c r="J58" s="61">
        <f t="shared" si="11"/>
        <v>370.53999999999996</v>
      </c>
      <c r="K58" s="61">
        <f t="shared" si="11"/>
        <v>370.53999999999996</v>
      </c>
      <c r="L58" s="61">
        <f t="shared" si="11"/>
        <v>370.53999999999996</v>
      </c>
      <c r="M58" s="61">
        <f t="shared" si="11"/>
        <v>378.63999999999993</v>
      </c>
      <c r="N58" s="61">
        <f t="shared" si="11"/>
        <v>380.73999999999995</v>
      </c>
      <c r="O58" s="61">
        <f t="shared" si="11"/>
        <v>380.53999999999996</v>
      </c>
      <c r="P58" s="61">
        <f t="shared" si="11"/>
        <v>366.23999999999995</v>
      </c>
      <c r="Q58" s="61">
        <f t="shared" si="11"/>
        <v>366.93999999999994</v>
      </c>
      <c r="R58" s="61">
        <f t="shared" si="11"/>
        <v>367.73999999999995</v>
      </c>
      <c r="S58" s="61">
        <f t="shared" si="11"/>
        <v>427.73999999999995</v>
      </c>
      <c r="T58" s="61">
        <f t="shared" si="11"/>
        <v>427.73999999999995</v>
      </c>
      <c r="U58" s="61">
        <f t="shared" si="11"/>
        <v>424.73999999999995</v>
      </c>
      <c r="V58" s="61">
        <f t="shared" si="11"/>
        <v>421.13999999999993</v>
      </c>
      <c r="W58" s="61">
        <f t="shared" si="11"/>
        <v>420.43999999999988</v>
      </c>
      <c r="X58" s="61">
        <f t="shared" si="11"/>
        <v>431.43999999999988</v>
      </c>
      <c r="Y58" s="61">
        <f t="shared" si="11"/>
        <v>431.43999999999988</v>
      </c>
      <c r="Z58" s="61">
        <f t="shared" si="11"/>
        <v>431.43999999999988</v>
      </c>
      <c r="AA58" s="61">
        <f t="shared" si="11"/>
        <v>431.43999999999988</v>
      </c>
      <c r="AB58" s="61">
        <f t="shared" si="11"/>
        <v>420.43999999999988</v>
      </c>
      <c r="AC58" s="61">
        <f t="shared" si="11"/>
        <v>420.43999999999988</v>
      </c>
      <c r="AD58" s="61">
        <f t="shared" si="11"/>
        <v>420.43999999999988</v>
      </c>
      <c r="AE58" s="61">
        <f t="shared" si="11"/>
        <v>349.03999999999996</v>
      </c>
      <c r="AF58" s="61">
        <f t="shared" si="11"/>
        <v>369.23999999999995</v>
      </c>
      <c r="AG58" s="62">
        <f t="shared" si="11"/>
        <v>489.91</v>
      </c>
      <c r="AH58" s="48">
        <f t="shared" si="2"/>
        <v>431.43999999999988</v>
      </c>
      <c r="AI58" s="49">
        <f t="shared" si="3"/>
        <v>318.13999999999993</v>
      </c>
      <c r="AK58" s="50"/>
    </row>
    <row r="59" spans="1:41" x14ac:dyDescent="0.25">
      <c r="A59" s="44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/>
      <c r="AF59" s="45"/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/>
      <c r="AF60" s="65"/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67">
        <v>0</v>
      </c>
      <c r="AB61" s="67">
        <v>0</v>
      </c>
      <c r="AC61" s="67">
        <v>0</v>
      </c>
      <c r="AD61" s="67">
        <v>0</v>
      </c>
      <c r="AE61" s="67"/>
      <c r="AF61" s="67"/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" si="12">SUM(B59:B61)</f>
        <v>0</v>
      </c>
      <c r="C62" s="61">
        <f t="shared" ref="C62:AG62" si="13">SUM(C59:C61)</f>
        <v>0</v>
      </c>
      <c r="D62" s="61">
        <f t="shared" si="13"/>
        <v>0</v>
      </c>
      <c r="E62" s="61">
        <f t="shared" si="13"/>
        <v>0</v>
      </c>
      <c r="F62" s="61">
        <f t="shared" si="13"/>
        <v>0</v>
      </c>
      <c r="G62" s="61">
        <f t="shared" si="13"/>
        <v>0</v>
      </c>
      <c r="H62" s="61">
        <f t="shared" si="13"/>
        <v>0</v>
      </c>
      <c r="I62" s="61">
        <f t="shared" si="13"/>
        <v>0</v>
      </c>
      <c r="J62" s="61">
        <f t="shared" si="13"/>
        <v>0</v>
      </c>
      <c r="K62" s="61">
        <f t="shared" si="13"/>
        <v>0</v>
      </c>
      <c r="L62" s="61">
        <f t="shared" si="13"/>
        <v>0</v>
      </c>
      <c r="M62" s="61">
        <f t="shared" si="13"/>
        <v>0</v>
      </c>
      <c r="N62" s="61">
        <f t="shared" si="13"/>
        <v>0</v>
      </c>
      <c r="O62" s="61">
        <f t="shared" si="13"/>
        <v>0</v>
      </c>
      <c r="P62" s="61">
        <f t="shared" si="13"/>
        <v>0</v>
      </c>
      <c r="Q62" s="61">
        <f t="shared" si="13"/>
        <v>0</v>
      </c>
      <c r="R62" s="61">
        <f t="shared" si="13"/>
        <v>0</v>
      </c>
      <c r="S62" s="61">
        <f t="shared" si="13"/>
        <v>0</v>
      </c>
      <c r="T62" s="61">
        <f t="shared" si="13"/>
        <v>0</v>
      </c>
      <c r="U62" s="61">
        <f t="shared" si="13"/>
        <v>0</v>
      </c>
      <c r="V62" s="61">
        <f t="shared" si="13"/>
        <v>0</v>
      </c>
      <c r="W62" s="61">
        <f t="shared" si="13"/>
        <v>0</v>
      </c>
      <c r="X62" s="61">
        <f t="shared" si="13"/>
        <v>0</v>
      </c>
      <c r="Y62" s="61">
        <f t="shared" si="13"/>
        <v>0</v>
      </c>
      <c r="Z62" s="61">
        <f t="shared" si="13"/>
        <v>0</v>
      </c>
      <c r="AA62" s="61">
        <f t="shared" si="13"/>
        <v>0</v>
      </c>
      <c r="AB62" s="61">
        <f t="shared" si="13"/>
        <v>0</v>
      </c>
      <c r="AC62" s="61">
        <f t="shared" si="13"/>
        <v>0</v>
      </c>
      <c r="AD62" s="61">
        <f t="shared" si="13"/>
        <v>0</v>
      </c>
      <c r="AE62" s="61">
        <f t="shared" si="13"/>
        <v>0</v>
      </c>
      <c r="AF62" s="61">
        <f t="shared" si="13"/>
        <v>0</v>
      </c>
      <c r="AG62" s="62">
        <f t="shared" si="13"/>
        <v>106</v>
      </c>
      <c r="AH62" s="48">
        <f t="shared" si="2"/>
        <v>0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-317.89999999999998</v>
      </c>
      <c r="C65" s="65">
        <f>-172-172</f>
        <v>-344</v>
      </c>
      <c r="D65" s="65">
        <f>-163-163</f>
        <v>-326</v>
      </c>
      <c r="E65" s="65">
        <f>-154.4-154.4</f>
        <v>-308.8</v>
      </c>
      <c r="F65" s="65">
        <f>-154.63-154.63</f>
        <v>-309.26</v>
      </c>
      <c r="G65" s="65">
        <f>-134.99-134.99</f>
        <v>-269.98</v>
      </c>
      <c r="H65" s="65">
        <v>-345</v>
      </c>
      <c r="I65" s="65">
        <f>-108.03-108.03</f>
        <v>-216.06</v>
      </c>
      <c r="J65" s="65">
        <v>-230</v>
      </c>
      <c r="K65" s="65">
        <v>-215</v>
      </c>
      <c r="L65" s="65">
        <v>-205</v>
      </c>
      <c r="M65" s="65">
        <v>-296</v>
      </c>
      <c r="N65" s="65">
        <v>-343</v>
      </c>
      <c r="O65" s="65">
        <v>-300</v>
      </c>
      <c r="P65" s="65">
        <v>-240</v>
      </c>
      <c r="Q65" s="65">
        <v>-248.5</v>
      </c>
      <c r="R65" s="65">
        <v>-238.8</v>
      </c>
      <c r="S65" s="65">
        <v>-242</v>
      </c>
      <c r="T65" s="65">
        <v>-235</v>
      </c>
      <c r="U65" s="65">
        <v>-225</v>
      </c>
      <c r="V65" s="65">
        <v>-300</v>
      </c>
      <c r="W65" s="65">
        <v>-288.39999999999998</v>
      </c>
      <c r="X65" s="65">
        <v>-338.1</v>
      </c>
      <c r="Y65" s="65">
        <v>-352.6</v>
      </c>
      <c r="Z65" s="65">
        <v>-343.6</v>
      </c>
      <c r="AA65" s="65">
        <v>-352.7</v>
      </c>
      <c r="AB65" s="65">
        <v>-316.10000000000002</v>
      </c>
      <c r="AC65" s="65">
        <v>-304</v>
      </c>
      <c r="AD65" s="65">
        <v>-311</v>
      </c>
      <c r="AE65" s="65">
        <v>-325</v>
      </c>
      <c r="AF65" s="65">
        <v>-331</v>
      </c>
      <c r="AG65" s="75"/>
      <c r="AH65" s="48">
        <f t="shared" si="2"/>
        <v>-205</v>
      </c>
      <c r="AI65" s="49">
        <f t="shared" si="3"/>
        <v>-352.7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45">
        <v>0</v>
      </c>
      <c r="C72" s="45">
        <v>0</v>
      </c>
      <c r="D72" s="45">
        <v>0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45">
        <v>0</v>
      </c>
      <c r="C73" s="45">
        <v>0</v>
      </c>
      <c r="D73" s="45">
        <v>0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" si="14">SUMIF(B63:B73,"&gt;0")</f>
        <v>0</v>
      </c>
      <c r="C74" s="61">
        <f t="shared" ref="C74:AF74" si="15">SUMIF(C63:C73,"&gt;0")</f>
        <v>0</v>
      </c>
      <c r="D74" s="61">
        <f t="shared" si="15"/>
        <v>0</v>
      </c>
      <c r="E74" s="61">
        <f t="shared" si="15"/>
        <v>0</v>
      </c>
      <c r="F74" s="61">
        <f t="shared" si="15"/>
        <v>0</v>
      </c>
      <c r="G74" s="61">
        <f t="shared" si="15"/>
        <v>0</v>
      </c>
      <c r="H74" s="61">
        <f t="shared" si="15"/>
        <v>0</v>
      </c>
      <c r="I74" s="61">
        <f t="shared" si="15"/>
        <v>0</v>
      </c>
      <c r="J74" s="61">
        <f t="shared" si="15"/>
        <v>0</v>
      </c>
      <c r="K74" s="61">
        <f t="shared" si="15"/>
        <v>0</v>
      </c>
      <c r="L74" s="61">
        <f t="shared" si="15"/>
        <v>0</v>
      </c>
      <c r="M74" s="61">
        <f t="shared" si="15"/>
        <v>0</v>
      </c>
      <c r="N74" s="61">
        <f t="shared" si="15"/>
        <v>0</v>
      </c>
      <c r="O74" s="61">
        <f t="shared" si="15"/>
        <v>0</v>
      </c>
      <c r="P74" s="61">
        <f t="shared" si="15"/>
        <v>0</v>
      </c>
      <c r="Q74" s="61">
        <f t="shared" si="15"/>
        <v>0</v>
      </c>
      <c r="R74" s="61">
        <f t="shared" si="15"/>
        <v>0</v>
      </c>
      <c r="S74" s="61">
        <f t="shared" si="15"/>
        <v>0</v>
      </c>
      <c r="T74" s="61">
        <f t="shared" si="15"/>
        <v>0</v>
      </c>
      <c r="U74" s="61">
        <f t="shared" si="15"/>
        <v>0</v>
      </c>
      <c r="V74" s="61">
        <f t="shared" si="15"/>
        <v>0</v>
      </c>
      <c r="W74" s="61">
        <f t="shared" si="15"/>
        <v>0</v>
      </c>
      <c r="X74" s="61">
        <f t="shared" si="15"/>
        <v>0</v>
      </c>
      <c r="Y74" s="61">
        <f t="shared" si="15"/>
        <v>0</v>
      </c>
      <c r="Z74" s="61">
        <f t="shared" si="15"/>
        <v>0</v>
      </c>
      <c r="AA74" s="61">
        <f t="shared" si="15"/>
        <v>0</v>
      </c>
      <c r="AB74" s="61">
        <f t="shared" si="15"/>
        <v>0</v>
      </c>
      <c r="AC74" s="61">
        <f t="shared" si="15"/>
        <v>0</v>
      </c>
      <c r="AD74" s="61">
        <f t="shared" si="15"/>
        <v>0</v>
      </c>
      <c r="AE74" s="61">
        <f t="shared" si="15"/>
        <v>0</v>
      </c>
      <c r="AF74" s="61">
        <f t="shared" si="15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44" t="s">
        <v>83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/>
      <c r="AD75" s="76"/>
      <c r="AE75" s="76"/>
      <c r="AF75" s="76"/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/>
      <c r="AD76" s="77"/>
      <c r="AE76" s="77"/>
      <c r="AF76" s="77"/>
      <c r="AG76" s="75">
        <v>14.4</v>
      </c>
      <c r="AH76" s="48">
        <f t="shared" ref="AH76:AH109" si="16">MAX(B76:AF76)</f>
        <v>0</v>
      </c>
      <c r="AI76" s="49">
        <f t="shared" ref="AI76:AI109" si="17">MIN(B76:AF76)</f>
        <v>0</v>
      </c>
      <c r="AK76" s="50"/>
    </row>
    <row r="77" spans="1:37" ht="15.75" thickBot="1" x14ac:dyDescent="0.3">
      <c r="A77" s="78" t="s">
        <v>85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79">
        <v>0</v>
      </c>
      <c r="AC77" s="79"/>
      <c r="AD77" s="79"/>
      <c r="AE77" s="79"/>
      <c r="AF77" s="79"/>
      <c r="AG77" s="80">
        <v>2</v>
      </c>
      <c r="AH77" s="48">
        <f t="shared" si="16"/>
        <v>0</v>
      </c>
      <c r="AI77" s="49">
        <f t="shared" si="17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16"/>
        <v>0</v>
      </c>
      <c r="AI78" s="49">
        <f t="shared" si="17"/>
        <v>0</v>
      </c>
    </row>
    <row r="79" spans="1:37" ht="15.75" thickBot="1" x14ac:dyDescent="0.3">
      <c r="A79" s="74" t="s">
        <v>87</v>
      </c>
      <c r="B79" s="83">
        <f t="shared" ref="B79" si="18">B40+B44+B62+B58+B74+B78</f>
        <v>1345.94</v>
      </c>
      <c r="C79" s="83">
        <f t="shared" ref="C79:AG79" si="19">C40+C44+C62+C58+C74+C78</f>
        <v>1339.1399999999999</v>
      </c>
      <c r="D79" s="83">
        <f t="shared" si="19"/>
        <v>1318.84</v>
      </c>
      <c r="E79" s="83">
        <f t="shared" si="19"/>
        <v>1318.84</v>
      </c>
      <c r="F79" s="83">
        <f t="shared" si="19"/>
        <v>1301.3399999999999</v>
      </c>
      <c r="G79" s="83">
        <f t="shared" si="19"/>
        <v>1308.3399999999999</v>
      </c>
      <c r="H79" s="83">
        <f t="shared" si="19"/>
        <v>1364.44</v>
      </c>
      <c r="I79" s="83">
        <f t="shared" si="19"/>
        <v>1386.44</v>
      </c>
      <c r="J79" s="83">
        <f t="shared" si="19"/>
        <v>1491.1399999999999</v>
      </c>
      <c r="K79" s="83">
        <f t="shared" si="19"/>
        <v>1511.1399999999999</v>
      </c>
      <c r="L79" s="83">
        <f t="shared" si="19"/>
        <v>1565.1399999999999</v>
      </c>
      <c r="M79" s="83">
        <f t="shared" si="19"/>
        <v>1606.04</v>
      </c>
      <c r="N79" s="83">
        <f t="shared" si="19"/>
        <v>1553.14</v>
      </c>
      <c r="O79" s="83">
        <f t="shared" si="19"/>
        <v>1552.94</v>
      </c>
      <c r="P79" s="83">
        <f t="shared" si="19"/>
        <v>1398.74</v>
      </c>
      <c r="Q79" s="83">
        <f t="shared" si="19"/>
        <v>1354.6399999999999</v>
      </c>
      <c r="R79" s="83">
        <f t="shared" si="19"/>
        <v>1364.44</v>
      </c>
      <c r="S79" s="83">
        <f t="shared" si="19"/>
        <v>1383.54</v>
      </c>
      <c r="T79" s="83">
        <f t="shared" si="19"/>
        <v>1398.24</v>
      </c>
      <c r="U79" s="83">
        <f t="shared" si="19"/>
        <v>1382.04</v>
      </c>
      <c r="V79" s="83">
        <f t="shared" si="19"/>
        <v>1452.04</v>
      </c>
      <c r="W79" s="83">
        <f t="shared" si="19"/>
        <v>1589.34</v>
      </c>
      <c r="X79" s="83">
        <f t="shared" si="19"/>
        <v>1756.9399999999998</v>
      </c>
      <c r="Y79" s="83">
        <f t="shared" si="19"/>
        <v>1699.34</v>
      </c>
      <c r="Z79" s="83">
        <f t="shared" si="19"/>
        <v>1605.84</v>
      </c>
      <c r="AA79" s="83">
        <f t="shared" si="19"/>
        <v>1545.84</v>
      </c>
      <c r="AB79" s="83">
        <f t="shared" si="19"/>
        <v>1465.84</v>
      </c>
      <c r="AC79" s="83">
        <f t="shared" si="19"/>
        <v>1399.7399999999998</v>
      </c>
      <c r="AD79" s="83">
        <f t="shared" si="19"/>
        <v>1374.84</v>
      </c>
      <c r="AE79" s="83">
        <f t="shared" si="19"/>
        <v>1298.44</v>
      </c>
      <c r="AF79" s="83">
        <f t="shared" si="19"/>
        <v>1290.6399999999999</v>
      </c>
      <c r="AG79" s="62">
        <f t="shared" si="19"/>
        <v>1897.1900000000003</v>
      </c>
      <c r="AH79" s="48">
        <f t="shared" si="16"/>
        <v>1756.9399999999998</v>
      </c>
      <c r="AI79" s="49">
        <f t="shared" si="17"/>
        <v>1290.6399999999999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16"/>
        <v>0</v>
      </c>
      <c r="AI80" s="49">
        <f t="shared" si="17"/>
        <v>0</v>
      </c>
    </row>
    <row r="81" spans="1:37" ht="15.75" thickBot="1" x14ac:dyDescent="0.3">
      <c r="A81" s="74" t="s">
        <v>89</v>
      </c>
      <c r="B81" s="83">
        <f t="shared" ref="B81" si="20">B79+B80</f>
        <v>1345.94</v>
      </c>
      <c r="C81" s="83">
        <f t="shared" ref="C81:AF81" si="21">C79+C80</f>
        <v>1339.1399999999999</v>
      </c>
      <c r="D81" s="83">
        <f t="shared" si="21"/>
        <v>1318.84</v>
      </c>
      <c r="E81" s="83">
        <f t="shared" si="21"/>
        <v>1318.84</v>
      </c>
      <c r="F81" s="83">
        <f t="shared" si="21"/>
        <v>1301.3399999999999</v>
      </c>
      <c r="G81" s="83">
        <f t="shared" si="21"/>
        <v>1308.3399999999999</v>
      </c>
      <c r="H81" s="83">
        <f t="shared" si="21"/>
        <v>1364.44</v>
      </c>
      <c r="I81" s="83">
        <f t="shared" si="21"/>
        <v>1386.44</v>
      </c>
      <c r="J81" s="83">
        <f t="shared" si="21"/>
        <v>1491.1399999999999</v>
      </c>
      <c r="K81" s="83">
        <f t="shared" si="21"/>
        <v>1511.1399999999999</v>
      </c>
      <c r="L81" s="83">
        <f t="shared" si="21"/>
        <v>1565.1399999999999</v>
      </c>
      <c r="M81" s="83">
        <f t="shared" si="21"/>
        <v>1606.04</v>
      </c>
      <c r="N81" s="83">
        <f t="shared" si="21"/>
        <v>1553.14</v>
      </c>
      <c r="O81" s="83">
        <f t="shared" si="21"/>
        <v>1552.94</v>
      </c>
      <c r="P81" s="83">
        <f t="shared" si="21"/>
        <v>1398.74</v>
      </c>
      <c r="Q81" s="83">
        <f t="shared" si="21"/>
        <v>1354.6399999999999</v>
      </c>
      <c r="R81" s="83">
        <f t="shared" si="21"/>
        <v>1364.44</v>
      </c>
      <c r="S81" s="83">
        <f t="shared" si="21"/>
        <v>1383.54</v>
      </c>
      <c r="T81" s="83">
        <f t="shared" si="21"/>
        <v>1398.24</v>
      </c>
      <c r="U81" s="83">
        <f t="shared" si="21"/>
        <v>1382.04</v>
      </c>
      <c r="V81" s="83">
        <f t="shared" si="21"/>
        <v>1452.04</v>
      </c>
      <c r="W81" s="83">
        <f t="shared" si="21"/>
        <v>1589.34</v>
      </c>
      <c r="X81" s="83">
        <f t="shared" si="21"/>
        <v>1756.9399999999998</v>
      </c>
      <c r="Y81" s="83">
        <f t="shared" si="21"/>
        <v>1699.34</v>
      </c>
      <c r="Z81" s="83">
        <f t="shared" si="21"/>
        <v>1605.84</v>
      </c>
      <c r="AA81" s="83">
        <f t="shared" si="21"/>
        <v>1545.84</v>
      </c>
      <c r="AB81" s="83">
        <f t="shared" si="21"/>
        <v>1465.84</v>
      </c>
      <c r="AC81" s="83">
        <f t="shared" si="21"/>
        <v>1399.7399999999998</v>
      </c>
      <c r="AD81" s="83">
        <f t="shared" si="21"/>
        <v>1374.84</v>
      </c>
      <c r="AE81" s="83">
        <f t="shared" si="21"/>
        <v>1298.44</v>
      </c>
      <c r="AF81" s="83">
        <f t="shared" si="21"/>
        <v>1290.6399999999999</v>
      </c>
      <c r="AG81" s="81">
        <f>AG78+AG74+AG62+AG58+AG40+AG80</f>
        <v>1359.0900000000001</v>
      </c>
      <c r="AH81" s="48">
        <f t="shared" si="16"/>
        <v>1756.9399999999998</v>
      </c>
      <c r="AI81" s="49">
        <f t="shared" si="17"/>
        <v>1290.6399999999999</v>
      </c>
    </row>
    <row r="82" spans="1:37" ht="15.75" thickBot="1" x14ac:dyDescent="0.3">
      <c r="A82" s="74" t="s">
        <v>90</v>
      </c>
      <c r="B82" s="83">
        <f t="shared" ref="B82" si="22">B81-B89</f>
        <v>1028.04</v>
      </c>
      <c r="C82" s="83">
        <f t="shared" ref="C82:AF82" si="23">C81-C89</f>
        <v>995.13999999999987</v>
      </c>
      <c r="D82" s="83">
        <f t="shared" si="23"/>
        <v>992.83999999999992</v>
      </c>
      <c r="E82" s="83">
        <f t="shared" si="23"/>
        <v>1010.04</v>
      </c>
      <c r="F82" s="83">
        <f t="shared" si="23"/>
        <v>992.07999999999993</v>
      </c>
      <c r="G82" s="83">
        <f t="shared" si="23"/>
        <v>1038.3599999999999</v>
      </c>
      <c r="H82" s="83">
        <f t="shared" si="23"/>
        <v>1019.44</v>
      </c>
      <c r="I82" s="83">
        <f t="shared" si="23"/>
        <v>1170.3800000000001</v>
      </c>
      <c r="J82" s="83">
        <f t="shared" si="23"/>
        <v>1261.1399999999999</v>
      </c>
      <c r="K82" s="83">
        <f t="shared" si="23"/>
        <v>1296.1399999999999</v>
      </c>
      <c r="L82" s="83">
        <f t="shared" si="23"/>
        <v>1360.1399999999999</v>
      </c>
      <c r="M82" s="83">
        <f t="shared" si="23"/>
        <v>1310.04</v>
      </c>
      <c r="N82" s="83">
        <f t="shared" si="23"/>
        <v>1210.1400000000001</v>
      </c>
      <c r="O82" s="83">
        <f t="shared" si="23"/>
        <v>1252.94</v>
      </c>
      <c r="P82" s="83">
        <f t="shared" si="23"/>
        <v>1158.74</v>
      </c>
      <c r="Q82" s="83">
        <f t="shared" si="23"/>
        <v>1106.1399999999999</v>
      </c>
      <c r="R82" s="83">
        <f t="shared" si="23"/>
        <v>1125.6400000000001</v>
      </c>
      <c r="S82" s="83">
        <f t="shared" si="23"/>
        <v>1141.54</v>
      </c>
      <c r="T82" s="83">
        <f t="shared" si="23"/>
        <v>1163.24</v>
      </c>
      <c r="U82" s="83">
        <f t="shared" si="23"/>
        <v>1157.04</v>
      </c>
      <c r="V82" s="83">
        <f t="shared" si="23"/>
        <v>1152.04</v>
      </c>
      <c r="W82" s="83">
        <f t="shared" si="23"/>
        <v>1300.94</v>
      </c>
      <c r="X82" s="83">
        <f t="shared" si="23"/>
        <v>1418.8399999999997</v>
      </c>
      <c r="Y82" s="83">
        <f t="shared" si="23"/>
        <v>1346.7399999999998</v>
      </c>
      <c r="Z82" s="83">
        <f t="shared" si="23"/>
        <v>1262.2399999999998</v>
      </c>
      <c r="AA82" s="83">
        <f t="shared" si="23"/>
        <v>1193.1399999999999</v>
      </c>
      <c r="AB82" s="83">
        <f t="shared" si="23"/>
        <v>1149.7399999999998</v>
      </c>
      <c r="AC82" s="83">
        <f t="shared" si="23"/>
        <v>1095.7399999999998</v>
      </c>
      <c r="AD82" s="83">
        <f t="shared" si="23"/>
        <v>1063.8399999999999</v>
      </c>
      <c r="AE82" s="83">
        <f t="shared" si="23"/>
        <v>973.44</v>
      </c>
      <c r="AF82" s="83">
        <f t="shared" si="23"/>
        <v>959.63999999999987</v>
      </c>
      <c r="AG82" s="81"/>
      <c r="AH82" s="48">
        <f t="shared" si="16"/>
        <v>1418.8399999999997</v>
      </c>
      <c r="AI82" s="49">
        <f t="shared" si="17"/>
        <v>959.63999999999987</v>
      </c>
    </row>
    <row r="83" spans="1:37" x14ac:dyDescent="0.25">
      <c r="A83" s="44" t="s">
        <v>74</v>
      </c>
      <c r="B83" s="76">
        <f t="shared" ref="B83" si="24">IF(B66&lt;0,B66*-1,0)</f>
        <v>0</v>
      </c>
      <c r="C83" s="76">
        <f t="shared" ref="C83:AF83" si="25">IF(C66&lt;0,C66*-1,0)</f>
        <v>0</v>
      </c>
      <c r="D83" s="76">
        <f t="shared" si="25"/>
        <v>0</v>
      </c>
      <c r="E83" s="76">
        <f t="shared" si="25"/>
        <v>0</v>
      </c>
      <c r="F83" s="76">
        <f t="shared" si="25"/>
        <v>0</v>
      </c>
      <c r="G83" s="76">
        <f t="shared" si="25"/>
        <v>0</v>
      </c>
      <c r="H83" s="76">
        <f t="shared" si="25"/>
        <v>0</v>
      </c>
      <c r="I83" s="76">
        <f t="shared" si="25"/>
        <v>0</v>
      </c>
      <c r="J83" s="76">
        <f t="shared" si="25"/>
        <v>0</v>
      </c>
      <c r="K83" s="76">
        <f t="shared" si="25"/>
        <v>0</v>
      </c>
      <c r="L83" s="76">
        <f t="shared" si="25"/>
        <v>0</v>
      </c>
      <c r="M83" s="76">
        <f t="shared" si="25"/>
        <v>0</v>
      </c>
      <c r="N83" s="76">
        <f t="shared" si="25"/>
        <v>0</v>
      </c>
      <c r="O83" s="76">
        <f t="shared" si="25"/>
        <v>0</v>
      </c>
      <c r="P83" s="76">
        <f t="shared" si="25"/>
        <v>0</v>
      </c>
      <c r="Q83" s="76">
        <f t="shared" si="25"/>
        <v>0</v>
      </c>
      <c r="R83" s="76">
        <f t="shared" si="25"/>
        <v>0</v>
      </c>
      <c r="S83" s="76">
        <f t="shared" si="25"/>
        <v>0</v>
      </c>
      <c r="T83" s="76">
        <f t="shared" si="25"/>
        <v>0</v>
      </c>
      <c r="U83" s="76">
        <f t="shared" si="25"/>
        <v>0</v>
      </c>
      <c r="V83" s="76">
        <f t="shared" si="25"/>
        <v>0</v>
      </c>
      <c r="W83" s="76">
        <f t="shared" si="25"/>
        <v>0</v>
      </c>
      <c r="X83" s="76">
        <f t="shared" si="25"/>
        <v>0</v>
      </c>
      <c r="Y83" s="76">
        <f t="shared" si="25"/>
        <v>0</v>
      </c>
      <c r="Z83" s="76">
        <f t="shared" si="25"/>
        <v>0</v>
      </c>
      <c r="AA83" s="76">
        <f t="shared" si="25"/>
        <v>0</v>
      </c>
      <c r="AB83" s="76">
        <f t="shared" si="25"/>
        <v>0</v>
      </c>
      <c r="AC83" s="76">
        <f t="shared" si="25"/>
        <v>0</v>
      </c>
      <c r="AD83" s="76">
        <f t="shared" si="25"/>
        <v>0</v>
      </c>
      <c r="AE83" s="76">
        <f t="shared" si="25"/>
        <v>0</v>
      </c>
      <c r="AF83" s="76">
        <f t="shared" si="25"/>
        <v>0</v>
      </c>
      <c r="AG83" s="52"/>
      <c r="AH83" s="48">
        <f t="shared" si="16"/>
        <v>0</v>
      </c>
      <c r="AI83" s="49">
        <f t="shared" si="17"/>
        <v>0</v>
      </c>
    </row>
    <row r="84" spans="1:37" x14ac:dyDescent="0.25">
      <c r="A84" s="54" t="s">
        <v>72</v>
      </c>
      <c r="B84" s="76">
        <f t="shared" ref="B84" si="26">IF(B64&lt;0,B64*-1,0)</f>
        <v>0</v>
      </c>
      <c r="C84" s="76">
        <f t="shared" ref="C84:AF84" si="27">IF(C64&lt;0,C64*-1,0)</f>
        <v>0</v>
      </c>
      <c r="D84" s="76">
        <f t="shared" si="27"/>
        <v>0</v>
      </c>
      <c r="E84" s="76">
        <f t="shared" si="27"/>
        <v>0</v>
      </c>
      <c r="F84" s="76">
        <f t="shared" si="27"/>
        <v>0</v>
      </c>
      <c r="G84" s="76">
        <f t="shared" si="27"/>
        <v>0</v>
      </c>
      <c r="H84" s="76">
        <f t="shared" si="27"/>
        <v>0</v>
      </c>
      <c r="I84" s="76">
        <f t="shared" si="27"/>
        <v>0</v>
      </c>
      <c r="J84" s="76">
        <f t="shared" si="27"/>
        <v>0</v>
      </c>
      <c r="K84" s="76">
        <f t="shared" si="27"/>
        <v>0</v>
      </c>
      <c r="L84" s="76">
        <f t="shared" si="27"/>
        <v>0</v>
      </c>
      <c r="M84" s="76">
        <f t="shared" si="27"/>
        <v>0</v>
      </c>
      <c r="N84" s="76">
        <f t="shared" si="27"/>
        <v>0</v>
      </c>
      <c r="O84" s="76">
        <f t="shared" si="27"/>
        <v>0</v>
      </c>
      <c r="P84" s="76">
        <f t="shared" si="27"/>
        <v>0</v>
      </c>
      <c r="Q84" s="76">
        <f t="shared" si="27"/>
        <v>0</v>
      </c>
      <c r="R84" s="76">
        <f t="shared" si="27"/>
        <v>0</v>
      </c>
      <c r="S84" s="76">
        <f t="shared" si="27"/>
        <v>0</v>
      </c>
      <c r="T84" s="76">
        <f t="shared" si="27"/>
        <v>0</v>
      </c>
      <c r="U84" s="76">
        <f t="shared" si="27"/>
        <v>0</v>
      </c>
      <c r="V84" s="76">
        <f t="shared" si="27"/>
        <v>0</v>
      </c>
      <c r="W84" s="76">
        <f t="shared" si="27"/>
        <v>0</v>
      </c>
      <c r="X84" s="76">
        <f t="shared" si="27"/>
        <v>0</v>
      </c>
      <c r="Y84" s="76">
        <f t="shared" si="27"/>
        <v>0</v>
      </c>
      <c r="Z84" s="76">
        <f t="shared" si="27"/>
        <v>0</v>
      </c>
      <c r="AA84" s="76">
        <f t="shared" si="27"/>
        <v>0</v>
      </c>
      <c r="AB84" s="76">
        <f t="shared" si="27"/>
        <v>0</v>
      </c>
      <c r="AC84" s="76">
        <f t="shared" si="27"/>
        <v>0</v>
      </c>
      <c r="AD84" s="76">
        <f t="shared" si="27"/>
        <v>0</v>
      </c>
      <c r="AE84" s="76">
        <f t="shared" si="27"/>
        <v>0</v>
      </c>
      <c r="AF84" s="76">
        <f t="shared" si="27"/>
        <v>0</v>
      </c>
      <c r="AG84" s="55"/>
      <c r="AH84" s="48">
        <f t="shared" si="16"/>
        <v>0</v>
      </c>
      <c r="AI84" s="49">
        <f t="shared" si="17"/>
        <v>0</v>
      </c>
    </row>
    <row r="85" spans="1:37" x14ac:dyDescent="0.25">
      <c r="A85" s="78" t="s">
        <v>91</v>
      </c>
      <c r="B85" s="76">
        <f t="shared" ref="B85" si="28">IF(B67&lt;0,B67*-1,0)</f>
        <v>0</v>
      </c>
      <c r="C85" s="76">
        <f t="shared" ref="C85:AF85" si="29">IF(C67&lt;0,C67*-1,0)</f>
        <v>0</v>
      </c>
      <c r="D85" s="76">
        <f t="shared" si="29"/>
        <v>0</v>
      </c>
      <c r="E85" s="76">
        <f t="shared" si="29"/>
        <v>0</v>
      </c>
      <c r="F85" s="76">
        <f t="shared" si="29"/>
        <v>0</v>
      </c>
      <c r="G85" s="76">
        <f t="shared" si="29"/>
        <v>0</v>
      </c>
      <c r="H85" s="76">
        <f t="shared" si="29"/>
        <v>0</v>
      </c>
      <c r="I85" s="76">
        <f t="shared" si="29"/>
        <v>0</v>
      </c>
      <c r="J85" s="76">
        <f t="shared" si="29"/>
        <v>0</v>
      </c>
      <c r="K85" s="76">
        <f t="shared" si="29"/>
        <v>0</v>
      </c>
      <c r="L85" s="76">
        <f t="shared" si="29"/>
        <v>0</v>
      </c>
      <c r="M85" s="76">
        <f t="shared" si="29"/>
        <v>0</v>
      </c>
      <c r="N85" s="76">
        <f t="shared" si="29"/>
        <v>0</v>
      </c>
      <c r="O85" s="76">
        <f t="shared" si="29"/>
        <v>0</v>
      </c>
      <c r="P85" s="76">
        <f t="shared" si="29"/>
        <v>0</v>
      </c>
      <c r="Q85" s="76">
        <f t="shared" si="29"/>
        <v>0</v>
      </c>
      <c r="R85" s="76">
        <f t="shared" si="29"/>
        <v>0</v>
      </c>
      <c r="S85" s="76">
        <f t="shared" si="29"/>
        <v>0</v>
      </c>
      <c r="T85" s="76">
        <f t="shared" si="29"/>
        <v>0</v>
      </c>
      <c r="U85" s="76">
        <f t="shared" si="29"/>
        <v>0</v>
      </c>
      <c r="V85" s="76">
        <f t="shared" si="29"/>
        <v>0</v>
      </c>
      <c r="W85" s="76">
        <f t="shared" si="29"/>
        <v>0</v>
      </c>
      <c r="X85" s="76">
        <f t="shared" si="29"/>
        <v>0</v>
      </c>
      <c r="Y85" s="76">
        <f t="shared" si="29"/>
        <v>0</v>
      </c>
      <c r="Z85" s="76">
        <f t="shared" si="29"/>
        <v>0</v>
      </c>
      <c r="AA85" s="76">
        <f t="shared" si="29"/>
        <v>0</v>
      </c>
      <c r="AB85" s="76">
        <f t="shared" si="29"/>
        <v>0</v>
      </c>
      <c r="AC85" s="76">
        <f t="shared" si="29"/>
        <v>0</v>
      </c>
      <c r="AD85" s="76">
        <f t="shared" si="29"/>
        <v>0</v>
      </c>
      <c r="AE85" s="76">
        <f t="shared" si="29"/>
        <v>0</v>
      </c>
      <c r="AF85" s="76">
        <f t="shared" si="29"/>
        <v>0</v>
      </c>
      <c r="AG85" s="86"/>
      <c r="AH85" s="48">
        <f t="shared" si="16"/>
        <v>0</v>
      </c>
      <c r="AI85" s="49">
        <f t="shared" si="17"/>
        <v>0</v>
      </c>
    </row>
    <row r="86" spans="1:37" x14ac:dyDescent="0.25">
      <c r="A86" s="78" t="s">
        <v>92</v>
      </c>
      <c r="B86" s="76">
        <f t="shared" ref="B86" si="30">IF(B65&lt;0,B65*-1,0)</f>
        <v>317.89999999999998</v>
      </c>
      <c r="C86" s="76">
        <f t="shared" ref="C86:AF86" si="31">IF(C65&lt;0,C65*-1,0)</f>
        <v>344</v>
      </c>
      <c r="D86" s="76">
        <f t="shared" si="31"/>
        <v>326</v>
      </c>
      <c r="E86" s="76">
        <f t="shared" si="31"/>
        <v>308.8</v>
      </c>
      <c r="F86" s="76">
        <f t="shared" si="31"/>
        <v>309.26</v>
      </c>
      <c r="G86" s="76">
        <f t="shared" si="31"/>
        <v>269.98</v>
      </c>
      <c r="H86" s="76">
        <f t="shared" si="31"/>
        <v>345</v>
      </c>
      <c r="I86" s="76">
        <f t="shared" si="31"/>
        <v>216.06</v>
      </c>
      <c r="J86" s="76">
        <f t="shared" si="31"/>
        <v>230</v>
      </c>
      <c r="K86" s="76">
        <f t="shared" si="31"/>
        <v>215</v>
      </c>
      <c r="L86" s="76">
        <f t="shared" si="31"/>
        <v>205</v>
      </c>
      <c r="M86" s="76">
        <f t="shared" si="31"/>
        <v>296</v>
      </c>
      <c r="N86" s="76">
        <f t="shared" si="31"/>
        <v>343</v>
      </c>
      <c r="O86" s="76">
        <f t="shared" si="31"/>
        <v>300</v>
      </c>
      <c r="P86" s="76">
        <f t="shared" si="31"/>
        <v>240</v>
      </c>
      <c r="Q86" s="76">
        <f t="shared" si="31"/>
        <v>248.5</v>
      </c>
      <c r="R86" s="76">
        <f t="shared" si="31"/>
        <v>238.8</v>
      </c>
      <c r="S86" s="76">
        <f t="shared" si="31"/>
        <v>242</v>
      </c>
      <c r="T86" s="76">
        <f t="shared" si="31"/>
        <v>235</v>
      </c>
      <c r="U86" s="76">
        <f t="shared" si="31"/>
        <v>225</v>
      </c>
      <c r="V86" s="76">
        <f t="shared" si="31"/>
        <v>300</v>
      </c>
      <c r="W86" s="76">
        <f t="shared" si="31"/>
        <v>288.39999999999998</v>
      </c>
      <c r="X86" s="76">
        <f t="shared" si="31"/>
        <v>338.1</v>
      </c>
      <c r="Y86" s="76">
        <f t="shared" si="31"/>
        <v>352.6</v>
      </c>
      <c r="Z86" s="76">
        <f t="shared" si="31"/>
        <v>343.6</v>
      </c>
      <c r="AA86" s="76">
        <f t="shared" si="31"/>
        <v>352.7</v>
      </c>
      <c r="AB86" s="76">
        <f t="shared" si="31"/>
        <v>316.10000000000002</v>
      </c>
      <c r="AC86" s="76">
        <f t="shared" si="31"/>
        <v>304</v>
      </c>
      <c r="AD86" s="76">
        <f t="shared" si="31"/>
        <v>311</v>
      </c>
      <c r="AE86" s="76">
        <f t="shared" si="31"/>
        <v>325</v>
      </c>
      <c r="AF86" s="76">
        <f t="shared" si="31"/>
        <v>331</v>
      </c>
      <c r="AG86" s="86"/>
      <c r="AH86" s="48">
        <f t="shared" si="16"/>
        <v>352.7</v>
      </c>
      <c r="AI86" s="49">
        <f t="shared" si="17"/>
        <v>205</v>
      </c>
    </row>
    <row r="87" spans="1:37" x14ac:dyDescent="0.25">
      <c r="A87" s="78" t="s">
        <v>71</v>
      </c>
      <c r="B87" s="76">
        <f t="shared" ref="B87" si="32">IF(B63&lt;0,B63*-1,0)</f>
        <v>0</v>
      </c>
      <c r="C87" s="76">
        <f t="shared" ref="C87:AF87" si="33">IF(C63&lt;0,C63*-1,0)</f>
        <v>0</v>
      </c>
      <c r="D87" s="76">
        <f t="shared" si="33"/>
        <v>0</v>
      </c>
      <c r="E87" s="76">
        <f t="shared" si="33"/>
        <v>0</v>
      </c>
      <c r="F87" s="76">
        <f t="shared" si="33"/>
        <v>0</v>
      </c>
      <c r="G87" s="76">
        <f t="shared" si="33"/>
        <v>0</v>
      </c>
      <c r="H87" s="76">
        <f t="shared" si="33"/>
        <v>0</v>
      </c>
      <c r="I87" s="76">
        <f t="shared" si="33"/>
        <v>0</v>
      </c>
      <c r="J87" s="76">
        <f t="shared" si="33"/>
        <v>0</v>
      </c>
      <c r="K87" s="76">
        <f t="shared" si="33"/>
        <v>0</v>
      </c>
      <c r="L87" s="76">
        <f t="shared" si="33"/>
        <v>0</v>
      </c>
      <c r="M87" s="76">
        <f t="shared" si="33"/>
        <v>0</v>
      </c>
      <c r="N87" s="76">
        <f t="shared" si="33"/>
        <v>0</v>
      </c>
      <c r="O87" s="76">
        <f t="shared" si="33"/>
        <v>0</v>
      </c>
      <c r="P87" s="76">
        <f t="shared" si="33"/>
        <v>0</v>
      </c>
      <c r="Q87" s="76">
        <f t="shared" si="33"/>
        <v>0</v>
      </c>
      <c r="R87" s="76">
        <f t="shared" si="33"/>
        <v>0</v>
      </c>
      <c r="S87" s="76">
        <f t="shared" si="33"/>
        <v>0</v>
      </c>
      <c r="T87" s="76">
        <f t="shared" si="33"/>
        <v>0</v>
      </c>
      <c r="U87" s="76">
        <f t="shared" si="33"/>
        <v>0</v>
      </c>
      <c r="V87" s="76">
        <f t="shared" si="33"/>
        <v>0</v>
      </c>
      <c r="W87" s="76">
        <f t="shared" si="33"/>
        <v>0</v>
      </c>
      <c r="X87" s="76">
        <f t="shared" si="33"/>
        <v>0</v>
      </c>
      <c r="Y87" s="76">
        <f t="shared" si="33"/>
        <v>0</v>
      </c>
      <c r="Z87" s="76">
        <f t="shared" si="33"/>
        <v>0</v>
      </c>
      <c r="AA87" s="76">
        <f t="shared" si="33"/>
        <v>0</v>
      </c>
      <c r="AB87" s="76">
        <f t="shared" si="33"/>
        <v>0</v>
      </c>
      <c r="AC87" s="76">
        <f t="shared" si="33"/>
        <v>0</v>
      </c>
      <c r="AD87" s="76">
        <f t="shared" si="33"/>
        <v>0</v>
      </c>
      <c r="AE87" s="76">
        <f t="shared" si="33"/>
        <v>0</v>
      </c>
      <c r="AF87" s="76">
        <f t="shared" si="33"/>
        <v>0</v>
      </c>
      <c r="AG87" s="86"/>
      <c r="AH87" s="48">
        <f t="shared" si="16"/>
        <v>0</v>
      </c>
      <c r="AI87" s="49">
        <f t="shared" si="17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16"/>
        <v>0</v>
      </c>
      <c r="AI88" s="49">
        <f t="shared" si="17"/>
        <v>0</v>
      </c>
    </row>
    <row r="89" spans="1:37" ht="15.75" thickBot="1" x14ac:dyDescent="0.3">
      <c r="A89" s="87" t="s">
        <v>94</v>
      </c>
      <c r="B89" s="61">
        <f t="shared" ref="B89" si="34">SUM(B83:B88)</f>
        <v>317.89999999999998</v>
      </c>
      <c r="C89" s="61">
        <f t="shared" ref="C89:AF89" si="35">SUM(C83:C88)</f>
        <v>344</v>
      </c>
      <c r="D89" s="61">
        <f t="shared" si="35"/>
        <v>326</v>
      </c>
      <c r="E89" s="61">
        <f t="shared" si="35"/>
        <v>308.8</v>
      </c>
      <c r="F89" s="61">
        <f t="shared" si="35"/>
        <v>309.26</v>
      </c>
      <c r="G89" s="61">
        <f t="shared" si="35"/>
        <v>269.98</v>
      </c>
      <c r="H89" s="61">
        <f t="shared" si="35"/>
        <v>345</v>
      </c>
      <c r="I89" s="61">
        <f t="shared" si="35"/>
        <v>216.06</v>
      </c>
      <c r="J89" s="61">
        <f t="shared" si="35"/>
        <v>230</v>
      </c>
      <c r="K89" s="61">
        <f t="shared" si="35"/>
        <v>215</v>
      </c>
      <c r="L89" s="61">
        <f t="shared" si="35"/>
        <v>205</v>
      </c>
      <c r="M89" s="61">
        <f t="shared" si="35"/>
        <v>296</v>
      </c>
      <c r="N89" s="61">
        <f t="shared" si="35"/>
        <v>343</v>
      </c>
      <c r="O89" s="61">
        <f t="shared" si="35"/>
        <v>300</v>
      </c>
      <c r="P89" s="61">
        <f t="shared" si="35"/>
        <v>240</v>
      </c>
      <c r="Q89" s="61">
        <f t="shared" si="35"/>
        <v>248.5</v>
      </c>
      <c r="R89" s="61">
        <f t="shared" si="35"/>
        <v>238.8</v>
      </c>
      <c r="S89" s="61">
        <f t="shared" si="35"/>
        <v>242</v>
      </c>
      <c r="T89" s="61">
        <f t="shared" si="35"/>
        <v>235</v>
      </c>
      <c r="U89" s="61">
        <f t="shared" si="35"/>
        <v>225</v>
      </c>
      <c r="V89" s="61">
        <f t="shared" si="35"/>
        <v>300</v>
      </c>
      <c r="W89" s="61">
        <f t="shared" si="35"/>
        <v>288.39999999999998</v>
      </c>
      <c r="X89" s="61">
        <f t="shared" si="35"/>
        <v>338.1</v>
      </c>
      <c r="Y89" s="61">
        <f t="shared" si="35"/>
        <v>352.6</v>
      </c>
      <c r="Z89" s="61">
        <f t="shared" si="35"/>
        <v>343.6</v>
      </c>
      <c r="AA89" s="61">
        <f t="shared" si="35"/>
        <v>352.7</v>
      </c>
      <c r="AB89" s="61">
        <f t="shared" si="35"/>
        <v>316.10000000000002</v>
      </c>
      <c r="AC89" s="61">
        <f t="shared" si="35"/>
        <v>304</v>
      </c>
      <c r="AD89" s="61">
        <f t="shared" si="35"/>
        <v>311</v>
      </c>
      <c r="AE89" s="61">
        <f t="shared" si="35"/>
        <v>325</v>
      </c>
      <c r="AF89" s="61">
        <f t="shared" si="35"/>
        <v>331</v>
      </c>
      <c r="AG89" s="81"/>
      <c r="AH89" s="48">
        <f t="shared" si="16"/>
        <v>352.7</v>
      </c>
      <c r="AI89" s="49">
        <f t="shared" si="17"/>
        <v>205</v>
      </c>
      <c r="AK89" s="50"/>
    </row>
    <row r="90" spans="1:37" ht="15.75" thickBot="1" x14ac:dyDescent="0.3">
      <c r="A90" s="74" t="s">
        <v>95</v>
      </c>
      <c r="B90" s="61">
        <f t="shared" ref="B90" si="36">B74-B89</f>
        <v>-317.89999999999998</v>
      </c>
      <c r="C90" s="61">
        <f t="shared" ref="C90:AF90" si="37">C74-C89</f>
        <v>-344</v>
      </c>
      <c r="D90" s="61">
        <f t="shared" si="37"/>
        <v>-326</v>
      </c>
      <c r="E90" s="61">
        <f t="shared" si="37"/>
        <v>-308.8</v>
      </c>
      <c r="F90" s="61">
        <f t="shared" si="37"/>
        <v>-309.26</v>
      </c>
      <c r="G90" s="61">
        <f t="shared" si="37"/>
        <v>-269.98</v>
      </c>
      <c r="H90" s="61">
        <f t="shared" si="37"/>
        <v>-345</v>
      </c>
      <c r="I90" s="61">
        <f t="shared" si="37"/>
        <v>-216.06</v>
      </c>
      <c r="J90" s="61">
        <f t="shared" si="37"/>
        <v>-230</v>
      </c>
      <c r="K90" s="61">
        <f t="shared" si="37"/>
        <v>-215</v>
      </c>
      <c r="L90" s="61">
        <f t="shared" si="37"/>
        <v>-205</v>
      </c>
      <c r="M90" s="61">
        <f t="shared" si="37"/>
        <v>-296</v>
      </c>
      <c r="N90" s="61">
        <f t="shared" si="37"/>
        <v>-343</v>
      </c>
      <c r="O90" s="61">
        <f t="shared" si="37"/>
        <v>-300</v>
      </c>
      <c r="P90" s="61">
        <f t="shared" si="37"/>
        <v>-240</v>
      </c>
      <c r="Q90" s="61">
        <f t="shared" si="37"/>
        <v>-248.5</v>
      </c>
      <c r="R90" s="61">
        <f t="shared" si="37"/>
        <v>-238.8</v>
      </c>
      <c r="S90" s="61">
        <f t="shared" si="37"/>
        <v>-242</v>
      </c>
      <c r="T90" s="61">
        <f t="shared" si="37"/>
        <v>-235</v>
      </c>
      <c r="U90" s="61">
        <f t="shared" si="37"/>
        <v>-225</v>
      </c>
      <c r="V90" s="61">
        <f t="shared" si="37"/>
        <v>-300</v>
      </c>
      <c r="W90" s="61">
        <f t="shared" si="37"/>
        <v>-288.39999999999998</v>
      </c>
      <c r="X90" s="61">
        <f t="shared" si="37"/>
        <v>-338.1</v>
      </c>
      <c r="Y90" s="61">
        <f t="shared" si="37"/>
        <v>-352.6</v>
      </c>
      <c r="Z90" s="61">
        <f t="shared" si="37"/>
        <v>-343.6</v>
      </c>
      <c r="AA90" s="61">
        <f t="shared" si="37"/>
        <v>-352.7</v>
      </c>
      <c r="AB90" s="61">
        <f t="shared" si="37"/>
        <v>-316.10000000000002</v>
      </c>
      <c r="AC90" s="61">
        <f t="shared" si="37"/>
        <v>-304</v>
      </c>
      <c r="AD90" s="61">
        <f t="shared" si="37"/>
        <v>-311</v>
      </c>
      <c r="AE90" s="61">
        <f t="shared" si="37"/>
        <v>-325</v>
      </c>
      <c r="AF90" s="61">
        <f t="shared" si="37"/>
        <v>-331</v>
      </c>
      <c r="AG90" s="81"/>
      <c r="AH90" s="48">
        <f t="shared" si="16"/>
        <v>-205</v>
      </c>
      <c r="AI90" s="49">
        <f t="shared" si="17"/>
        <v>-352.7</v>
      </c>
    </row>
    <row r="91" spans="1:37" x14ac:dyDescent="0.25">
      <c r="A91" s="88" t="s">
        <v>96</v>
      </c>
      <c r="B91" s="89">
        <v>49.99</v>
      </c>
      <c r="C91" s="89">
        <v>49.99</v>
      </c>
      <c r="D91" s="89">
        <v>50.02</v>
      </c>
      <c r="E91" s="89">
        <v>50.02</v>
      </c>
      <c r="F91" s="89">
        <v>50.03</v>
      </c>
      <c r="G91" s="89">
        <v>50.01</v>
      </c>
      <c r="H91" s="89">
        <v>50.03</v>
      </c>
      <c r="I91" s="89">
        <v>50.07</v>
      </c>
      <c r="J91" s="89">
        <v>50.04</v>
      </c>
      <c r="K91" s="89">
        <v>49.98</v>
      </c>
      <c r="L91" s="89">
        <v>50.02</v>
      </c>
      <c r="M91" s="89">
        <v>49.872999999999998</v>
      </c>
      <c r="N91" s="89">
        <v>50.030999999999999</v>
      </c>
      <c r="O91" s="89">
        <v>49.9</v>
      </c>
      <c r="P91" s="89">
        <v>50.005000000000003</v>
      </c>
      <c r="Q91" s="89">
        <v>50.03</v>
      </c>
      <c r="R91" s="89">
        <v>49.936</v>
      </c>
      <c r="S91" s="89">
        <v>49.875999999999998</v>
      </c>
      <c r="T91" s="89">
        <v>49.862000000000002</v>
      </c>
      <c r="U91" s="89">
        <v>49.936</v>
      </c>
      <c r="V91" s="89">
        <v>49.95</v>
      </c>
      <c r="W91" s="89">
        <v>49.902000000000001</v>
      </c>
      <c r="X91" s="89">
        <v>50.061999999999998</v>
      </c>
      <c r="Y91" s="89">
        <v>50.072000000000003</v>
      </c>
      <c r="Z91" s="89">
        <v>50.073</v>
      </c>
      <c r="AA91" s="89">
        <v>50.027000000000001</v>
      </c>
      <c r="AB91" s="89">
        <v>49.878</v>
      </c>
      <c r="AC91" s="89">
        <v>49.930999999999997</v>
      </c>
      <c r="AD91" s="89">
        <v>49.944000000000003</v>
      </c>
      <c r="AE91" s="89">
        <v>49.948999999999998</v>
      </c>
      <c r="AF91" s="89">
        <v>50.034999999999997</v>
      </c>
      <c r="AG91" s="90"/>
      <c r="AH91" s="48">
        <f t="shared" si="16"/>
        <v>50.073</v>
      </c>
      <c r="AI91" s="49">
        <f t="shared" si="17"/>
        <v>49.862000000000002</v>
      </c>
    </row>
    <row r="92" spans="1:37" x14ac:dyDescent="0.25">
      <c r="A92" s="91" t="s">
        <v>97</v>
      </c>
      <c r="B92" s="65">
        <v>124.9</v>
      </c>
      <c r="C92" s="65">
        <v>126.6</v>
      </c>
      <c r="D92" s="65">
        <v>125</v>
      </c>
      <c r="E92" s="65">
        <v>125.4</v>
      </c>
      <c r="F92" s="65">
        <v>125.4</v>
      </c>
      <c r="G92" s="65">
        <v>125.4</v>
      </c>
      <c r="H92" s="65">
        <v>125.4</v>
      </c>
      <c r="I92" s="65">
        <v>126.4</v>
      </c>
      <c r="J92" s="65">
        <v>124.2</v>
      </c>
      <c r="K92" s="65">
        <v>123.2</v>
      </c>
      <c r="L92" s="65">
        <v>122.6</v>
      </c>
      <c r="M92" s="65">
        <v>122.2</v>
      </c>
      <c r="N92" s="65">
        <v>123.5</v>
      </c>
      <c r="O92" s="65">
        <v>122.7</v>
      </c>
      <c r="P92" s="65">
        <v>123.2</v>
      </c>
      <c r="Q92" s="65">
        <v>123.7</v>
      </c>
      <c r="R92" s="65">
        <v>124.2</v>
      </c>
      <c r="S92" s="65">
        <v>124</v>
      </c>
      <c r="T92" s="65">
        <v>122.9</v>
      </c>
      <c r="U92" s="65">
        <v>124.9</v>
      </c>
      <c r="V92" s="65">
        <v>125.6</v>
      </c>
      <c r="W92" s="65">
        <v>125.7</v>
      </c>
      <c r="X92" s="65">
        <v>126.5</v>
      </c>
      <c r="Y92" s="65">
        <v>126.2</v>
      </c>
      <c r="Z92" s="65">
        <v>126.5</v>
      </c>
      <c r="AA92" s="65">
        <v>125.8</v>
      </c>
      <c r="AB92" s="65">
        <v>126.1</v>
      </c>
      <c r="AC92" s="65">
        <v>126.4</v>
      </c>
      <c r="AD92" s="65">
        <v>126.6</v>
      </c>
      <c r="AE92" s="65">
        <v>127</v>
      </c>
      <c r="AF92" s="65">
        <v>126.6</v>
      </c>
      <c r="AG92" s="92"/>
      <c r="AH92" s="48">
        <f t="shared" si="16"/>
        <v>127</v>
      </c>
      <c r="AI92" s="49">
        <f t="shared" si="17"/>
        <v>122.2</v>
      </c>
    </row>
    <row r="93" spans="1:37" x14ac:dyDescent="0.25">
      <c r="A93" s="91" t="s">
        <v>98</v>
      </c>
      <c r="B93" s="65">
        <v>129.4</v>
      </c>
      <c r="C93" s="65">
        <v>130.6</v>
      </c>
      <c r="D93" s="65">
        <v>129.69999999999999</v>
      </c>
      <c r="E93" s="65">
        <v>130.19999999999999</v>
      </c>
      <c r="F93" s="65">
        <v>130.19999999999999</v>
      </c>
      <c r="G93" s="65">
        <v>130.19999999999999</v>
      </c>
      <c r="H93" s="65">
        <v>130.19999999999999</v>
      </c>
      <c r="I93" s="65">
        <v>129.5</v>
      </c>
      <c r="J93" s="65">
        <v>127</v>
      </c>
      <c r="K93" s="65">
        <v>126.6</v>
      </c>
      <c r="L93" s="65">
        <v>125.8</v>
      </c>
      <c r="M93" s="65">
        <v>125.4</v>
      </c>
      <c r="N93" s="65">
        <v>126.8</v>
      </c>
      <c r="O93" s="65">
        <v>125.5</v>
      </c>
      <c r="P93" s="65">
        <v>126.1</v>
      </c>
      <c r="Q93" s="65">
        <v>126.5</v>
      </c>
      <c r="R93" s="65">
        <v>127.5</v>
      </c>
      <c r="S93" s="65">
        <v>127.5</v>
      </c>
      <c r="T93" s="65">
        <v>126.8</v>
      </c>
      <c r="U93" s="65">
        <v>128.1</v>
      </c>
      <c r="V93" s="65">
        <v>128.19999999999999</v>
      </c>
      <c r="W93" s="65">
        <v>128.1</v>
      </c>
      <c r="X93" s="65">
        <v>128.80000000000001</v>
      </c>
      <c r="Y93" s="65">
        <v>128.19999999999999</v>
      </c>
      <c r="Z93" s="65">
        <v>129</v>
      </c>
      <c r="AA93" s="65">
        <v>128.80000000000001</v>
      </c>
      <c r="AB93" s="65">
        <v>129.4</v>
      </c>
      <c r="AC93" s="65">
        <v>130</v>
      </c>
      <c r="AD93" s="65">
        <v>130.4</v>
      </c>
      <c r="AE93" s="65">
        <v>131.1</v>
      </c>
      <c r="AF93" s="65">
        <v>130.69999999999999</v>
      </c>
      <c r="AG93" s="92"/>
      <c r="AH93" s="48">
        <f t="shared" si="16"/>
        <v>131.1</v>
      </c>
      <c r="AI93" s="49">
        <f t="shared" si="17"/>
        <v>125.4</v>
      </c>
    </row>
    <row r="94" spans="1:37" x14ac:dyDescent="0.25">
      <c r="A94" s="91" t="s">
        <v>99</v>
      </c>
      <c r="B94" s="65">
        <v>127.4</v>
      </c>
      <c r="C94" s="65">
        <v>128.5</v>
      </c>
      <c r="D94" s="65">
        <v>128.1</v>
      </c>
      <c r="E94" s="65">
        <v>128.69999999999999</v>
      </c>
      <c r="F94" s="65">
        <v>128.69999999999999</v>
      </c>
      <c r="G94" s="65">
        <v>128.69999999999999</v>
      </c>
      <c r="H94" s="65">
        <v>128.69999999999999</v>
      </c>
      <c r="I94" s="65">
        <v>131.5</v>
      </c>
      <c r="J94" s="65">
        <v>130.1</v>
      </c>
      <c r="K94" s="65">
        <v>127.9</v>
      </c>
      <c r="L94" s="65">
        <v>127.3</v>
      </c>
      <c r="M94" s="65">
        <v>128.4</v>
      </c>
      <c r="N94" s="65">
        <v>126.4</v>
      </c>
      <c r="O94" s="65">
        <v>129</v>
      </c>
      <c r="P94" s="65">
        <v>129.19999999999999</v>
      </c>
      <c r="Q94" s="65">
        <v>130</v>
      </c>
      <c r="R94" s="65">
        <v>128.19999999999999</v>
      </c>
      <c r="S94" s="65">
        <v>127</v>
      </c>
      <c r="T94" s="65">
        <v>123.3</v>
      </c>
      <c r="U94" s="65">
        <v>123.9</v>
      </c>
      <c r="V94" s="65">
        <v>127.9</v>
      </c>
      <c r="W94" s="65">
        <v>126.9</v>
      </c>
      <c r="X94" s="65">
        <v>129.5</v>
      </c>
      <c r="Y94" s="65">
        <v>132</v>
      </c>
      <c r="Z94" s="65">
        <v>131.6</v>
      </c>
      <c r="AA94" s="65">
        <v>131.1</v>
      </c>
      <c r="AB94" s="65">
        <v>131.80000000000001</v>
      </c>
      <c r="AC94" s="65">
        <v>131.1</v>
      </c>
      <c r="AD94" s="65">
        <v>131.19999999999999</v>
      </c>
      <c r="AE94" s="65">
        <v>131.4</v>
      </c>
      <c r="AF94" s="65">
        <v>131.69999999999999</v>
      </c>
      <c r="AG94" s="92"/>
      <c r="AH94" s="48">
        <f t="shared" si="16"/>
        <v>132</v>
      </c>
      <c r="AI94" s="49">
        <f t="shared" si="17"/>
        <v>123.3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16"/>
        <v>0</v>
      </c>
      <c r="AI95" s="49">
        <f t="shared" si="17"/>
        <v>0</v>
      </c>
    </row>
    <row r="96" spans="1:37" x14ac:dyDescent="0.25">
      <c r="A96" s="93" t="s">
        <v>101</v>
      </c>
      <c r="B96" s="94">
        <v>131.19999999999999</v>
      </c>
      <c r="C96" s="94">
        <v>131.9</v>
      </c>
      <c r="D96" s="94">
        <v>133.1</v>
      </c>
      <c r="E96" s="94">
        <v>133</v>
      </c>
      <c r="F96" s="94">
        <v>133</v>
      </c>
      <c r="G96" s="94">
        <v>133</v>
      </c>
      <c r="H96" s="94">
        <v>133</v>
      </c>
      <c r="I96" s="94">
        <v>130.69999999999999</v>
      </c>
      <c r="J96" s="94">
        <v>141.5</v>
      </c>
      <c r="K96" s="94">
        <v>132.69999999999999</v>
      </c>
      <c r="L96" s="94">
        <v>131.9</v>
      </c>
      <c r="M96" s="94">
        <v>132.5</v>
      </c>
      <c r="N96" s="94">
        <v>133.9</v>
      </c>
      <c r="O96" s="94">
        <v>131.4</v>
      </c>
      <c r="P96" s="94">
        <v>133.4</v>
      </c>
      <c r="Q96" s="94">
        <v>134</v>
      </c>
      <c r="R96" s="94">
        <v>133.5</v>
      </c>
      <c r="S96" s="94">
        <v>133</v>
      </c>
      <c r="T96" s="94">
        <v>131.9</v>
      </c>
      <c r="U96" s="94">
        <v>132.69999999999999</v>
      </c>
      <c r="V96" s="94">
        <v>134.19999999999999</v>
      </c>
      <c r="W96" s="94">
        <v>133.4</v>
      </c>
      <c r="X96" s="94">
        <v>133.9</v>
      </c>
      <c r="Y96" s="94">
        <v>132.4</v>
      </c>
      <c r="Z96" s="94">
        <v>134.1</v>
      </c>
      <c r="AA96" s="94">
        <v>135.69999999999999</v>
      </c>
      <c r="AB96" s="94">
        <v>133.6</v>
      </c>
      <c r="AC96" s="94">
        <v>131</v>
      </c>
      <c r="AD96" s="94">
        <v>133.5</v>
      </c>
      <c r="AE96" s="94">
        <v>132.69999999999999</v>
      </c>
      <c r="AF96" s="94">
        <v>133.9</v>
      </c>
      <c r="AG96" s="95"/>
      <c r="AH96" s="48">
        <f t="shared" si="16"/>
        <v>141.5</v>
      </c>
      <c r="AI96" s="49">
        <f t="shared" si="17"/>
        <v>130.69999999999999</v>
      </c>
    </row>
    <row r="97" spans="1:37" x14ac:dyDescent="0.25">
      <c r="A97" s="91" t="s">
        <v>102</v>
      </c>
      <c r="B97" s="65">
        <v>132.1</v>
      </c>
      <c r="C97" s="65">
        <v>133.1</v>
      </c>
      <c r="D97" s="65">
        <v>134</v>
      </c>
      <c r="E97" s="65">
        <v>135.19999999999999</v>
      </c>
      <c r="F97" s="65">
        <v>135.19999999999999</v>
      </c>
      <c r="G97" s="65">
        <v>135.19999999999999</v>
      </c>
      <c r="H97" s="65">
        <v>135.19999999999999</v>
      </c>
      <c r="I97" s="65">
        <v>131.4</v>
      </c>
      <c r="J97" s="65">
        <v>127.3</v>
      </c>
      <c r="K97" s="65">
        <v>131.1</v>
      </c>
      <c r="L97" s="65">
        <v>129.69999999999999</v>
      </c>
      <c r="M97" s="65">
        <v>131.19999999999999</v>
      </c>
      <c r="N97" s="65">
        <v>132.5</v>
      </c>
      <c r="O97" s="65">
        <v>130.69999999999999</v>
      </c>
      <c r="P97" s="65">
        <v>129.4</v>
      </c>
      <c r="Q97" s="65">
        <v>130.80000000000001</v>
      </c>
      <c r="R97" s="65">
        <v>128.6</v>
      </c>
      <c r="S97" s="65">
        <v>128.6</v>
      </c>
      <c r="T97" s="65">
        <v>124.2</v>
      </c>
      <c r="U97" s="65">
        <v>127.3</v>
      </c>
      <c r="V97" s="65">
        <v>130.80000000000001</v>
      </c>
      <c r="W97" s="65">
        <v>129</v>
      </c>
      <c r="X97" s="65">
        <v>130.1</v>
      </c>
      <c r="Y97" s="65">
        <v>129</v>
      </c>
      <c r="Z97" s="65">
        <v>134.1</v>
      </c>
      <c r="AA97" s="65">
        <v>137.5</v>
      </c>
      <c r="AB97" s="65">
        <v>129.30000000000001</v>
      </c>
      <c r="AC97" s="65">
        <v>126.8</v>
      </c>
      <c r="AD97" s="65">
        <v>132.1</v>
      </c>
      <c r="AE97" s="65">
        <v>130.9</v>
      </c>
      <c r="AF97" s="65">
        <v>130.9</v>
      </c>
      <c r="AG97" s="92"/>
      <c r="AH97" s="48">
        <f t="shared" si="16"/>
        <v>137.5</v>
      </c>
      <c r="AI97" s="49">
        <f t="shared" si="17"/>
        <v>124.2</v>
      </c>
    </row>
    <row r="98" spans="1:37" ht="15.75" thickBot="1" x14ac:dyDescent="0.3">
      <c r="A98" s="91" t="s">
        <v>103</v>
      </c>
      <c r="B98" s="96">
        <v>65.2</v>
      </c>
      <c r="C98" s="96">
        <v>65.8</v>
      </c>
      <c r="D98" s="96">
        <v>65.3</v>
      </c>
      <c r="E98" s="96">
        <v>65.7</v>
      </c>
      <c r="F98" s="96">
        <v>65.7</v>
      </c>
      <c r="G98" s="96">
        <v>65.7</v>
      </c>
      <c r="H98" s="96">
        <v>65.7</v>
      </c>
      <c r="I98" s="96">
        <v>65.099999999999994</v>
      </c>
      <c r="J98" s="96">
        <v>63.9</v>
      </c>
      <c r="K98" s="96">
        <v>63.8</v>
      </c>
      <c r="L98" s="96">
        <v>63.5</v>
      </c>
      <c r="M98" s="96">
        <v>63.3</v>
      </c>
      <c r="N98" s="96">
        <v>64</v>
      </c>
      <c r="O98" s="96">
        <v>63</v>
      </c>
      <c r="P98" s="96">
        <v>63.4</v>
      </c>
      <c r="Q98" s="96">
        <v>63.9</v>
      </c>
      <c r="R98" s="96">
        <v>64.599999999999994</v>
      </c>
      <c r="S98" s="96">
        <v>64.400000000000006</v>
      </c>
      <c r="T98" s="96">
        <v>64.099999999999994</v>
      </c>
      <c r="U98" s="96">
        <v>64.8</v>
      </c>
      <c r="V98" s="96">
        <v>64.900000000000006</v>
      </c>
      <c r="W98" s="96">
        <v>64.900000000000006</v>
      </c>
      <c r="X98" s="96">
        <v>65</v>
      </c>
      <c r="Y98" s="96">
        <v>64.599999999999994</v>
      </c>
      <c r="Z98" s="96">
        <v>65.2</v>
      </c>
      <c r="AA98" s="96">
        <v>65.099999999999994</v>
      </c>
      <c r="AB98" s="96">
        <v>65.400000000000006</v>
      </c>
      <c r="AC98" s="96">
        <v>65.400000000000006</v>
      </c>
      <c r="AD98" s="96">
        <v>65.7</v>
      </c>
      <c r="AE98" s="96">
        <v>66.099999999999994</v>
      </c>
      <c r="AF98" s="96">
        <v>66</v>
      </c>
      <c r="AG98" s="97"/>
      <c r="AH98" s="48">
        <f t="shared" si="16"/>
        <v>66.099999999999994</v>
      </c>
      <c r="AI98" s="49">
        <f t="shared" si="17"/>
        <v>63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16"/>
        <v>0</v>
      </c>
      <c r="AI99" s="49">
        <f t="shared" si="17"/>
        <v>0</v>
      </c>
    </row>
    <row r="100" spans="1:37" ht="15.75" thickBot="1" x14ac:dyDescent="0.3">
      <c r="A100" s="99" t="s">
        <v>104</v>
      </c>
      <c r="B100" s="100">
        <f t="shared" ref="B100" si="38">SUM(B15,B20,B22:B23,B48,B50:B51,B53,B55,B101:B105,B127,B133,B139,B148,B150,B162,B169,B172:B173,B180,B182,B184,B188:B190,B192:B194,B199,B205:B206,B208:B210,B218,B223)</f>
        <v>58.699999999999989</v>
      </c>
      <c r="C100" s="100">
        <f t="shared" ref="C100:AF100" si="39">SUM(C15,C20,C22:C23,C48,C50:C51,C53,C55,C101:C105,C127,C133,C139,C148,C150,C162,C169,C172:C173,C180,C182,C184,C188:C190,C192:C194,C199,C205:C206,C208:C210,C218,C223)</f>
        <v>35.739999999999974</v>
      </c>
      <c r="D100" s="100">
        <f t="shared" si="39"/>
        <v>33.740000000000009</v>
      </c>
      <c r="E100" s="100">
        <f t="shared" si="39"/>
        <v>35.440000000000005</v>
      </c>
      <c r="F100" s="100">
        <f t="shared" si="39"/>
        <v>35.440000000000005</v>
      </c>
      <c r="G100" s="100">
        <f t="shared" si="39"/>
        <v>35.440000000000005</v>
      </c>
      <c r="H100" s="100">
        <f t="shared" si="39"/>
        <v>49.14</v>
      </c>
      <c r="I100" s="100">
        <f t="shared" si="39"/>
        <v>58.84</v>
      </c>
      <c r="J100" s="100">
        <f t="shared" si="39"/>
        <v>190.14</v>
      </c>
      <c r="K100" s="100">
        <f t="shared" si="39"/>
        <v>27.840000000000018</v>
      </c>
      <c r="L100" s="100">
        <f t="shared" si="39"/>
        <v>693.03999999999985</v>
      </c>
      <c r="M100" s="100">
        <f t="shared" si="39"/>
        <v>251.44</v>
      </c>
      <c r="N100" s="100">
        <f t="shared" si="39"/>
        <v>231.74</v>
      </c>
      <c r="O100" s="100">
        <f t="shared" si="39"/>
        <v>211.84000000000003</v>
      </c>
      <c r="P100" s="100">
        <f t="shared" si="39"/>
        <v>203.04000000000002</v>
      </c>
      <c r="Q100" s="100">
        <f t="shared" si="39"/>
        <v>170.8</v>
      </c>
      <c r="R100" s="100">
        <f t="shared" si="39"/>
        <v>147.9</v>
      </c>
      <c r="S100" s="100">
        <f t="shared" si="39"/>
        <v>179.1</v>
      </c>
      <c r="T100" s="100">
        <f t="shared" si="39"/>
        <v>178.59999999999997</v>
      </c>
      <c r="U100" s="100">
        <f t="shared" si="39"/>
        <v>166.2</v>
      </c>
      <c r="V100" s="100">
        <f t="shared" si="39"/>
        <v>228.70000000000007</v>
      </c>
      <c r="W100" s="100">
        <f t="shared" si="39"/>
        <v>241.50000000000003</v>
      </c>
      <c r="X100" s="100">
        <f t="shared" si="39"/>
        <v>271.39999999999998</v>
      </c>
      <c r="Y100" s="100">
        <f t="shared" si="39"/>
        <v>257.00000000000006</v>
      </c>
      <c r="Z100" s="100">
        <f t="shared" si="39"/>
        <v>243.9</v>
      </c>
      <c r="AA100" s="100">
        <f t="shared" si="39"/>
        <v>218.90000000000006</v>
      </c>
      <c r="AB100" s="100">
        <f t="shared" si="39"/>
        <v>189.4</v>
      </c>
      <c r="AC100" s="100">
        <f t="shared" si="39"/>
        <v>154.39999999999998</v>
      </c>
      <c r="AD100" s="100">
        <f t="shared" si="39"/>
        <v>133.80000000000001</v>
      </c>
      <c r="AE100" s="100">
        <f t="shared" si="39"/>
        <v>73.800000000000011</v>
      </c>
      <c r="AF100" s="100">
        <f t="shared" si="39"/>
        <v>45.00000000000005</v>
      </c>
      <c r="AG100" s="101"/>
      <c r="AH100" s="48">
        <f t="shared" si="16"/>
        <v>693.03999999999985</v>
      </c>
      <c r="AI100" s="49">
        <f t="shared" si="17"/>
        <v>27.840000000000018</v>
      </c>
    </row>
    <row r="101" spans="1:37" x14ac:dyDescent="0.25">
      <c r="A101" s="88" t="s">
        <v>105</v>
      </c>
      <c r="B101" s="102">
        <v>45</v>
      </c>
      <c r="C101" s="102">
        <v>40.6</v>
      </c>
      <c r="D101" s="102">
        <v>40.5</v>
      </c>
      <c r="E101" s="102">
        <v>36.1</v>
      </c>
      <c r="F101" s="102">
        <v>36.1</v>
      </c>
      <c r="G101" s="102">
        <v>36.1</v>
      </c>
      <c r="H101" s="102">
        <v>36.1</v>
      </c>
      <c r="I101" s="102">
        <v>36.1</v>
      </c>
      <c r="J101" s="102">
        <v>57.2</v>
      </c>
      <c r="K101" s="102">
        <v>56</v>
      </c>
      <c r="L101" s="102">
        <v>487</v>
      </c>
      <c r="M101" s="102">
        <v>51</v>
      </c>
      <c r="N101" s="102">
        <v>59.1</v>
      </c>
      <c r="O101" s="102">
        <v>61.9</v>
      </c>
      <c r="P101" s="102">
        <v>62</v>
      </c>
      <c r="Q101" s="102">
        <v>61.1</v>
      </c>
      <c r="R101" s="102">
        <v>57.3</v>
      </c>
      <c r="S101" s="102">
        <v>50.3</v>
      </c>
      <c r="T101" s="102">
        <v>43</v>
      </c>
      <c r="U101" s="102">
        <v>46</v>
      </c>
      <c r="V101" s="102">
        <v>50.7</v>
      </c>
      <c r="W101" s="102">
        <v>49.2</v>
      </c>
      <c r="X101" s="102">
        <v>44.4</v>
      </c>
      <c r="Y101" s="102">
        <v>50.7</v>
      </c>
      <c r="Z101" s="102">
        <v>55.4</v>
      </c>
      <c r="AA101" s="102">
        <v>62.7</v>
      </c>
      <c r="AB101" s="102">
        <v>57.9</v>
      </c>
      <c r="AC101" s="102">
        <v>49</v>
      </c>
      <c r="AD101" s="102">
        <v>48.4</v>
      </c>
      <c r="AE101" s="102">
        <v>38.4</v>
      </c>
      <c r="AF101" s="102">
        <v>27.3</v>
      </c>
      <c r="AG101" s="103">
        <v>75</v>
      </c>
      <c r="AH101" s="48">
        <f t="shared" si="16"/>
        <v>487</v>
      </c>
      <c r="AI101" s="49">
        <f t="shared" si="17"/>
        <v>27.3</v>
      </c>
    </row>
    <row r="102" spans="1:37" x14ac:dyDescent="0.25">
      <c r="A102" s="91" t="s">
        <v>106</v>
      </c>
      <c r="B102" s="104">
        <v>67.599999999999994</v>
      </c>
      <c r="C102" s="104">
        <v>65.8</v>
      </c>
      <c r="D102" s="104">
        <v>64.099999999999994</v>
      </c>
      <c r="E102" s="104">
        <v>57.9</v>
      </c>
      <c r="F102" s="104">
        <v>57.9</v>
      </c>
      <c r="G102" s="104">
        <v>57.9</v>
      </c>
      <c r="H102" s="104">
        <v>57.9</v>
      </c>
      <c r="I102" s="104">
        <v>57.9</v>
      </c>
      <c r="J102" s="104">
        <v>89.5</v>
      </c>
      <c r="K102" s="104">
        <v>-87</v>
      </c>
      <c r="L102" s="104">
        <v>76.5</v>
      </c>
      <c r="M102" s="104">
        <v>79</v>
      </c>
      <c r="N102" s="104">
        <v>90.4</v>
      </c>
      <c r="O102" s="104">
        <v>94.4</v>
      </c>
      <c r="P102" s="104">
        <v>95</v>
      </c>
      <c r="Q102" s="104">
        <v>95.9</v>
      </c>
      <c r="R102" s="104">
        <v>94.5</v>
      </c>
      <c r="S102" s="104">
        <v>76.5</v>
      </c>
      <c r="T102" s="104">
        <v>83</v>
      </c>
      <c r="U102" s="104">
        <v>77</v>
      </c>
      <c r="V102" s="104">
        <v>75.900000000000006</v>
      </c>
      <c r="W102" s="104">
        <v>73.5</v>
      </c>
      <c r="X102" s="104">
        <v>65.599999999999994</v>
      </c>
      <c r="Y102" s="104">
        <v>74.8</v>
      </c>
      <c r="Z102" s="104">
        <v>83.2</v>
      </c>
      <c r="AA102" s="104">
        <v>92.9</v>
      </c>
      <c r="AB102" s="104">
        <v>85.9</v>
      </c>
      <c r="AC102" s="104">
        <v>71.3</v>
      </c>
      <c r="AD102" s="104">
        <v>70.2</v>
      </c>
      <c r="AE102" s="104">
        <v>57.3</v>
      </c>
      <c r="AF102" s="104">
        <v>45.7</v>
      </c>
      <c r="AG102" s="103">
        <v>240</v>
      </c>
      <c r="AH102" s="48">
        <f t="shared" si="16"/>
        <v>95.9</v>
      </c>
      <c r="AI102" s="49">
        <f t="shared" si="17"/>
        <v>-87</v>
      </c>
    </row>
    <row r="103" spans="1:37" x14ac:dyDescent="0.25">
      <c r="A103" s="91" t="s">
        <v>107</v>
      </c>
      <c r="B103" s="104">
        <f>-64-67.6</f>
        <v>-131.6</v>
      </c>
      <c r="C103" s="104">
        <f>-70-73.8</f>
        <v>-143.80000000000001</v>
      </c>
      <c r="D103" s="104">
        <f>-69.3-73.3</f>
        <v>-142.6</v>
      </c>
      <c r="E103" s="104">
        <f>-64.2-68.2</f>
        <v>-132.4</v>
      </c>
      <c r="F103" s="104">
        <f t="shared" ref="F103:I103" si="40">-64.2-68.2</f>
        <v>-132.4</v>
      </c>
      <c r="G103" s="104">
        <f t="shared" si="40"/>
        <v>-132.4</v>
      </c>
      <c r="H103" s="104">
        <f t="shared" si="40"/>
        <v>-132.4</v>
      </c>
      <c r="I103" s="104">
        <f t="shared" si="40"/>
        <v>-132.4</v>
      </c>
      <c r="J103" s="104">
        <f>-35.8-38.6</f>
        <v>-74.400000000000006</v>
      </c>
      <c r="K103" s="104">
        <f>-30.6-34</f>
        <v>-64.599999999999994</v>
      </c>
      <c r="L103" s="104">
        <f>-26.9-29.2</f>
        <v>-56.099999999999994</v>
      </c>
      <c r="M103" s="104">
        <v>-62</v>
      </c>
      <c r="N103" s="104">
        <v>-70</v>
      </c>
      <c r="O103" s="104">
        <v>-70</v>
      </c>
      <c r="P103" s="104">
        <v>-80</v>
      </c>
      <c r="Q103" s="104">
        <f>-46-51</f>
        <v>-97</v>
      </c>
      <c r="R103" s="104">
        <f>-58.3-63</f>
        <v>-121.3</v>
      </c>
      <c r="S103" s="104">
        <v>-126</v>
      </c>
      <c r="T103" s="104">
        <v>-123</v>
      </c>
      <c r="U103" s="104">
        <v>-130</v>
      </c>
      <c r="V103" s="104">
        <v>-80</v>
      </c>
      <c r="W103" s="104">
        <v>-65</v>
      </c>
      <c r="X103" s="104">
        <v>-27.8</v>
      </c>
      <c r="Y103" s="104">
        <v>-55.6</v>
      </c>
      <c r="Z103" s="104">
        <v>-79.099999999999994</v>
      </c>
      <c r="AA103" s="104">
        <v>-116.5</v>
      </c>
      <c r="AB103" s="104">
        <v>-122</v>
      </c>
      <c r="AC103" s="104">
        <f>-59.5-64</f>
        <v>-123.5</v>
      </c>
      <c r="AD103" s="104">
        <f>-65-69</f>
        <v>-134</v>
      </c>
      <c r="AE103" s="104">
        <f>-72-76</f>
        <v>-148</v>
      </c>
      <c r="AF103" s="104">
        <f>-77.4-81</f>
        <v>-158.4</v>
      </c>
      <c r="AG103" s="103">
        <v>240</v>
      </c>
      <c r="AH103" s="48">
        <f t="shared" si="16"/>
        <v>-27.8</v>
      </c>
      <c r="AI103" s="49">
        <f t="shared" si="17"/>
        <v>-158.4</v>
      </c>
    </row>
    <row r="104" spans="1:37" x14ac:dyDescent="0.25">
      <c r="A104" s="91" t="s">
        <v>108</v>
      </c>
      <c r="B104" s="104">
        <v>-9.5</v>
      </c>
      <c r="C104" s="104">
        <v>-14.6</v>
      </c>
      <c r="D104" s="104">
        <v>-16</v>
      </c>
      <c r="E104" s="104">
        <v>-13.9</v>
      </c>
      <c r="F104" s="104">
        <v>-13.9</v>
      </c>
      <c r="G104" s="104">
        <v>-13.9</v>
      </c>
      <c r="H104" s="104">
        <v>-10.199999999999999</v>
      </c>
      <c r="I104" s="104">
        <v>-5.5</v>
      </c>
      <c r="J104" s="104">
        <v>0.1</v>
      </c>
      <c r="K104" s="104">
        <v>5.7</v>
      </c>
      <c r="L104" s="104">
        <v>4.5</v>
      </c>
      <c r="M104" s="104">
        <v>5.7</v>
      </c>
      <c r="N104" s="104">
        <v>2.1</v>
      </c>
      <c r="O104" s="104">
        <v>4.8</v>
      </c>
      <c r="P104" s="104">
        <v>5.3</v>
      </c>
      <c r="Q104" s="104">
        <v>3</v>
      </c>
      <c r="R104" s="104">
        <v>0.6</v>
      </c>
      <c r="S104" s="104">
        <v>2.9</v>
      </c>
      <c r="T104" s="104">
        <v>0.2</v>
      </c>
      <c r="U104" s="104">
        <v>0.8</v>
      </c>
      <c r="V104" s="104">
        <v>10.9</v>
      </c>
      <c r="W104" s="104">
        <v>12.6</v>
      </c>
      <c r="X104" s="104">
        <v>18.399999999999999</v>
      </c>
      <c r="Y104" s="104">
        <v>15.9</v>
      </c>
      <c r="Z104" s="104">
        <v>13.2</v>
      </c>
      <c r="AA104" s="104">
        <v>8.6</v>
      </c>
      <c r="AB104" s="104">
        <v>6.4</v>
      </c>
      <c r="AC104" s="104">
        <v>5.5</v>
      </c>
      <c r="AD104" s="104">
        <v>3</v>
      </c>
      <c r="AE104" s="104">
        <v>-3.5</v>
      </c>
      <c r="AF104" s="104">
        <v>-10.1</v>
      </c>
      <c r="AG104" s="103">
        <v>60</v>
      </c>
      <c r="AH104" s="48">
        <f t="shared" si="16"/>
        <v>18.399999999999999</v>
      </c>
      <c r="AI104" s="49">
        <f t="shared" si="17"/>
        <v>-16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63.4</v>
      </c>
      <c r="M105" s="106">
        <v>59</v>
      </c>
      <c r="N105" s="106">
        <v>29.4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0</v>
      </c>
      <c r="Y105" s="106">
        <v>0</v>
      </c>
      <c r="Z105" s="106">
        <v>0</v>
      </c>
      <c r="AA105" s="106">
        <v>0</v>
      </c>
      <c r="AB105" s="106">
        <v>0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16"/>
        <v>63.4</v>
      </c>
      <c r="AI105" s="49">
        <f t="shared" si="17"/>
        <v>0</v>
      </c>
    </row>
    <row r="106" spans="1:37" x14ac:dyDescent="0.25">
      <c r="A106" s="105" t="s">
        <v>110</v>
      </c>
      <c r="B106" s="106">
        <v>-12.3</v>
      </c>
      <c r="C106" s="106">
        <v>-27.3</v>
      </c>
      <c r="D106" s="106">
        <v>-17.399999999999999</v>
      </c>
      <c r="E106" s="106">
        <v>-10.4</v>
      </c>
      <c r="F106" s="106">
        <v>-10.4</v>
      </c>
      <c r="G106" s="106">
        <v>-10.4</v>
      </c>
      <c r="H106" s="106">
        <v>-10.4</v>
      </c>
      <c r="I106" s="106">
        <v>8.1999999999999993</v>
      </c>
      <c r="J106" s="106">
        <v>17.899999999999999</v>
      </c>
      <c r="K106" s="106">
        <v>28.4</v>
      </c>
      <c r="L106" s="106">
        <v>39.6</v>
      </c>
      <c r="M106" s="106">
        <v>33</v>
      </c>
      <c r="N106" s="106">
        <v>15</v>
      </c>
      <c r="O106" s="106">
        <v>16.399999999999999</v>
      </c>
      <c r="P106" s="106">
        <v>6.4</v>
      </c>
      <c r="Q106" s="106">
        <v>-5.3</v>
      </c>
      <c r="R106" s="106">
        <v>-17.899999999999999</v>
      </c>
      <c r="S106" s="106">
        <v>-10</v>
      </c>
      <c r="T106" s="106">
        <v>-20</v>
      </c>
      <c r="U106" s="106">
        <v>-15.6</v>
      </c>
      <c r="V106" s="106">
        <v>11.2</v>
      </c>
      <c r="W106" s="106">
        <v>23.2</v>
      </c>
      <c r="X106" s="106">
        <v>53</v>
      </c>
      <c r="Y106" s="106">
        <v>23.9</v>
      </c>
      <c r="Z106" s="106">
        <v>1.4</v>
      </c>
      <c r="AA106" s="106">
        <v>-29.9</v>
      </c>
      <c r="AB106" s="106">
        <v>-32.299999999999997</v>
      </c>
      <c r="AC106" s="106">
        <v>-31.1</v>
      </c>
      <c r="AD106" s="106">
        <v>-36.4</v>
      </c>
      <c r="AE106" s="106">
        <v>-36.299999999999997</v>
      </c>
      <c r="AF106" s="106">
        <v>-18.2</v>
      </c>
      <c r="AG106" s="107"/>
      <c r="AH106" s="48">
        <f t="shared" si="16"/>
        <v>53</v>
      </c>
      <c r="AI106" s="49">
        <f t="shared" si="17"/>
        <v>-36.4</v>
      </c>
    </row>
    <row r="107" spans="1:37" x14ac:dyDescent="0.25">
      <c r="A107" s="105" t="s">
        <v>111</v>
      </c>
      <c r="B107" s="106">
        <v>-22</v>
      </c>
      <c r="C107" s="106">
        <v>-14.7</v>
      </c>
      <c r="D107" s="106">
        <v>-18.5</v>
      </c>
      <c r="E107" s="106">
        <v>-10</v>
      </c>
      <c r="F107" s="106">
        <v>-10</v>
      </c>
      <c r="G107" s="106">
        <v>-10</v>
      </c>
      <c r="H107" s="106">
        <v>-9.1999999999999993</v>
      </c>
      <c r="I107" s="106">
        <v>-10.1</v>
      </c>
      <c r="J107" s="106">
        <v>-7.1</v>
      </c>
      <c r="K107" s="106">
        <v>-1.9</v>
      </c>
      <c r="L107" s="106">
        <v>5.8</v>
      </c>
      <c r="M107" s="106">
        <v>3.3</v>
      </c>
      <c r="N107" s="106">
        <v>-10.1</v>
      </c>
      <c r="O107" s="106">
        <v>-19.5</v>
      </c>
      <c r="P107" s="106">
        <v>-13</v>
      </c>
      <c r="Q107" s="106">
        <v>-10.1</v>
      </c>
      <c r="R107" s="106">
        <v>-5.8</v>
      </c>
      <c r="S107" s="106" t="s">
        <v>250</v>
      </c>
      <c r="T107" s="106">
        <v>0</v>
      </c>
      <c r="U107" s="106">
        <v>8.4</v>
      </c>
      <c r="V107" s="106">
        <v>20.399999999999999</v>
      </c>
      <c r="W107" s="106">
        <v>23.7</v>
      </c>
      <c r="X107" s="106">
        <v>10.199999999999999</v>
      </c>
      <c r="Y107" s="106">
        <v>14</v>
      </c>
      <c r="Z107" s="106">
        <v>11.7</v>
      </c>
      <c r="AA107" s="106">
        <v>26.9</v>
      </c>
      <c r="AB107" s="106">
        <v>-17.3</v>
      </c>
      <c r="AC107" s="106">
        <v>-13</v>
      </c>
      <c r="AD107" s="106"/>
      <c r="AE107" s="106">
        <v>-4.8</v>
      </c>
      <c r="AF107" s="106"/>
      <c r="AG107" s="108"/>
      <c r="AH107" s="48">
        <f t="shared" si="16"/>
        <v>26.9</v>
      </c>
      <c r="AI107" s="49">
        <f t="shared" si="17"/>
        <v>-22</v>
      </c>
    </row>
    <row r="108" spans="1:37" x14ac:dyDescent="0.25">
      <c r="A108" s="109" t="s">
        <v>112</v>
      </c>
      <c r="B108" s="94">
        <v>92.3</v>
      </c>
      <c r="C108" s="94">
        <v>99.8</v>
      </c>
      <c r="D108" s="94">
        <v>96.6</v>
      </c>
      <c r="E108" s="94">
        <v>94.2</v>
      </c>
      <c r="F108" s="94">
        <v>94.2</v>
      </c>
      <c r="G108" s="94">
        <v>94.2</v>
      </c>
      <c r="H108" s="94">
        <v>94.2</v>
      </c>
      <c r="I108" s="94">
        <v>94.2</v>
      </c>
      <c r="J108" s="94">
        <v>81.5</v>
      </c>
      <c r="K108" s="94">
        <v>77.599999999999994</v>
      </c>
      <c r="L108" s="94">
        <v>73.5</v>
      </c>
      <c r="M108" s="94">
        <v>75</v>
      </c>
      <c r="N108" s="94">
        <v>79.900000000000006</v>
      </c>
      <c r="O108" s="94">
        <v>80.7</v>
      </c>
      <c r="P108" s="94">
        <v>78</v>
      </c>
      <c r="Q108" s="94">
        <v>83.4</v>
      </c>
      <c r="R108" s="94">
        <v>67.8</v>
      </c>
      <c r="S108" s="94">
        <v>78</v>
      </c>
      <c r="T108" s="94">
        <v>73.2</v>
      </c>
      <c r="U108" s="94">
        <v>75.2</v>
      </c>
      <c r="V108" s="94">
        <v>46.3</v>
      </c>
      <c r="W108" s="94">
        <v>44.5</v>
      </c>
      <c r="X108" s="94">
        <v>59</v>
      </c>
      <c r="Y108" s="94">
        <v>63.4</v>
      </c>
      <c r="Z108" s="94">
        <v>71.099999999999994</v>
      </c>
      <c r="AA108" s="94">
        <v>75.2</v>
      </c>
      <c r="AB108" s="94">
        <v>78.3</v>
      </c>
      <c r="AC108" s="94">
        <v>81</v>
      </c>
      <c r="AD108" s="94">
        <v>83.2</v>
      </c>
      <c r="AE108" s="94">
        <v>91</v>
      </c>
      <c r="AF108" s="94">
        <v>93</v>
      </c>
      <c r="AG108" s="108"/>
      <c r="AH108" s="48">
        <f t="shared" si="16"/>
        <v>99.8</v>
      </c>
      <c r="AI108" s="49">
        <f t="shared" si="17"/>
        <v>44.5</v>
      </c>
    </row>
    <row r="109" spans="1:37" ht="15.75" thickBot="1" x14ac:dyDescent="0.3">
      <c r="A109" s="109" t="s">
        <v>113</v>
      </c>
      <c r="B109" s="94">
        <v>101.5</v>
      </c>
      <c r="C109" s="94">
        <v>107.4</v>
      </c>
      <c r="D109" s="94">
        <v>105.4</v>
      </c>
      <c r="E109" s="94">
        <v>100.4</v>
      </c>
      <c r="F109" s="94">
        <v>101</v>
      </c>
      <c r="G109" s="94">
        <v>102</v>
      </c>
      <c r="H109" s="94">
        <v>92</v>
      </c>
      <c r="I109" s="94">
        <v>85</v>
      </c>
      <c r="J109" s="94">
        <v>65.599999999999994</v>
      </c>
      <c r="K109" s="94">
        <v>56.3</v>
      </c>
      <c r="L109" s="94">
        <v>47.7</v>
      </c>
      <c r="M109" s="94">
        <v>52</v>
      </c>
      <c r="N109" s="94">
        <v>69</v>
      </c>
      <c r="O109" s="94">
        <v>62.3</v>
      </c>
      <c r="P109" s="94">
        <v>73</v>
      </c>
      <c r="Q109" s="94">
        <v>85.7</v>
      </c>
      <c r="R109" s="94">
        <v>93.6</v>
      </c>
      <c r="S109" s="94">
        <v>101</v>
      </c>
      <c r="T109" s="94">
        <v>101</v>
      </c>
      <c r="U109" s="94">
        <v>99</v>
      </c>
      <c r="V109" s="94">
        <v>53.1</v>
      </c>
      <c r="W109" s="94">
        <v>46</v>
      </c>
      <c r="X109" s="94">
        <v>19.100000000000001</v>
      </c>
      <c r="Y109" s="94">
        <v>41</v>
      </c>
      <c r="Z109" s="94">
        <v>61.8</v>
      </c>
      <c r="AA109" s="94">
        <v>93.1</v>
      </c>
      <c r="AB109" s="94">
        <v>95</v>
      </c>
      <c r="AC109" s="94">
        <v>91.7</v>
      </c>
      <c r="AD109" s="94">
        <v>98.1</v>
      </c>
      <c r="AE109" s="94">
        <v>106</v>
      </c>
      <c r="AF109" s="94">
        <v>102</v>
      </c>
      <c r="AG109" s="108"/>
      <c r="AH109" s="48">
        <f t="shared" si="16"/>
        <v>107.4</v>
      </c>
      <c r="AI109" s="49">
        <f t="shared" si="17"/>
        <v>19.100000000000001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41">SUM(B111:B215)</f>
        <v>0</v>
      </c>
      <c r="C216" s="125">
        <f t="shared" si="41"/>
        <v>0</v>
      </c>
      <c r="D216" s="125">
        <f t="shared" si="41"/>
        <v>0</v>
      </c>
      <c r="E216" s="125">
        <f t="shared" si="41"/>
        <v>0</v>
      </c>
      <c r="F216" s="125">
        <f t="shared" si="41"/>
        <v>0</v>
      </c>
      <c r="G216" s="125">
        <f t="shared" si="41"/>
        <v>0</v>
      </c>
      <c r="H216" s="125">
        <f t="shared" si="41"/>
        <v>0</v>
      </c>
      <c r="I216" s="125">
        <f t="shared" si="41"/>
        <v>0</v>
      </c>
      <c r="J216" s="125">
        <f t="shared" si="41"/>
        <v>0</v>
      </c>
      <c r="K216" s="125">
        <f t="shared" si="41"/>
        <v>0</v>
      </c>
      <c r="L216" s="125">
        <f t="shared" si="41"/>
        <v>0</v>
      </c>
      <c r="M216" s="125">
        <f t="shared" si="41"/>
        <v>0</v>
      </c>
      <c r="N216" s="125">
        <f t="shared" si="41"/>
        <v>0</v>
      </c>
      <c r="O216" s="125">
        <f t="shared" si="41"/>
        <v>0</v>
      </c>
      <c r="P216" s="125">
        <f t="shared" si="41"/>
        <v>0</v>
      </c>
      <c r="Q216" s="125">
        <f t="shared" si="41"/>
        <v>0</v>
      </c>
      <c r="R216" s="125">
        <f t="shared" si="41"/>
        <v>0</v>
      </c>
      <c r="S216" s="125">
        <f t="shared" si="41"/>
        <v>0</v>
      </c>
      <c r="T216" s="125">
        <f t="shared" si="41"/>
        <v>0</v>
      </c>
      <c r="U216" s="125">
        <f t="shared" si="41"/>
        <v>0</v>
      </c>
      <c r="V216" s="125">
        <f t="shared" si="41"/>
        <v>0</v>
      </c>
      <c r="W216" s="125">
        <f t="shared" si="41"/>
        <v>0</v>
      </c>
      <c r="X216" s="125">
        <f t="shared" si="41"/>
        <v>0</v>
      </c>
      <c r="Y216" s="125">
        <f t="shared" si="41"/>
        <v>0</v>
      </c>
      <c r="Z216" s="125">
        <f t="shared" si="41"/>
        <v>0</v>
      </c>
      <c r="AA216" s="125">
        <f t="shared" si="41"/>
        <v>0</v>
      </c>
      <c r="AB216" s="125">
        <f t="shared" si="41"/>
        <v>0</v>
      </c>
      <c r="AC216" s="125">
        <f t="shared" si="41"/>
        <v>0</v>
      </c>
      <c r="AD216" s="125">
        <f t="shared" si="41"/>
        <v>0</v>
      </c>
      <c r="AE216" s="125">
        <f t="shared" si="41"/>
        <v>0</v>
      </c>
      <c r="AF216" s="126">
        <f t="shared" si="41"/>
        <v>0</v>
      </c>
      <c r="AG216" s="127">
        <f t="shared" si="41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42">AF218</f>
        <v>0</v>
      </c>
      <c r="C218" s="129">
        <v>0.3</v>
      </c>
      <c r="D218" s="129">
        <f t="shared" ref="D218:P223" si="43">C218</f>
        <v>0.3</v>
      </c>
      <c r="E218" s="129">
        <f t="shared" si="43"/>
        <v>0.3</v>
      </c>
      <c r="F218" s="129">
        <f t="shared" si="43"/>
        <v>0.3</v>
      </c>
      <c r="G218" s="129">
        <f t="shared" si="43"/>
        <v>0.3</v>
      </c>
      <c r="H218" s="129">
        <f t="shared" si="43"/>
        <v>0.3</v>
      </c>
      <c r="I218" s="129">
        <f t="shared" si="43"/>
        <v>0.3</v>
      </c>
      <c r="J218" s="129">
        <f t="shared" si="43"/>
        <v>0.3</v>
      </c>
      <c r="K218" s="129">
        <f t="shared" si="43"/>
        <v>0.3</v>
      </c>
      <c r="L218" s="129">
        <f t="shared" si="43"/>
        <v>0.3</v>
      </c>
      <c r="M218" s="129">
        <f t="shared" si="43"/>
        <v>0.3</v>
      </c>
      <c r="N218" s="129">
        <f t="shared" si="43"/>
        <v>0.3</v>
      </c>
      <c r="O218" s="129">
        <f t="shared" si="43"/>
        <v>0.3</v>
      </c>
      <c r="P218" s="129">
        <f t="shared" si="43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42"/>
        <v>0</v>
      </c>
      <c r="C219" s="117">
        <v>0.4</v>
      </c>
      <c r="D219" s="117">
        <f t="shared" si="43"/>
        <v>0.4</v>
      </c>
      <c r="E219" s="117">
        <f t="shared" si="43"/>
        <v>0.4</v>
      </c>
      <c r="F219" s="117">
        <f t="shared" si="43"/>
        <v>0.4</v>
      </c>
      <c r="G219" s="117">
        <f t="shared" si="43"/>
        <v>0.4</v>
      </c>
      <c r="H219" s="117">
        <f t="shared" si="43"/>
        <v>0.4</v>
      </c>
      <c r="I219" s="117">
        <f t="shared" si="43"/>
        <v>0.4</v>
      </c>
      <c r="J219" s="117">
        <f t="shared" si="43"/>
        <v>0.4</v>
      </c>
      <c r="K219" s="117">
        <f t="shared" si="43"/>
        <v>0.4</v>
      </c>
      <c r="L219" s="117">
        <f t="shared" si="43"/>
        <v>0.4</v>
      </c>
      <c r="M219" s="117">
        <f t="shared" si="43"/>
        <v>0.4</v>
      </c>
      <c r="N219" s="117">
        <f t="shared" si="43"/>
        <v>0.4</v>
      </c>
      <c r="O219" s="117">
        <f t="shared" si="43"/>
        <v>0.4</v>
      </c>
      <c r="P219" s="117">
        <f t="shared" si="43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42"/>
        <v>0</v>
      </c>
      <c r="C220" s="117">
        <v>1.5</v>
      </c>
      <c r="D220" s="117">
        <f t="shared" si="43"/>
        <v>1.5</v>
      </c>
      <c r="E220" s="117">
        <f t="shared" si="43"/>
        <v>1.5</v>
      </c>
      <c r="F220" s="117">
        <f t="shared" si="43"/>
        <v>1.5</v>
      </c>
      <c r="G220" s="117">
        <f t="shared" si="43"/>
        <v>1.5</v>
      </c>
      <c r="H220" s="117">
        <f t="shared" si="43"/>
        <v>1.5</v>
      </c>
      <c r="I220" s="117">
        <f t="shared" si="43"/>
        <v>1.5</v>
      </c>
      <c r="J220" s="117">
        <f t="shared" si="43"/>
        <v>1.5</v>
      </c>
      <c r="K220" s="117">
        <f t="shared" si="43"/>
        <v>1.5</v>
      </c>
      <c r="L220" s="117">
        <f t="shared" si="43"/>
        <v>1.5</v>
      </c>
      <c r="M220" s="117">
        <f t="shared" si="43"/>
        <v>1.5</v>
      </c>
      <c r="N220" s="117">
        <f t="shared" si="43"/>
        <v>1.5</v>
      </c>
      <c r="O220" s="117">
        <f t="shared" si="43"/>
        <v>1.5</v>
      </c>
      <c r="P220" s="117">
        <f t="shared" si="43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42"/>
        <v>0</v>
      </c>
      <c r="C221" s="117">
        <v>0.3</v>
      </c>
      <c r="D221" s="117">
        <f t="shared" si="43"/>
        <v>0.3</v>
      </c>
      <c r="E221" s="117">
        <f t="shared" si="43"/>
        <v>0.3</v>
      </c>
      <c r="F221" s="117">
        <f t="shared" si="43"/>
        <v>0.3</v>
      </c>
      <c r="G221" s="117">
        <f t="shared" si="43"/>
        <v>0.3</v>
      </c>
      <c r="H221" s="117">
        <f t="shared" si="43"/>
        <v>0.3</v>
      </c>
      <c r="I221" s="117">
        <f t="shared" si="43"/>
        <v>0.3</v>
      </c>
      <c r="J221" s="117">
        <f t="shared" si="43"/>
        <v>0.3</v>
      </c>
      <c r="K221" s="117">
        <f t="shared" si="43"/>
        <v>0.3</v>
      </c>
      <c r="L221" s="117">
        <f t="shared" si="43"/>
        <v>0.3</v>
      </c>
      <c r="M221" s="117">
        <f t="shared" si="43"/>
        <v>0.3</v>
      </c>
      <c r="N221" s="117">
        <f t="shared" si="43"/>
        <v>0.3</v>
      </c>
      <c r="O221" s="117">
        <f t="shared" si="43"/>
        <v>0.3</v>
      </c>
      <c r="P221" s="117">
        <f t="shared" si="43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42"/>
        <v>0</v>
      </c>
      <c r="C222" s="117">
        <v>0.4</v>
      </c>
      <c r="D222" s="117">
        <f t="shared" si="43"/>
        <v>0.4</v>
      </c>
      <c r="E222" s="117">
        <f t="shared" si="43"/>
        <v>0.4</v>
      </c>
      <c r="F222" s="117">
        <f t="shared" si="43"/>
        <v>0.4</v>
      </c>
      <c r="G222" s="117">
        <f t="shared" si="43"/>
        <v>0.4</v>
      </c>
      <c r="H222" s="117">
        <f t="shared" si="43"/>
        <v>0.4</v>
      </c>
      <c r="I222" s="117">
        <f t="shared" si="43"/>
        <v>0.4</v>
      </c>
      <c r="J222" s="117">
        <f t="shared" si="43"/>
        <v>0.4</v>
      </c>
      <c r="K222" s="117">
        <f t="shared" si="43"/>
        <v>0.4</v>
      </c>
      <c r="L222" s="117">
        <f t="shared" si="43"/>
        <v>0.4</v>
      </c>
      <c r="M222" s="117">
        <f t="shared" si="43"/>
        <v>0.4</v>
      </c>
      <c r="N222" s="117">
        <f t="shared" si="43"/>
        <v>0.4</v>
      </c>
      <c r="O222" s="117">
        <f t="shared" si="43"/>
        <v>0.4</v>
      </c>
      <c r="P222" s="117">
        <f t="shared" si="43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42"/>
        <v>0</v>
      </c>
      <c r="C223" s="121">
        <v>0.64</v>
      </c>
      <c r="D223" s="121">
        <f t="shared" si="43"/>
        <v>0.64</v>
      </c>
      <c r="E223" s="121">
        <f t="shared" si="43"/>
        <v>0.64</v>
      </c>
      <c r="F223" s="121">
        <f t="shared" si="43"/>
        <v>0.64</v>
      </c>
      <c r="G223" s="121">
        <f t="shared" si="43"/>
        <v>0.64</v>
      </c>
      <c r="H223" s="121">
        <f t="shared" si="43"/>
        <v>0.64</v>
      </c>
      <c r="I223" s="121">
        <f t="shared" si="43"/>
        <v>0.64</v>
      </c>
      <c r="J223" s="121">
        <f t="shared" si="43"/>
        <v>0.64</v>
      </c>
      <c r="K223" s="121">
        <f t="shared" si="43"/>
        <v>0.64</v>
      </c>
      <c r="L223" s="121">
        <f t="shared" si="43"/>
        <v>0.64</v>
      </c>
      <c r="M223" s="121">
        <f t="shared" si="43"/>
        <v>0.64</v>
      </c>
      <c r="N223" s="121">
        <f t="shared" si="43"/>
        <v>0.64</v>
      </c>
      <c r="O223" s="121">
        <f t="shared" si="43"/>
        <v>0.64</v>
      </c>
      <c r="P223" s="121">
        <f t="shared" si="43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44">SUM(B218:B223)</f>
        <v>0</v>
      </c>
      <c r="C224" s="125">
        <f t="shared" si="44"/>
        <v>3.54</v>
      </c>
      <c r="D224" s="125">
        <f t="shared" si="44"/>
        <v>3.54</v>
      </c>
      <c r="E224" s="125">
        <f t="shared" si="44"/>
        <v>3.54</v>
      </c>
      <c r="F224" s="125">
        <f t="shared" si="44"/>
        <v>3.54</v>
      </c>
      <c r="G224" s="125">
        <f t="shared" si="44"/>
        <v>3.54</v>
      </c>
      <c r="H224" s="125">
        <f t="shared" si="44"/>
        <v>3.54</v>
      </c>
      <c r="I224" s="125">
        <f t="shared" si="44"/>
        <v>3.54</v>
      </c>
      <c r="J224" s="125">
        <f t="shared" si="44"/>
        <v>3.54</v>
      </c>
      <c r="K224" s="125">
        <f t="shared" si="44"/>
        <v>3.54</v>
      </c>
      <c r="L224" s="125">
        <f t="shared" si="44"/>
        <v>3.54</v>
      </c>
      <c r="M224" s="125">
        <f t="shared" si="44"/>
        <v>3.54</v>
      </c>
      <c r="N224" s="125">
        <f t="shared" si="44"/>
        <v>3.54</v>
      </c>
      <c r="O224" s="125">
        <f t="shared" si="44"/>
        <v>3.54</v>
      </c>
      <c r="P224" s="125">
        <f t="shared" si="44"/>
        <v>3.54</v>
      </c>
      <c r="Q224" s="125">
        <f t="shared" si="44"/>
        <v>0</v>
      </c>
      <c r="R224" s="125">
        <f t="shared" si="44"/>
        <v>0</v>
      </c>
      <c r="S224" s="125">
        <f t="shared" si="44"/>
        <v>0</v>
      </c>
      <c r="T224" s="125">
        <f t="shared" si="44"/>
        <v>0</v>
      </c>
      <c r="U224" s="125">
        <f t="shared" si="44"/>
        <v>0</v>
      </c>
      <c r="V224" s="125">
        <f t="shared" si="44"/>
        <v>0</v>
      </c>
      <c r="W224" s="125">
        <f t="shared" si="44"/>
        <v>0</v>
      </c>
      <c r="X224" s="125">
        <f t="shared" si="44"/>
        <v>0</v>
      </c>
      <c r="Y224" s="125">
        <f t="shared" si="44"/>
        <v>0</v>
      </c>
      <c r="Z224" s="125">
        <f t="shared" si="44"/>
        <v>0</v>
      </c>
      <c r="AA224" s="125">
        <f t="shared" si="44"/>
        <v>0</v>
      </c>
      <c r="AB224" s="125">
        <f t="shared" si="44"/>
        <v>0</v>
      </c>
      <c r="AC224" s="125">
        <f t="shared" si="44"/>
        <v>0</v>
      </c>
      <c r="AD224" s="125">
        <f t="shared" si="44"/>
        <v>0</v>
      </c>
      <c r="AE224" s="125">
        <f t="shared" si="44"/>
        <v>0</v>
      </c>
      <c r="AF224" s="125">
        <f t="shared" si="44"/>
        <v>0</v>
      </c>
      <c r="AG224" s="134">
        <f t="shared" si="44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1606.04</v>
      </c>
      <c r="C233" s="150">
        <f>INDEX(G9:N9,1,MATCH(MAX(G81:N81),G81:N81,0))</f>
        <v>0.33333333333333331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21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2079/06/21)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2079/06/21)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45">B81</f>
        <v>1345.94</v>
      </c>
      <c r="U238" s="159">
        <f t="shared" si="45"/>
        <v>1339.1399999999999</v>
      </c>
      <c r="V238" s="159">
        <f t="shared" si="45"/>
        <v>1318.84</v>
      </c>
      <c r="W238" s="159">
        <f t="shared" si="45"/>
        <v>1318.84</v>
      </c>
      <c r="X238" s="159">
        <f t="shared" si="45"/>
        <v>1301.3399999999999</v>
      </c>
      <c r="Y238" s="159">
        <f t="shared" si="45"/>
        <v>1308.3399999999999</v>
      </c>
      <c r="Z238" s="159">
        <f t="shared" si="45"/>
        <v>1364.44</v>
      </c>
      <c r="AA238" s="159">
        <f t="shared" si="45"/>
        <v>1386.44</v>
      </c>
      <c r="AB238" s="159">
        <f t="shared" si="45"/>
        <v>1491.1399999999999</v>
      </c>
      <c r="AC238" s="159">
        <f t="shared" si="45"/>
        <v>1511.1399999999999</v>
      </c>
      <c r="AD238" s="159">
        <f t="shared" si="45"/>
        <v>1565.1399999999999</v>
      </c>
      <c r="AE238" s="159">
        <f t="shared" si="45"/>
        <v>1606.04</v>
      </c>
      <c r="AF238" s="159">
        <f t="shared" si="45"/>
        <v>1553.14</v>
      </c>
      <c r="AG238" s="159">
        <f t="shared" si="45"/>
        <v>1552.94</v>
      </c>
      <c r="AH238" s="159">
        <f t="shared" si="45"/>
        <v>1398.74</v>
      </c>
      <c r="AI238" s="159">
        <f t="shared" si="45"/>
        <v>1354.6399999999999</v>
      </c>
      <c r="AJ238" s="159">
        <f t="shared" si="45"/>
        <v>1364.44</v>
      </c>
      <c r="AK238" s="159">
        <f t="shared" si="45"/>
        <v>1383.54</v>
      </c>
      <c r="AL238" s="159">
        <f t="shared" si="45"/>
        <v>1398.24</v>
      </c>
      <c r="AM238" s="159">
        <f t="shared" si="45"/>
        <v>1382.04</v>
      </c>
      <c r="AN238" s="159">
        <f t="shared" si="45"/>
        <v>1452.04</v>
      </c>
      <c r="AO238" s="159">
        <f t="shared" si="45"/>
        <v>1589.34</v>
      </c>
      <c r="AP238" s="159">
        <f t="shared" si="45"/>
        <v>1756.9399999999998</v>
      </c>
      <c r="AQ238" s="159">
        <f t="shared" si="45"/>
        <v>1699.34</v>
      </c>
      <c r="AR238" s="159">
        <f t="shared" si="45"/>
        <v>1605.84</v>
      </c>
      <c r="AS238" s="159">
        <f t="shared" si="45"/>
        <v>1545.84</v>
      </c>
      <c r="AT238" s="159">
        <f t="shared" si="45"/>
        <v>1465.84</v>
      </c>
      <c r="AU238" s="159">
        <f t="shared" si="45"/>
        <v>1399.7399999999998</v>
      </c>
      <c r="AV238" s="159">
        <f t="shared" si="45"/>
        <v>1374.84</v>
      </c>
      <c r="AW238" s="159">
        <f t="shared" si="45"/>
        <v>1298.44</v>
      </c>
      <c r="AX238" s="159">
        <f t="shared" si="45"/>
        <v>1290.6399999999999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46">C223</f>
        <v>0.64</v>
      </c>
      <c r="C259" s="162">
        <f t="shared" si="46"/>
        <v>0.64</v>
      </c>
      <c r="D259" s="162">
        <f t="shared" si="46"/>
        <v>0.64</v>
      </c>
      <c r="E259" s="162">
        <f t="shared" si="46"/>
        <v>0.64</v>
      </c>
      <c r="F259" s="162">
        <f t="shared" si="46"/>
        <v>0.64</v>
      </c>
      <c r="G259" s="162">
        <f t="shared" si="46"/>
        <v>0.64</v>
      </c>
      <c r="H259" s="162">
        <f t="shared" si="46"/>
        <v>0.64</v>
      </c>
      <c r="I259" s="162">
        <f t="shared" si="46"/>
        <v>0.64</v>
      </c>
      <c r="J259" s="162">
        <f t="shared" si="46"/>
        <v>0.64</v>
      </c>
      <c r="K259" s="162">
        <f t="shared" si="46"/>
        <v>0.64</v>
      </c>
      <c r="L259" s="162">
        <f t="shared" si="46"/>
        <v>0.64</v>
      </c>
      <c r="M259" s="162">
        <f t="shared" si="46"/>
        <v>0.64</v>
      </c>
      <c r="N259" s="162">
        <f t="shared" si="46"/>
        <v>0.64</v>
      </c>
      <c r="O259" s="162">
        <f t="shared" si="46"/>
        <v>0.64</v>
      </c>
      <c r="P259" s="162">
        <f t="shared" si="46"/>
        <v>0</v>
      </c>
      <c r="Q259" s="162">
        <f t="shared" si="46"/>
        <v>0</v>
      </c>
      <c r="R259" s="162">
        <f t="shared" si="46"/>
        <v>0</v>
      </c>
      <c r="S259" s="162">
        <f t="shared" si="46"/>
        <v>0</v>
      </c>
      <c r="T259" s="162">
        <f t="shared" si="46"/>
        <v>0</v>
      </c>
      <c r="U259" s="162">
        <f t="shared" si="46"/>
        <v>0</v>
      </c>
      <c r="V259" s="162">
        <f t="shared" si="46"/>
        <v>0</v>
      </c>
      <c r="W259" s="162">
        <f t="shared" si="46"/>
        <v>0</v>
      </c>
      <c r="X259" s="162">
        <f t="shared" si="46"/>
        <v>0</v>
      </c>
      <c r="Y259" s="162">
        <f t="shared" si="46"/>
        <v>0</v>
      </c>
      <c r="Z259" s="162">
        <f t="shared" si="46"/>
        <v>0</v>
      </c>
      <c r="AA259" s="162">
        <f t="shared" si="46"/>
        <v>0</v>
      </c>
      <c r="AB259" s="162">
        <f t="shared" si="46"/>
        <v>0</v>
      </c>
      <c r="AC259" s="162">
        <f t="shared" si="46"/>
        <v>0</v>
      </c>
      <c r="AD259" s="162">
        <f t="shared" si="46"/>
        <v>0</v>
      </c>
      <c r="AE259" s="162">
        <f t="shared" si="46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47">IF(B227&lt;100,"",B227-520)</f>
        <v/>
      </c>
      <c r="C260" s="163" t="str">
        <f t="shared" si="47"/>
        <v/>
      </c>
      <c r="D260" s="163" t="str">
        <f t="shared" si="47"/>
        <v/>
      </c>
      <c r="E260" s="163" t="str">
        <f t="shared" si="47"/>
        <v/>
      </c>
      <c r="F260" s="163" t="str">
        <f t="shared" si="47"/>
        <v/>
      </c>
      <c r="G260" s="163" t="str">
        <f t="shared" si="47"/>
        <v/>
      </c>
      <c r="H260" s="163" t="str">
        <f t="shared" si="47"/>
        <v/>
      </c>
      <c r="I260" s="163" t="str">
        <f t="shared" si="47"/>
        <v/>
      </c>
      <c r="J260" s="163" t="str">
        <f t="shared" si="47"/>
        <v/>
      </c>
      <c r="K260" s="163" t="str">
        <f t="shared" si="47"/>
        <v/>
      </c>
      <c r="L260" s="163" t="str">
        <f t="shared" si="47"/>
        <v/>
      </c>
      <c r="M260" s="163" t="str">
        <f t="shared" si="47"/>
        <v/>
      </c>
      <c r="N260" s="163" t="str">
        <f t="shared" si="47"/>
        <v/>
      </c>
      <c r="O260" s="163" t="str">
        <f t="shared" si="47"/>
        <v/>
      </c>
      <c r="P260" s="163" t="str">
        <f t="shared" si="47"/>
        <v/>
      </c>
      <c r="Q260" s="163" t="str">
        <f t="shared" si="47"/>
        <v/>
      </c>
      <c r="R260" s="163" t="str">
        <f t="shared" si="47"/>
        <v/>
      </c>
      <c r="S260" s="163" t="str">
        <f t="shared" si="47"/>
        <v/>
      </c>
      <c r="T260" s="163" t="str">
        <f t="shared" si="47"/>
        <v/>
      </c>
      <c r="U260" s="163" t="str">
        <f t="shared" si="47"/>
        <v/>
      </c>
      <c r="V260" s="163" t="str">
        <f t="shared" si="47"/>
        <v/>
      </c>
      <c r="W260" s="163" t="str">
        <f t="shared" si="47"/>
        <v/>
      </c>
      <c r="X260" s="163" t="str">
        <f t="shared" si="47"/>
        <v/>
      </c>
      <c r="Y260" s="163" t="str">
        <f t="shared" si="47"/>
        <v/>
      </c>
      <c r="Z260" s="163" t="str">
        <f t="shared" si="47"/>
        <v/>
      </c>
      <c r="AA260" s="163" t="str">
        <f t="shared" si="47"/>
        <v/>
      </c>
      <c r="AB260" s="163" t="str">
        <f t="shared" si="47"/>
        <v/>
      </c>
      <c r="AC260" s="163" t="str">
        <f t="shared" si="47"/>
        <v/>
      </c>
      <c r="AD260" s="163" t="str">
        <f t="shared" si="47"/>
        <v/>
      </c>
      <c r="AE260" s="163" t="str">
        <f t="shared" si="47"/>
        <v/>
      </c>
      <c r="AF260" s="163" t="str">
        <f t="shared" si="47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48">IF(B228&lt;100,"",B228-620)</f>
        <v/>
      </c>
      <c r="C261" s="163" t="str">
        <f t="shared" si="48"/>
        <v/>
      </c>
      <c r="D261" s="163" t="str">
        <f t="shared" si="48"/>
        <v/>
      </c>
      <c r="E261" s="163" t="str">
        <f t="shared" si="48"/>
        <v/>
      </c>
      <c r="F261" s="163" t="str">
        <f t="shared" si="48"/>
        <v/>
      </c>
      <c r="G261" s="163" t="str">
        <f t="shared" si="48"/>
        <v/>
      </c>
      <c r="H261" s="163" t="str">
        <f t="shared" si="48"/>
        <v/>
      </c>
      <c r="I261" s="163" t="str">
        <f t="shared" si="48"/>
        <v/>
      </c>
      <c r="J261" s="163" t="str">
        <f t="shared" si="48"/>
        <v/>
      </c>
      <c r="K261" s="163" t="str">
        <f t="shared" si="48"/>
        <v/>
      </c>
      <c r="L261" s="163" t="str">
        <f t="shared" si="48"/>
        <v/>
      </c>
      <c r="M261" s="163" t="str">
        <f t="shared" si="48"/>
        <v/>
      </c>
      <c r="N261" s="163" t="str">
        <f t="shared" si="48"/>
        <v/>
      </c>
      <c r="O261" s="163" t="str">
        <f t="shared" si="48"/>
        <v/>
      </c>
      <c r="P261" s="163" t="str">
        <f t="shared" si="48"/>
        <v/>
      </c>
      <c r="Q261" s="163" t="str">
        <f t="shared" si="48"/>
        <v/>
      </c>
      <c r="R261" s="163" t="str">
        <f t="shared" si="48"/>
        <v/>
      </c>
      <c r="S261" s="163" t="str">
        <f t="shared" si="48"/>
        <v/>
      </c>
      <c r="T261" s="163" t="str">
        <f t="shared" si="48"/>
        <v/>
      </c>
      <c r="U261" s="163" t="str">
        <f t="shared" si="48"/>
        <v/>
      </c>
      <c r="V261" s="163" t="str">
        <f t="shared" si="48"/>
        <v/>
      </c>
      <c r="W261" s="163" t="str">
        <f t="shared" si="48"/>
        <v/>
      </c>
      <c r="X261" s="163" t="str">
        <f t="shared" si="48"/>
        <v/>
      </c>
      <c r="Y261" s="163" t="str">
        <f t="shared" si="48"/>
        <v/>
      </c>
      <c r="Z261" s="163" t="str">
        <f t="shared" si="48"/>
        <v/>
      </c>
      <c r="AA261" s="163" t="str">
        <f t="shared" si="48"/>
        <v/>
      </c>
      <c r="AB261" s="163" t="str">
        <f t="shared" si="48"/>
        <v/>
      </c>
      <c r="AC261" s="163" t="str">
        <f t="shared" si="48"/>
        <v/>
      </c>
      <c r="AD261" s="163" t="str">
        <f t="shared" si="48"/>
        <v/>
      </c>
      <c r="AE261" s="163" t="str">
        <f t="shared" si="48"/>
        <v/>
      </c>
      <c r="AF261" s="163" t="str">
        <f t="shared" si="48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49">IF(B229&lt;100,"",B229-330)</f>
        <v/>
      </c>
      <c r="C262" s="163" t="str">
        <f t="shared" si="49"/>
        <v/>
      </c>
      <c r="D262" s="163" t="str">
        <f t="shared" si="49"/>
        <v/>
      </c>
      <c r="E262" s="163" t="str">
        <f t="shared" si="49"/>
        <v/>
      </c>
      <c r="F262" s="163" t="str">
        <f t="shared" si="49"/>
        <v/>
      </c>
      <c r="G262" s="163" t="str">
        <f t="shared" si="49"/>
        <v/>
      </c>
      <c r="H262" s="163" t="str">
        <f t="shared" si="49"/>
        <v/>
      </c>
      <c r="I262" s="163" t="str">
        <f t="shared" si="49"/>
        <v/>
      </c>
      <c r="J262" s="163" t="str">
        <f t="shared" si="49"/>
        <v/>
      </c>
      <c r="K262" s="163" t="str">
        <f t="shared" si="49"/>
        <v/>
      </c>
      <c r="L262" s="163" t="str">
        <f t="shared" si="49"/>
        <v/>
      </c>
      <c r="M262" s="163" t="str">
        <f t="shared" si="49"/>
        <v/>
      </c>
      <c r="N262" s="163" t="str">
        <f t="shared" si="49"/>
        <v/>
      </c>
      <c r="O262" s="163" t="str">
        <f t="shared" si="49"/>
        <v/>
      </c>
      <c r="P262" s="163" t="str">
        <f t="shared" si="49"/>
        <v/>
      </c>
      <c r="Q262" s="163" t="str">
        <f t="shared" si="49"/>
        <v/>
      </c>
      <c r="R262" s="163" t="str">
        <f t="shared" si="49"/>
        <v/>
      </c>
      <c r="S262" s="163" t="str">
        <f t="shared" si="49"/>
        <v/>
      </c>
      <c r="T262" s="163" t="str">
        <f t="shared" si="49"/>
        <v/>
      </c>
      <c r="U262" s="163" t="str">
        <f t="shared" si="49"/>
        <v/>
      </c>
      <c r="V262" s="163" t="str">
        <f t="shared" si="49"/>
        <v/>
      </c>
      <c r="W262" s="163" t="str">
        <f t="shared" si="49"/>
        <v/>
      </c>
      <c r="X262" s="163" t="str">
        <f t="shared" si="49"/>
        <v/>
      </c>
      <c r="Y262" s="163" t="str">
        <f t="shared" si="49"/>
        <v/>
      </c>
      <c r="Z262" s="163" t="str">
        <f t="shared" si="49"/>
        <v/>
      </c>
      <c r="AA262" s="163" t="str">
        <f t="shared" si="49"/>
        <v/>
      </c>
      <c r="AB262" s="163" t="str">
        <f t="shared" si="49"/>
        <v/>
      </c>
      <c r="AC262" s="163" t="str">
        <f t="shared" si="49"/>
        <v/>
      </c>
      <c r="AD262" s="163" t="str">
        <f t="shared" si="49"/>
        <v/>
      </c>
      <c r="AE262" s="163" t="str">
        <f t="shared" si="49"/>
        <v/>
      </c>
      <c r="AF262" s="163" t="str">
        <f t="shared" si="49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50">IF(B230&lt;100,"",B230-1500)</f>
        <v/>
      </c>
      <c r="C263" s="163" t="str">
        <f t="shared" si="50"/>
        <v/>
      </c>
      <c r="D263" s="163" t="str">
        <f t="shared" si="50"/>
        <v/>
      </c>
      <c r="E263" s="163" t="str">
        <f t="shared" si="50"/>
        <v/>
      </c>
      <c r="F263" s="163" t="str">
        <f t="shared" si="50"/>
        <v/>
      </c>
      <c r="G263" s="163" t="str">
        <f t="shared" si="50"/>
        <v/>
      </c>
      <c r="H263" s="163" t="str">
        <f t="shared" si="50"/>
        <v/>
      </c>
      <c r="I263" s="163" t="str">
        <f t="shared" si="50"/>
        <v/>
      </c>
      <c r="J263" s="163" t="str">
        <f t="shared" si="50"/>
        <v/>
      </c>
      <c r="K263" s="163" t="str">
        <f t="shared" si="50"/>
        <v/>
      </c>
      <c r="L263" s="163" t="str">
        <f t="shared" si="50"/>
        <v/>
      </c>
      <c r="M263" s="163" t="str">
        <f t="shared" si="50"/>
        <v/>
      </c>
      <c r="N263" s="163" t="str">
        <f t="shared" si="50"/>
        <v/>
      </c>
      <c r="O263" s="163" t="str">
        <f t="shared" si="50"/>
        <v/>
      </c>
      <c r="P263" s="163" t="str">
        <f t="shared" si="50"/>
        <v/>
      </c>
      <c r="Q263" s="163" t="str">
        <f t="shared" si="50"/>
        <v/>
      </c>
      <c r="R263" s="163" t="str">
        <f t="shared" si="50"/>
        <v/>
      </c>
      <c r="S263" s="163" t="str">
        <f t="shared" si="50"/>
        <v/>
      </c>
      <c r="T263" s="163" t="str">
        <f t="shared" si="50"/>
        <v/>
      </c>
      <c r="U263" s="163" t="str">
        <f t="shared" si="50"/>
        <v/>
      </c>
      <c r="V263" s="163" t="str">
        <f t="shared" si="50"/>
        <v/>
      </c>
      <c r="W263" s="163" t="str">
        <f t="shared" si="50"/>
        <v/>
      </c>
      <c r="X263" s="163" t="str">
        <f t="shared" si="50"/>
        <v/>
      </c>
      <c r="Y263" s="163" t="str">
        <f t="shared" si="50"/>
        <v/>
      </c>
      <c r="Z263" s="163" t="str">
        <f t="shared" si="50"/>
        <v/>
      </c>
      <c r="AA263" s="163" t="str">
        <f t="shared" si="50"/>
        <v/>
      </c>
      <c r="AB263" s="163" t="str">
        <f t="shared" si="50"/>
        <v/>
      </c>
      <c r="AC263" s="163" t="str">
        <f t="shared" si="50"/>
        <v/>
      </c>
      <c r="AD263" s="163" t="str">
        <f t="shared" si="50"/>
        <v/>
      </c>
      <c r="AE263" s="163" t="str">
        <f t="shared" si="50"/>
        <v/>
      </c>
      <c r="AF263" s="163" t="str">
        <f t="shared" si="50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5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54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X11:AF11 M16:AF16 M20:AF23">
    <cfRule type="expression" dxfId="5021" priority="350">
      <formula>B$9&gt;=20/24</formula>
    </cfRule>
    <cfRule type="expression" dxfId="5020" priority="351">
      <formula>AND(B$9&gt;=14/24,B$9&lt;20/24)</formula>
    </cfRule>
    <cfRule type="expression" dxfId="5019" priority="352">
      <formula>AND(B$9&gt;=8/24,B$9&lt;14/24)</formula>
    </cfRule>
    <cfRule type="expression" dxfId="5018" priority="353">
      <formula>B$9&lt;8/24</formula>
    </cfRule>
  </conditionalFormatting>
  <conditionalFormatting sqref="AL4:AL6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5017" priority="345">
      <formula>S$9&gt;=20/24</formula>
    </cfRule>
    <cfRule type="expression" dxfId="5016" priority="346">
      <formula>AND(S$9&gt;=14/24,S$9&lt;20/24)</formula>
    </cfRule>
    <cfRule type="expression" dxfId="5015" priority="347">
      <formula>AND(S$9&gt;=8/24,S$9&lt;14/24)</formula>
    </cfRule>
    <cfRule type="expression" dxfId="5014" priority="348">
      <formula>S$9&lt;8/24</formula>
    </cfRule>
  </conditionalFormatting>
  <conditionalFormatting sqref="AG57 S11:V11 M12:V16 S39:AF39 M18:AF18 W11:AF16 M37:AF37 M20:AF23">
    <cfRule type="expression" dxfId="5013" priority="344">
      <formula>M11&gt;$AG11</formula>
    </cfRule>
  </conditionalFormatting>
  <conditionalFormatting sqref="A91:A101 A11:A14 A51:A78 A87:A89 A194:A224 A38:A49 A110:A181 A34:A35 A83:A85 A80:A81 A103:A105 A31:A32 A18:A29 A16">
    <cfRule type="expression" dxfId="5012" priority="343">
      <formula>$AH11=0</formula>
    </cfRule>
  </conditionalFormatting>
  <conditionalFormatting sqref="A106">
    <cfRule type="expression" dxfId="5011" priority="342">
      <formula>$AH106=0</formula>
    </cfRule>
  </conditionalFormatting>
  <conditionalFormatting sqref="AL35">
    <cfRule type="iconSet" priority="3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5010" priority="340">
      <formula>$AH37=0</formula>
    </cfRule>
  </conditionalFormatting>
  <conditionalFormatting sqref="A90">
    <cfRule type="expression" dxfId="5009" priority="339">
      <formula>$AH90=0</formula>
    </cfRule>
  </conditionalFormatting>
  <conditionalFormatting sqref="A15">
    <cfRule type="expression" dxfId="5008" priority="338">
      <formula>$AH15=0</formula>
    </cfRule>
  </conditionalFormatting>
  <conditionalFormatting sqref="A188:A193">
    <cfRule type="expression" dxfId="5007" priority="337">
      <formula>$AH188=0</formula>
    </cfRule>
  </conditionalFormatting>
  <conditionalFormatting sqref="A182:A187">
    <cfRule type="expression" dxfId="5006" priority="336">
      <formula>$AH182=0</formula>
    </cfRule>
  </conditionalFormatting>
  <conditionalFormatting sqref="A50">
    <cfRule type="expression" dxfId="5005" priority="335">
      <formula>$AH50=0</formula>
    </cfRule>
  </conditionalFormatting>
  <conditionalFormatting sqref="A86">
    <cfRule type="expression" dxfId="5004" priority="334">
      <formula>$AH86=0</formula>
    </cfRule>
  </conditionalFormatting>
  <conditionalFormatting sqref="C91:AF91">
    <cfRule type="expression" dxfId="5003" priority="330">
      <formula>C$9&gt;=20/24</formula>
    </cfRule>
    <cfRule type="expression" dxfId="5002" priority="331">
      <formula>AND(C$9&gt;=14/24,C$9&lt;20/24)</formula>
    </cfRule>
    <cfRule type="expression" dxfId="5001" priority="332">
      <formula>AND(C$9&gt;=8/24,C$9&lt;14/24)</formula>
    </cfRule>
    <cfRule type="expression" dxfId="5000" priority="333">
      <formula>C$9&lt;8/24</formula>
    </cfRule>
  </conditionalFormatting>
  <conditionalFormatting sqref="AL36">
    <cfRule type="iconSet" priority="32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999" priority="356">
      <formula>C$9&gt;=20/24</formula>
    </cfRule>
    <cfRule type="expression" dxfId="4998" priority="357">
      <formula>AND(C$9&gt;=14/24,C$9&lt;20/24)</formula>
    </cfRule>
    <cfRule type="expression" dxfId="4997" priority="358">
      <formula>AND(C$9&gt;=8/24,C$9&lt;14/24)</formula>
    </cfRule>
    <cfRule type="expression" dxfId="4996" priority="359">
      <formula>C$9&lt;8/24</formula>
    </cfRule>
  </conditionalFormatting>
  <conditionalFormatting sqref="A225">
    <cfRule type="expression" dxfId="4995" priority="360">
      <formula>$AH225=0</formula>
    </cfRule>
  </conditionalFormatting>
  <conditionalFormatting sqref="AG237">
    <cfRule type="expression" dxfId="4994" priority="361">
      <formula>B$9&gt;=20/24</formula>
    </cfRule>
    <cfRule type="expression" dxfId="4993" priority="362">
      <formula>AND(B$9&gt;=14/24,B$9&lt;20/24)</formula>
    </cfRule>
    <cfRule type="expression" dxfId="4992" priority="363">
      <formula>AND(B$9&gt;=8/24,B$9&lt;14/24)</formula>
    </cfRule>
    <cfRule type="expression" dxfId="4991" priority="364">
      <formula>B$9&lt;8/24</formula>
    </cfRule>
  </conditionalFormatting>
  <conditionalFormatting sqref="S8">
    <cfRule type="expression" dxfId="4990" priority="325">
      <formula>U$9&gt;=20/24</formula>
    </cfRule>
    <cfRule type="expression" dxfId="4989" priority="326">
      <formula>AND(U$9&gt;=14/24,U$9&lt;20/24)</formula>
    </cfRule>
    <cfRule type="expression" dxfId="4988" priority="327">
      <formula>AND(U$9&gt;=8/24,U$9&lt;14/24)</formula>
    </cfRule>
    <cfRule type="expression" dxfId="4987" priority="328">
      <formula>U$9&lt;8/24</formula>
    </cfRule>
  </conditionalFormatting>
  <conditionalFormatting sqref="AB8">
    <cfRule type="expression" dxfId="4986" priority="321">
      <formula>AD$9&gt;=20/24</formula>
    </cfRule>
    <cfRule type="expression" dxfId="4985" priority="322">
      <formula>AND(AD$9&gt;=14/24,AD$9&lt;20/24)</formula>
    </cfRule>
    <cfRule type="expression" dxfId="4984" priority="323">
      <formula>AND(AD$9&gt;=8/24,AD$9&lt;14/24)</formula>
    </cfRule>
    <cfRule type="expression" dxfId="4983" priority="324">
      <formula>AD$9&lt;8/24</formula>
    </cfRule>
  </conditionalFormatting>
  <conditionalFormatting sqref="AH237:AX237">
    <cfRule type="expression" dxfId="4982" priority="365">
      <formula>AG$9&gt;=20/24</formula>
    </cfRule>
    <cfRule type="expression" dxfId="4981" priority="366">
      <formula>AND(AG$9&gt;=14/24,AG$9&lt;20/24)</formula>
    </cfRule>
    <cfRule type="expression" dxfId="4980" priority="367">
      <formula>AND(AG$9&gt;=8/24,AG$9&lt;14/24)</formula>
    </cfRule>
    <cfRule type="expression" dxfId="4979" priority="368">
      <formula>AG$9&lt;8/24</formula>
    </cfRule>
  </conditionalFormatting>
  <conditionalFormatting sqref="T237">
    <cfRule type="expression" dxfId="4978" priority="369">
      <formula>AX$9&gt;=20/24</formula>
    </cfRule>
    <cfRule type="expression" dxfId="4977" priority="370">
      <formula>AND(AX$9&gt;=14/24,AX$9&lt;20/24)</formula>
    </cfRule>
    <cfRule type="expression" dxfId="4976" priority="371">
      <formula>AND(AX$9&gt;=8/24,AX$9&lt;14/24)</formula>
    </cfRule>
    <cfRule type="expression" dxfId="4975" priority="372">
      <formula>AX$9&lt;8/24</formula>
    </cfRule>
  </conditionalFormatting>
  <conditionalFormatting sqref="A107:A108">
    <cfRule type="expression" dxfId="4974" priority="320">
      <formula>$AH107=0</formula>
    </cfRule>
  </conditionalFormatting>
  <conditionalFormatting sqref="M46:M49 N48:N49 O49 AB38:AF38 M63:AF63">
    <cfRule type="expression" dxfId="4973" priority="316">
      <formula>M$9&gt;=20/24</formula>
    </cfRule>
    <cfRule type="expression" dxfId="4972" priority="317">
      <formula>AND(M$9&gt;=14/24,M$9&lt;20/24)</formula>
    </cfRule>
    <cfRule type="expression" dxfId="4971" priority="318">
      <formula>AND(M$9&gt;=8/24,M$9&lt;14/24)</formula>
    </cfRule>
    <cfRule type="expression" dxfId="4970" priority="319">
      <formula>M$9&lt;8/24</formula>
    </cfRule>
  </conditionalFormatting>
  <conditionalFormatting sqref="M46:M49 N48:N49 O49 AB38:AF38">
    <cfRule type="expression" dxfId="4969" priority="311">
      <formula>M38&gt;$AG38</formula>
    </cfRule>
  </conditionalFormatting>
  <conditionalFormatting sqref="C88:AF88 T38:AA38 D92:AF98 F65:L65 M39:R39 M64:S65 S11:W14 C75:AF78 S59:AF61 X12:AF14 S18:AF18 X29:AF29 X31:AF34 X25:AF27 T64:AF73">
    <cfRule type="expression" dxfId="4968" priority="307">
      <formula>C$9&gt;=20/24</formula>
    </cfRule>
    <cfRule type="expression" dxfId="4967" priority="308">
      <formula>AND(C$9&gt;=14/24,C$9&lt;20/24)</formula>
    </cfRule>
    <cfRule type="expression" dxfId="4966" priority="309">
      <formula>AND(C$9&gt;=8/24,C$9&lt;14/24)</formula>
    </cfRule>
    <cfRule type="expression" dxfId="4965" priority="310">
      <formula>C$9&lt;8/24</formula>
    </cfRule>
  </conditionalFormatting>
  <conditionalFormatting sqref="X35:AF35">
    <cfRule type="expression" dxfId="4964" priority="303">
      <formula>X$9&gt;=20/24</formula>
    </cfRule>
    <cfRule type="expression" dxfId="4963" priority="304">
      <formula>AND(X$9&gt;=14/24,X$9&lt;20/24)</formula>
    </cfRule>
    <cfRule type="expression" dxfId="4962" priority="305">
      <formula>AND(X$9&gt;=8/24,X$9&lt;14/24)</formula>
    </cfRule>
    <cfRule type="expression" dxfId="4961" priority="306">
      <formula>X$9&lt;8/24</formula>
    </cfRule>
  </conditionalFormatting>
  <conditionalFormatting sqref="C57:AF57 T38:AA38 M39:R39 S11:W11 S59:AF61 X31:AF35 X25:AF29">
    <cfRule type="expression" dxfId="4960" priority="302">
      <formula>C11&gt;$AG11</formula>
    </cfRule>
  </conditionalFormatting>
  <conditionalFormatting sqref="X37:AF37">
    <cfRule type="expression" dxfId="4959" priority="298">
      <formula>X$9&gt;=20/24</formula>
    </cfRule>
    <cfRule type="expression" dxfId="4958" priority="299">
      <formula>AND(X$9&gt;=14/24,X$9&lt;20/24)</formula>
    </cfRule>
    <cfRule type="expression" dxfId="4957" priority="300">
      <formula>AND(X$9&gt;=8/24,X$9&lt;14/24)</formula>
    </cfRule>
    <cfRule type="expression" dxfId="4956" priority="301">
      <formula>X$9&lt;8/24</formula>
    </cfRule>
  </conditionalFormatting>
  <conditionalFormatting sqref="S15:AF15">
    <cfRule type="expression" dxfId="4955" priority="294">
      <formula>S$9&gt;=20/24</formula>
    </cfRule>
    <cfRule type="expression" dxfId="4954" priority="295">
      <formula>AND(S$9&gt;=14/24,S$9&lt;20/24)</formula>
    </cfRule>
    <cfRule type="expression" dxfId="4953" priority="296">
      <formula>AND(S$9&gt;=8/24,S$9&lt;14/24)</formula>
    </cfRule>
    <cfRule type="expression" dxfId="4952" priority="297">
      <formula>S$9&lt;8/24</formula>
    </cfRule>
  </conditionalFormatting>
  <conditionalFormatting sqref="X36:AF36">
    <cfRule type="expression" dxfId="4951" priority="290">
      <formula>X$9&gt;=20/24</formula>
    </cfRule>
    <cfRule type="expression" dxfId="4950" priority="291">
      <formula>AND(X$9&gt;=14/24,X$9&lt;20/24)</formula>
    </cfRule>
    <cfRule type="expression" dxfId="4949" priority="292">
      <formula>AND(X$9&gt;=8/24,X$9&lt;14/24)</formula>
    </cfRule>
    <cfRule type="expression" dxfId="4948" priority="293">
      <formula>X$9&lt;8/24</formula>
    </cfRule>
  </conditionalFormatting>
  <conditionalFormatting sqref="X36:AF36">
    <cfRule type="expression" dxfId="4947" priority="289">
      <formula>X36&gt;$AG36</formula>
    </cfRule>
  </conditionalFormatting>
  <conditionalFormatting sqref="M45:N45 N46:N47 O45:P48 P49 Q45:AF49">
    <cfRule type="expression" dxfId="4946" priority="280">
      <formula>M$9&gt;=20/24</formula>
    </cfRule>
    <cfRule type="expression" dxfId="4945" priority="281">
      <formula>AND(M$9&gt;=14/24,M$9&lt;20/24)</formula>
    </cfRule>
    <cfRule type="expression" dxfId="4944" priority="282">
      <formula>AND(M$9&gt;=8/24,M$9&lt;14/24)</formula>
    </cfRule>
    <cfRule type="expression" dxfId="4943" priority="283">
      <formula>M$9&lt;8/24</formula>
    </cfRule>
  </conditionalFormatting>
  <conditionalFormatting sqref="M45:N45 N46:N47 O45:P48 P49 Q45:AF49">
    <cfRule type="expression" dxfId="4942" priority="279">
      <formula>M45&gt;$AG45</formula>
    </cfRule>
  </conditionalFormatting>
  <conditionalFormatting sqref="X28:AF28">
    <cfRule type="expression" dxfId="4941" priority="275">
      <formula>X$9&gt;=20/24</formula>
    </cfRule>
    <cfRule type="expression" dxfId="4940" priority="276">
      <formula>AND(X$9&gt;=14/24,X$9&lt;20/24)</formula>
    </cfRule>
    <cfRule type="expression" dxfId="4939" priority="277">
      <formula>AND(X$9&gt;=8/24,X$9&lt;14/24)</formula>
    </cfRule>
    <cfRule type="expression" dxfId="4938" priority="278">
      <formula>X$9&lt;8/24</formula>
    </cfRule>
  </conditionalFormatting>
  <conditionalFormatting sqref="M31:W31 X19:AF19 X24:AF24">
    <cfRule type="expression" dxfId="4937" priority="271">
      <formula>M$9&gt;=20/24</formula>
    </cfRule>
    <cfRule type="expression" dxfId="4936" priority="272">
      <formula>AND(M$9&gt;=14/24,M$9&lt;20/24)</formula>
    </cfRule>
    <cfRule type="expression" dxfId="4935" priority="273">
      <formula>AND(M$9&gt;=8/24,M$9&lt;14/24)</formula>
    </cfRule>
    <cfRule type="expression" dxfId="4934" priority="274">
      <formula>M$9&lt;8/24</formula>
    </cfRule>
  </conditionalFormatting>
  <conditionalFormatting sqref="M31:W31 X19:AF19 X24:AF24">
    <cfRule type="expression" dxfId="4933" priority="270">
      <formula>M19&gt;$AG19</formula>
    </cfRule>
  </conditionalFormatting>
  <conditionalFormatting sqref="C80:AF80 C89:AF89 M11:R11">
    <cfRule type="expression" dxfId="4932" priority="252">
      <formula>C$9&gt;=20/24</formula>
    </cfRule>
    <cfRule type="expression" dxfId="4931" priority="253">
      <formula>AND(C$9&gt;=14/24,C$9&lt;20/24)</formula>
    </cfRule>
    <cfRule type="expression" dxfId="4930" priority="254">
      <formula>AND(C$9&gt;=8/24,C$9&lt;14/24)</formula>
    </cfRule>
    <cfRule type="expression" dxfId="4929" priority="255">
      <formula>C$9&lt;8/24</formula>
    </cfRule>
  </conditionalFormatting>
  <conditionalFormatting sqref="C39:L39">
    <cfRule type="expression" dxfId="4928" priority="248">
      <formula>C$9&gt;=20/24</formula>
    </cfRule>
    <cfRule type="expression" dxfId="4927" priority="249">
      <formula>AND(C$9&gt;=14/24,C$9&lt;20/24)</formula>
    </cfRule>
    <cfRule type="expression" dxfId="4926" priority="250">
      <formula>AND(C$9&gt;=8/24,C$9&lt;14/24)</formula>
    </cfRule>
    <cfRule type="expression" dxfId="4925" priority="251">
      <formula>C$9&lt;8/24</formula>
    </cfRule>
  </conditionalFormatting>
  <conditionalFormatting sqref="C39:L39 M11:R11">
    <cfRule type="expression" dxfId="4924" priority="247">
      <formula>C11&gt;$AG11</formula>
    </cfRule>
  </conditionalFormatting>
  <conditionalFormatting sqref="D63:L63 C38:S38">
    <cfRule type="expression" dxfId="4923" priority="239">
      <formula>C$9&gt;=20/24</formula>
    </cfRule>
    <cfRule type="expression" dxfId="4922" priority="240">
      <formula>AND(C$9&gt;=14/24,C$9&lt;20/24)</formula>
    </cfRule>
    <cfRule type="expression" dxfId="4921" priority="241">
      <formula>AND(C$9&gt;=8/24,C$9&lt;14/24)</formula>
    </cfRule>
    <cfRule type="expression" dxfId="4920" priority="242">
      <formula>C$9&lt;8/24</formula>
    </cfRule>
  </conditionalFormatting>
  <conditionalFormatting sqref="C38:S38">
    <cfRule type="expression" dxfId="4919" priority="234">
      <formula>C38&gt;$AG38</formula>
    </cfRule>
  </conditionalFormatting>
  <conditionalFormatting sqref="C81:AF81 C62:AG62 C79:AG79 C90:AF90 C92:C98 D64:E73 F64:L64 M12:R14 M18:R18 C59:R61 F66:S73 M32:W34 M29:W29 M25:W27">
    <cfRule type="expression" dxfId="4918" priority="230">
      <formula>C$9&gt;=20/24</formula>
    </cfRule>
    <cfRule type="expression" dxfId="4917" priority="231">
      <formula>AND(C$9&gt;=14/24,C$9&lt;20/24)</formula>
    </cfRule>
    <cfRule type="expression" dxfId="4916" priority="232">
      <formula>AND(C$9&gt;=8/24,C$9&lt;14/24)</formula>
    </cfRule>
    <cfRule type="expression" dxfId="4915" priority="233">
      <formula>C$9&lt;8/24</formula>
    </cfRule>
  </conditionalFormatting>
  <conditionalFormatting sqref="M35:W35">
    <cfRule type="expression" dxfId="4914" priority="226">
      <formula>M$9&gt;=20/24</formula>
    </cfRule>
    <cfRule type="expression" dxfId="4913" priority="227">
      <formula>AND(M$9&gt;=14/24,M$9&lt;20/24)</formula>
    </cfRule>
    <cfRule type="expression" dxfId="4912" priority="228">
      <formula>AND(M$9&gt;=8/24,M$9&lt;14/24)</formula>
    </cfRule>
    <cfRule type="expression" dxfId="4911" priority="229">
      <formula>M$9&lt;8/24</formula>
    </cfRule>
  </conditionalFormatting>
  <conditionalFormatting sqref="C40:AG40 C58:AG58 C62:AG62 C59:R61 M32:W35 M25:W29">
    <cfRule type="expression" dxfId="4910" priority="225">
      <formula>C25&gt;$AG25</formula>
    </cfRule>
  </conditionalFormatting>
  <conditionalFormatting sqref="M37:W37">
    <cfRule type="expression" dxfId="4909" priority="221">
      <formula>M$9&gt;=20/24</formula>
    </cfRule>
    <cfRule type="expression" dxfId="4908" priority="222">
      <formula>AND(M$9&gt;=14/24,M$9&lt;20/24)</formula>
    </cfRule>
    <cfRule type="expression" dxfId="4907" priority="223">
      <formula>AND(M$9&gt;=8/24,M$9&lt;14/24)</formula>
    </cfRule>
    <cfRule type="expression" dxfId="4906" priority="224">
      <formula>M$9&lt;8/24</formula>
    </cfRule>
  </conditionalFormatting>
  <conditionalFormatting sqref="M15:R15">
    <cfRule type="expression" dxfId="4905" priority="217">
      <formula>M$9&gt;=20/24</formula>
    </cfRule>
    <cfRule type="expression" dxfId="4904" priority="218">
      <formula>AND(M$9&gt;=14/24,M$9&lt;20/24)</formula>
    </cfRule>
    <cfRule type="expression" dxfId="4903" priority="219">
      <formula>AND(M$9&gt;=8/24,M$9&lt;14/24)</formula>
    </cfRule>
    <cfRule type="expression" dxfId="4902" priority="220">
      <formula>M$9&lt;8/24</formula>
    </cfRule>
  </conditionalFormatting>
  <conditionalFormatting sqref="M36:W36">
    <cfRule type="expression" dxfId="4901" priority="213">
      <formula>M$9&gt;=20/24</formula>
    </cfRule>
    <cfRule type="expression" dxfId="4900" priority="214">
      <formula>AND(M$9&gt;=14/24,M$9&lt;20/24)</formula>
    </cfRule>
    <cfRule type="expression" dxfId="4899" priority="215">
      <formula>AND(M$9&gt;=8/24,M$9&lt;14/24)</formula>
    </cfRule>
    <cfRule type="expression" dxfId="4898" priority="216">
      <formula>M$9&lt;8/24</formula>
    </cfRule>
  </conditionalFormatting>
  <conditionalFormatting sqref="M36:W36">
    <cfRule type="expression" dxfId="4897" priority="212">
      <formula>M36&gt;$AG36</formula>
    </cfRule>
  </conditionalFormatting>
  <conditionalFormatting sqref="M50:AF56">
    <cfRule type="expression" dxfId="4896" priority="208">
      <formula>M$9&gt;=20/24</formula>
    </cfRule>
    <cfRule type="expression" dxfId="4895" priority="209">
      <formula>AND(M$9&gt;=14/24,M$9&lt;20/24)</formula>
    </cfRule>
    <cfRule type="expression" dxfId="4894" priority="210">
      <formula>AND(M$9&gt;=8/24,M$9&lt;14/24)</formula>
    </cfRule>
    <cfRule type="expression" dxfId="4893" priority="211">
      <formula>M$9&lt;8/24</formula>
    </cfRule>
  </conditionalFormatting>
  <conditionalFormatting sqref="M50:AF56">
    <cfRule type="expression" dxfId="4892" priority="207">
      <formula>M50&gt;$AG50</formula>
    </cfRule>
  </conditionalFormatting>
  <conditionalFormatting sqref="M28:W28">
    <cfRule type="expression" dxfId="4891" priority="203">
      <formula>M$9&gt;=20/24</formula>
    </cfRule>
    <cfRule type="expression" dxfId="4890" priority="204">
      <formula>AND(M$9&gt;=14/24,M$9&lt;20/24)</formula>
    </cfRule>
    <cfRule type="expression" dxfId="4889" priority="205">
      <formula>AND(M$9&gt;=8/24,M$9&lt;14/24)</formula>
    </cfRule>
    <cfRule type="expression" dxfId="4888" priority="206">
      <formula>M$9&lt;8/24</formula>
    </cfRule>
  </conditionalFormatting>
  <conditionalFormatting sqref="M24:W24 M19:W19">
    <cfRule type="expression" dxfId="4887" priority="199">
      <formula>M$9&gt;=20/24</formula>
    </cfRule>
    <cfRule type="expression" dxfId="4886" priority="200">
      <formula>AND(M$9&gt;=14/24,M$9&lt;20/24)</formula>
    </cfRule>
    <cfRule type="expression" dxfId="4885" priority="201">
      <formula>AND(M$9&gt;=8/24,M$9&lt;14/24)</formula>
    </cfRule>
    <cfRule type="expression" dxfId="4884" priority="202">
      <formula>M$9&lt;8/24</formula>
    </cfRule>
  </conditionalFormatting>
  <conditionalFormatting sqref="M24:W24 M19:W19">
    <cfRule type="expression" dxfId="4883" priority="198">
      <formula>M19&gt;$AG19</formula>
    </cfRule>
  </conditionalFormatting>
  <conditionalFormatting sqref="A36">
    <cfRule type="expression" dxfId="4882" priority="197">
      <formula>$AH36=0</formula>
    </cfRule>
  </conditionalFormatting>
  <conditionalFormatting sqref="C74:AF74">
    <cfRule type="expression" dxfId="4881" priority="193">
      <formula>C$9&gt;=20/24</formula>
    </cfRule>
    <cfRule type="expression" dxfId="4880" priority="194">
      <formula>AND(C$9&gt;=14/24,C$9&lt;20/24)</formula>
    </cfRule>
    <cfRule type="expression" dxfId="4879" priority="195">
      <formula>AND(C$9&gt;=8/24,C$9&lt;14/24)</formula>
    </cfRule>
    <cfRule type="expression" dxfId="4878" priority="196">
      <formula>C$9&lt;8/24</formula>
    </cfRule>
  </conditionalFormatting>
  <conditionalFormatting sqref="C83:AF87">
    <cfRule type="expression" dxfId="4877" priority="189">
      <formula>C$9&gt;=20/24</formula>
    </cfRule>
    <cfRule type="expression" dxfId="4876" priority="190">
      <formula>AND(C$9&gt;=14/24,C$9&lt;20/24)</formula>
    </cfRule>
    <cfRule type="expression" dxfId="4875" priority="191">
      <formula>AND(C$9&gt;=8/24,C$9&lt;14/24)</formula>
    </cfRule>
    <cfRule type="expression" dxfId="4874" priority="192">
      <formula>C$9&lt;8/24</formula>
    </cfRule>
  </conditionalFormatting>
  <conditionalFormatting sqref="AL37 AL34 AL18:AL29 AL7:AL16 AL31:AL32">
    <cfRule type="iconSet" priority="373">
      <iconSet iconSet="3TrafficLights2" reverse="1">
        <cfvo type="percent" val="0"/>
        <cfvo type="num" val="1"/>
        <cfvo type="num" val="1"/>
      </iconSet>
    </cfRule>
  </conditionalFormatting>
  <conditionalFormatting sqref="C41:AF43">
    <cfRule type="expression" dxfId="4873" priority="185">
      <formula>C$9&gt;=20/24</formula>
    </cfRule>
    <cfRule type="expression" dxfId="4872" priority="186">
      <formula>AND(C$9&gt;=14/24,C$9&lt;20/24)</formula>
    </cfRule>
    <cfRule type="expression" dxfId="4871" priority="187">
      <formula>AND(C$9&gt;=8/24,C$9&lt;14/24)</formula>
    </cfRule>
    <cfRule type="expression" dxfId="4870" priority="188">
      <formula>C$9&lt;8/24</formula>
    </cfRule>
  </conditionalFormatting>
  <conditionalFormatting sqref="C41:AF43">
    <cfRule type="expression" dxfId="4869" priority="184">
      <formula>C41&gt;$AG41</formula>
    </cfRule>
  </conditionalFormatting>
  <conditionalFormatting sqref="C44:AG44">
    <cfRule type="expression" dxfId="4868" priority="180">
      <formula>C$9&gt;=20/24</formula>
    </cfRule>
    <cfRule type="expression" dxfId="4867" priority="181">
      <formula>AND(C$9&gt;=14/24,C$9&lt;20/24)</formula>
    </cfRule>
    <cfRule type="expression" dxfId="4866" priority="182">
      <formula>AND(C$9&gt;=8/24,C$9&lt;14/24)</formula>
    </cfRule>
    <cfRule type="expression" dxfId="4865" priority="183">
      <formula>C$9&lt;8/24</formula>
    </cfRule>
  </conditionalFormatting>
  <conditionalFormatting sqref="C44:AG44">
    <cfRule type="expression" dxfId="4864" priority="179">
      <formula>C44&gt;$AG44</formula>
    </cfRule>
  </conditionalFormatting>
  <conditionalFormatting sqref="C99:AF99">
    <cfRule type="expression" dxfId="4863" priority="175">
      <formula>C$9&gt;=20/24</formula>
    </cfRule>
    <cfRule type="expression" dxfId="4862" priority="176">
      <formula>AND(C$9&gt;=14/24,C$9&lt;20/24)</formula>
    </cfRule>
    <cfRule type="expression" dxfId="4861" priority="177">
      <formula>AND(C$9&gt;=8/24,C$9&lt;14/24)</formula>
    </cfRule>
    <cfRule type="expression" dxfId="4860" priority="178">
      <formula>C$9&lt;8/24</formula>
    </cfRule>
  </conditionalFormatting>
  <conditionalFormatting sqref="AL33">
    <cfRule type="iconSet" priority="170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4859" priority="165">
      <formula>$AH33=0</formula>
    </cfRule>
  </conditionalFormatting>
  <conditionalFormatting sqref="A82">
    <cfRule type="expression" dxfId="4858" priority="163">
      <formula>$AH82=0</formula>
    </cfRule>
  </conditionalFormatting>
  <conditionalFormatting sqref="A79">
    <cfRule type="expression" dxfId="4857" priority="164">
      <formula>$AH79=0</formula>
    </cfRule>
  </conditionalFormatting>
  <conditionalFormatting sqref="A109">
    <cfRule type="expression" dxfId="4856" priority="154">
      <formula>$AH109=0</formula>
    </cfRule>
  </conditionalFormatting>
  <conditionalFormatting sqref="C102:AF102">
    <cfRule type="expression" dxfId="4855" priority="150">
      <formula>C$9&gt;=20/24</formula>
    </cfRule>
    <cfRule type="expression" dxfId="4854" priority="151">
      <formula>AND(C$9&gt;=14/24,C$9&lt;20/24)</formula>
    </cfRule>
    <cfRule type="expression" dxfId="4853" priority="152">
      <formula>AND(C$9&gt;=8/24,C$9&lt;14/24)</formula>
    </cfRule>
    <cfRule type="expression" dxfId="4852" priority="153">
      <formula>C$9&lt;8/24</formula>
    </cfRule>
  </conditionalFormatting>
  <conditionalFormatting sqref="A102">
    <cfRule type="expression" dxfId="4851" priority="149">
      <formula>$AH102=0</formula>
    </cfRule>
  </conditionalFormatting>
  <conditionalFormatting sqref="M17:AF17">
    <cfRule type="expression" dxfId="4850" priority="138">
      <formula>M17&gt;$AG17</formula>
    </cfRule>
  </conditionalFormatting>
  <conditionalFormatting sqref="A17">
    <cfRule type="expression" dxfId="4849" priority="137">
      <formula>$AH17=0</formula>
    </cfRule>
  </conditionalFormatting>
  <conditionalFormatting sqref="S17:AF17">
    <cfRule type="expression" dxfId="4848" priority="133">
      <formula>S$9&gt;=20/24</formula>
    </cfRule>
    <cfRule type="expression" dxfId="4847" priority="134">
      <formula>AND(S$9&gt;=14/24,S$9&lt;20/24)</formula>
    </cfRule>
    <cfRule type="expression" dxfId="4846" priority="135">
      <formula>AND(S$9&gt;=8/24,S$9&lt;14/24)</formula>
    </cfRule>
    <cfRule type="expression" dxfId="4845" priority="136">
      <formula>S$9&lt;8/24</formula>
    </cfRule>
  </conditionalFormatting>
  <conditionalFormatting sqref="M17:R17">
    <cfRule type="expression" dxfId="4844" priority="129">
      <formula>M$9&gt;=20/24</formula>
    </cfRule>
    <cfRule type="expression" dxfId="4843" priority="130">
      <formula>AND(M$9&gt;=14/24,M$9&lt;20/24)</formula>
    </cfRule>
    <cfRule type="expression" dxfId="4842" priority="131">
      <formula>AND(M$9&gt;=8/24,M$9&lt;14/24)</formula>
    </cfRule>
    <cfRule type="expression" dxfId="4841" priority="132">
      <formula>M$9&lt;8/24</formula>
    </cfRule>
  </conditionalFormatting>
  <conditionalFormatting sqref="AL17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4840" priority="127">
      <formula>$AH30=0</formula>
    </cfRule>
  </conditionalFormatting>
  <conditionalFormatting sqref="M30:AF30">
    <cfRule type="expression" dxfId="4839" priority="118">
      <formula>M$9&gt;=20/24</formula>
    </cfRule>
    <cfRule type="expression" dxfId="4838" priority="119">
      <formula>AND(M$9&gt;=14/24,M$9&lt;20/24)</formula>
    </cfRule>
    <cfRule type="expression" dxfId="4837" priority="120">
      <formula>AND(M$9&gt;=8/24,M$9&lt;14/24)</formula>
    </cfRule>
    <cfRule type="expression" dxfId="4836" priority="121">
      <formula>M$9&lt;8/24</formula>
    </cfRule>
  </conditionalFormatting>
  <conditionalFormatting sqref="M30:AF30">
    <cfRule type="expression" dxfId="4835" priority="117">
      <formula>M30&gt;$AG30</formula>
    </cfRule>
  </conditionalFormatting>
  <conditionalFormatting sqref="AL30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B101 B103:B108 B16:L16 B11:L11 B20:L23">
    <cfRule type="expression" dxfId="4834" priority="108">
      <formula>B$9&gt;=20/24</formula>
    </cfRule>
    <cfRule type="expression" dxfId="4833" priority="109">
      <formula>AND(B$9&gt;=14/24,B$9&lt;20/24)</formula>
    </cfRule>
    <cfRule type="expression" dxfId="4832" priority="110">
      <formula>AND(B$9&gt;=8/24,B$9&lt;14/24)</formula>
    </cfRule>
    <cfRule type="expression" dxfId="4831" priority="111">
      <formula>B$9&lt;8/24</formula>
    </cfRule>
  </conditionalFormatting>
  <conditionalFormatting sqref="B39">
    <cfRule type="expression" dxfId="4830" priority="104">
      <formula>B$9&gt;=20/24</formula>
    </cfRule>
    <cfRule type="expression" dxfId="4829" priority="105">
      <formula>AND(B$9&gt;=14/24,B$9&lt;20/24)</formula>
    </cfRule>
    <cfRule type="expression" dxfId="4828" priority="106">
      <formula>AND(B$9&gt;=8/24,B$9&lt;14/24)</formula>
    </cfRule>
    <cfRule type="expression" dxfId="4827" priority="107">
      <formula>B$9&lt;8/24</formula>
    </cfRule>
  </conditionalFormatting>
  <conditionalFormatting sqref="B39 B11:L16 B18:L18 B20:L23 B37:L37">
    <cfRule type="expression" dxfId="4826" priority="103">
      <formula>B11&gt;$AG11</formula>
    </cfRule>
  </conditionalFormatting>
  <conditionalFormatting sqref="B91">
    <cfRule type="expression" dxfId="4825" priority="99">
      <formula>B$9&gt;=20/24</formula>
    </cfRule>
    <cfRule type="expression" dxfId="4824" priority="100">
      <formula>AND(B$9&gt;=14/24,B$9&lt;20/24)</formula>
    </cfRule>
    <cfRule type="expression" dxfId="4823" priority="101">
      <formula>AND(B$9&gt;=8/24,B$9&lt;14/24)</formula>
    </cfRule>
    <cfRule type="expression" dxfId="4822" priority="102">
      <formula>B$9&lt;8/24</formula>
    </cfRule>
  </conditionalFormatting>
  <conditionalFormatting sqref="B63:C63 B46:L47">
    <cfRule type="expression" dxfId="4821" priority="95">
      <formula>B$9&gt;=20/24</formula>
    </cfRule>
    <cfRule type="expression" dxfId="4820" priority="96">
      <formula>AND(B$9&gt;=14/24,B$9&lt;20/24)</formula>
    </cfRule>
    <cfRule type="expression" dxfId="4819" priority="97">
      <formula>AND(B$9&gt;=8/24,B$9&lt;14/24)</formula>
    </cfRule>
    <cfRule type="expression" dxfId="4818" priority="98">
      <formula>B$9&lt;8/24</formula>
    </cfRule>
  </conditionalFormatting>
  <conditionalFormatting sqref="B45:L45">
    <cfRule type="expression" dxfId="4817" priority="91">
      <formula>B$9&gt;=20/24</formula>
    </cfRule>
    <cfRule type="expression" dxfId="4816" priority="92">
      <formula>AND(B$9&gt;=14/24,B$9&lt;20/24)</formula>
    </cfRule>
    <cfRule type="expression" dxfId="4815" priority="93">
      <formula>AND(B$9&gt;=8/24,B$9&lt;14/24)</formula>
    </cfRule>
    <cfRule type="expression" dxfId="4814" priority="94">
      <formula>B$9&lt;8/24</formula>
    </cfRule>
  </conditionalFormatting>
  <conditionalFormatting sqref="B45:L47">
    <cfRule type="expression" dxfId="4813" priority="90">
      <formula>B45&gt;$AG45</formula>
    </cfRule>
  </conditionalFormatting>
  <conditionalFormatting sqref="B88 B75:B78 B59:B61 B92:B98 B38 B64:C73 B12:L14 B29:L29 B18:L18 B25:L27">
    <cfRule type="expression" dxfId="4812" priority="86">
      <formula>B$9&gt;=20/24</formula>
    </cfRule>
    <cfRule type="expression" dxfId="4811" priority="87">
      <formula>AND(B$9&gt;=14/24,B$9&lt;20/24)</formula>
    </cfRule>
    <cfRule type="expression" dxfId="4810" priority="88">
      <formula>AND(B$9&gt;=8/24,B$9&lt;14/24)</formula>
    </cfRule>
    <cfRule type="expression" dxfId="4809" priority="89">
      <formula>B$9&lt;8/24</formula>
    </cfRule>
  </conditionalFormatting>
  <conditionalFormatting sqref="B59:B61 B38 B57 B25:L29 B48:L49">
    <cfRule type="expression" dxfId="4808" priority="85">
      <formula>B25&gt;$AG25</formula>
    </cfRule>
  </conditionalFormatting>
  <conditionalFormatting sqref="B37:L37">
    <cfRule type="expression" dxfId="4807" priority="81">
      <formula>B$9&gt;=20/24</formula>
    </cfRule>
    <cfRule type="expression" dxfId="4806" priority="82">
      <formula>AND(B$9&gt;=14/24,B$9&lt;20/24)</formula>
    </cfRule>
    <cfRule type="expression" dxfId="4805" priority="83">
      <formula>AND(B$9&gt;=8/24,B$9&lt;14/24)</formula>
    </cfRule>
    <cfRule type="expression" dxfId="4804" priority="84">
      <formula>B$9&lt;8/24</formula>
    </cfRule>
  </conditionalFormatting>
  <conditionalFormatting sqref="B15:L15">
    <cfRule type="expression" dxfId="4803" priority="77">
      <formula>B$9&gt;=20/24</formula>
    </cfRule>
    <cfRule type="expression" dxfId="4802" priority="78">
      <formula>AND(B$9&gt;=14/24,B$9&lt;20/24)</formula>
    </cfRule>
    <cfRule type="expression" dxfId="4801" priority="79">
      <formula>AND(B$9&gt;=8/24,B$9&lt;14/24)</formula>
    </cfRule>
    <cfRule type="expression" dxfId="4800" priority="80">
      <formula>B$9&lt;8/24</formula>
    </cfRule>
  </conditionalFormatting>
  <conditionalFormatting sqref="B50:L56">
    <cfRule type="expression" dxfId="4799" priority="73">
      <formula>B$9&gt;=20/24</formula>
    </cfRule>
    <cfRule type="expression" dxfId="4798" priority="74">
      <formula>AND(B$9&gt;=14/24,B$9&lt;20/24)</formula>
    </cfRule>
    <cfRule type="expression" dxfId="4797" priority="75">
      <formula>AND(B$9&gt;=8/24,B$9&lt;14/24)</formula>
    </cfRule>
    <cfRule type="expression" dxfId="4796" priority="76">
      <formula>B$9&lt;8/24</formula>
    </cfRule>
  </conditionalFormatting>
  <conditionalFormatting sqref="B50:L56">
    <cfRule type="expression" dxfId="4795" priority="72">
      <formula>B50&gt;$AG50</formula>
    </cfRule>
  </conditionalFormatting>
  <conditionalFormatting sqref="B28:L28">
    <cfRule type="expression" dxfId="4794" priority="68">
      <formula>B$9&gt;=20/24</formula>
    </cfRule>
    <cfRule type="expression" dxfId="4793" priority="69">
      <formula>AND(B$9&gt;=14/24,B$9&lt;20/24)</formula>
    </cfRule>
    <cfRule type="expression" dxfId="4792" priority="70">
      <formula>AND(B$9&gt;=8/24,B$9&lt;14/24)</formula>
    </cfRule>
    <cfRule type="expression" dxfId="4791" priority="71">
      <formula>B$9&lt;8/24</formula>
    </cfRule>
  </conditionalFormatting>
  <conditionalFormatting sqref="B19:L19 B24:L24">
    <cfRule type="expression" dxfId="4790" priority="64">
      <formula>B$9&gt;=20/24</formula>
    </cfRule>
    <cfRule type="expression" dxfId="4789" priority="65">
      <formula>AND(B$9&gt;=14/24,B$9&lt;20/24)</formula>
    </cfRule>
    <cfRule type="expression" dxfId="4788" priority="66">
      <formula>AND(B$9&gt;=8/24,B$9&lt;14/24)</formula>
    </cfRule>
    <cfRule type="expression" dxfId="4787" priority="67">
      <formula>B$9&lt;8/24</formula>
    </cfRule>
  </conditionalFormatting>
  <conditionalFormatting sqref="B19:L19 B24:L24">
    <cfRule type="expression" dxfId="4786" priority="63">
      <formula>B19&gt;$AG19</formula>
    </cfRule>
  </conditionalFormatting>
  <conditionalFormatting sqref="B80 B89">
    <cfRule type="expression" dxfId="4785" priority="59">
      <formula>B$9&gt;=20/24</formula>
    </cfRule>
    <cfRule type="expression" dxfId="4784" priority="60">
      <formula>AND(B$9&gt;=14/24,B$9&lt;20/24)</formula>
    </cfRule>
    <cfRule type="expression" dxfId="4783" priority="61">
      <formula>AND(B$9&gt;=8/24,B$9&lt;14/24)</formula>
    </cfRule>
    <cfRule type="expression" dxfId="4782" priority="62">
      <formula>B$9&lt;8/24</formula>
    </cfRule>
  </conditionalFormatting>
  <conditionalFormatting sqref="B81 B62 B79 B90 B31:L34">
    <cfRule type="expression" dxfId="4781" priority="55">
      <formula>B$9&gt;=20/24</formula>
    </cfRule>
    <cfRule type="expression" dxfId="4780" priority="56">
      <formula>AND(B$9&gt;=14/24,B$9&lt;20/24)</formula>
    </cfRule>
    <cfRule type="expression" dxfId="4779" priority="57">
      <formula>AND(B$9&gt;=8/24,B$9&lt;14/24)</formula>
    </cfRule>
    <cfRule type="expression" dxfId="4778" priority="58">
      <formula>B$9&lt;8/24</formula>
    </cfRule>
  </conditionalFormatting>
  <conditionalFormatting sqref="B35:L35">
    <cfRule type="expression" dxfId="4777" priority="51">
      <formula>B$9&gt;=20/24</formula>
    </cfRule>
    <cfRule type="expression" dxfId="4776" priority="52">
      <formula>AND(B$9&gt;=14/24,B$9&lt;20/24)</formula>
    </cfRule>
    <cfRule type="expression" dxfId="4775" priority="53">
      <formula>AND(B$9&gt;=8/24,B$9&lt;14/24)</formula>
    </cfRule>
    <cfRule type="expression" dxfId="4774" priority="54">
      <formula>B$9&lt;8/24</formula>
    </cfRule>
  </conditionalFormatting>
  <conditionalFormatting sqref="B40 B58 B62 B31:L35">
    <cfRule type="expression" dxfId="4773" priority="50">
      <formula>B31&gt;$AG31</formula>
    </cfRule>
  </conditionalFormatting>
  <conditionalFormatting sqref="B36:L36">
    <cfRule type="expression" dxfId="4772" priority="46">
      <formula>B$9&gt;=20/24</formula>
    </cfRule>
    <cfRule type="expression" dxfId="4771" priority="47">
      <formula>AND(B$9&gt;=14/24,B$9&lt;20/24)</formula>
    </cfRule>
    <cfRule type="expression" dxfId="4770" priority="48">
      <formula>AND(B$9&gt;=8/24,B$9&lt;14/24)</formula>
    </cfRule>
    <cfRule type="expression" dxfId="4769" priority="49">
      <formula>B$9&lt;8/24</formula>
    </cfRule>
  </conditionalFormatting>
  <conditionalFormatting sqref="B36:L36">
    <cfRule type="expression" dxfId="4768" priority="45">
      <formula>B36&gt;$AG36</formula>
    </cfRule>
  </conditionalFormatting>
  <conditionalFormatting sqref="B74">
    <cfRule type="expression" dxfId="4767" priority="41">
      <formula>B$9&gt;=20/24</formula>
    </cfRule>
    <cfRule type="expression" dxfId="4766" priority="42">
      <formula>AND(B$9&gt;=14/24,B$9&lt;20/24)</formula>
    </cfRule>
    <cfRule type="expression" dxfId="4765" priority="43">
      <formula>AND(B$9&gt;=8/24,B$9&lt;14/24)</formula>
    </cfRule>
    <cfRule type="expression" dxfId="4764" priority="44">
      <formula>B$9&lt;8/24</formula>
    </cfRule>
  </conditionalFormatting>
  <conditionalFormatting sqref="B83:B87">
    <cfRule type="expression" dxfId="4763" priority="37">
      <formula>B$9&gt;=20/24</formula>
    </cfRule>
    <cfRule type="expression" dxfId="4762" priority="38">
      <formula>AND(B$9&gt;=14/24,B$9&lt;20/24)</formula>
    </cfRule>
    <cfRule type="expression" dxfId="4761" priority="39">
      <formula>AND(B$9&gt;=8/24,B$9&lt;14/24)</formula>
    </cfRule>
    <cfRule type="expression" dxfId="4760" priority="40">
      <formula>B$9&lt;8/24</formula>
    </cfRule>
  </conditionalFormatting>
  <conditionalFormatting sqref="B41:B43">
    <cfRule type="expression" dxfId="4759" priority="33">
      <formula>B$9&gt;=20/24</formula>
    </cfRule>
    <cfRule type="expression" dxfId="4758" priority="34">
      <formula>AND(B$9&gt;=14/24,B$9&lt;20/24)</formula>
    </cfRule>
    <cfRule type="expression" dxfId="4757" priority="35">
      <formula>AND(B$9&gt;=8/24,B$9&lt;14/24)</formula>
    </cfRule>
    <cfRule type="expression" dxfId="4756" priority="36">
      <formula>B$9&lt;8/24</formula>
    </cfRule>
  </conditionalFormatting>
  <conditionalFormatting sqref="B41:B43">
    <cfRule type="expression" dxfId="4755" priority="32">
      <formula>B41&gt;$AG41</formula>
    </cfRule>
  </conditionalFormatting>
  <conditionalFormatting sqref="B44">
    <cfRule type="expression" dxfId="4754" priority="28">
      <formula>B$9&gt;=20/24</formula>
    </cfRule>
    <cfRule type="expression" dxfId="4753" priority="29">
      <formula>AND(B$9&gt;=14/24,B$9&lt;20/24)</formula>
    </cfRule>
    <cfRule type="expression" dxfId="4752" priority="30">
      <formula>AND(B$9&gt;=8/24,B$9&lt;14/24)</formula>
    </cfRule>
    <cfRule type="expression" dxfId="4751" priority="31">
      <formula>B$9&lt;8/24</formula>
    </cfRule>
  </conditionalFormatting>
  <conditionalFormatting sqref="B44">
    <cfRule type="expression" dxfId="4750" priority="27">
      <formula>B44&gt;$AG44</formula>
    </cfRule>
  </conditionalFormatting>
  <conditionalFormatting sqref="B99">
    <cfRule type="expression" dxfId="4749" priority="23">
      <formula>B$9&gt;=20/24</formula>
    </cfRule>
    <cfRule type="expression" dxfId="4748" priority="24">
      <formula>AND(B$9&gt;=14/24,B$9&lt;20/24)</formula>
    </cfRule>
    <cfRule type="expression" dxfId="4747" priority="25">
      <formula>AND(B$9&gt;=8/24,B$9&lt;14/24)</formula>
    </cfRule>
    <cfRule type="expression" dxfId="4746" priority="26">
      <formula>B$9&lt;8/24</formula>
    </cfRule>
  </conditionalFormatting>
  <conditionalFormatting sqref="B102">
    <cfRule type="expression" dxfId="4745" priority="11">
      <formula>B$9&gt;=20/24</formula>
    </cfRule>
    <cfRule type="expression" dxfId="4744" priority="12">
      <formula>AND(B$9&gt;=14/24,B$9&lt;20/24)</formula>
    </cfRule>
    <cfRule type="expression" dxfId="4743" priority="13">
      <formula>AND(B$9&gt;=8/24,B$9&lt;14/24)</formula>
    </cfRule>
    <cfRule type="expression" dxfId="4742" priority="14">
      <formula>B$9&lt;8/24</formula>
    </cfRule>
  </conditionalFormatting>
  <conditionalFormatting sqref="B17:L17">
    <cfRule type="expression" dxfId="4741" priority="10">
      <formula>B17&gt;$AG17</formula>
    </cfRule>
  </conditionalFormatting>
  <conditionalFormatting sqref="B17:L17">
    <cfRule type="expression" dxfId="4740" priority="6">
      <formula>B$9&gt;=20/24</formula>
    </cfRule>
    <cfRule type="expression" dxfId="4739" priority="7">
      <formula>AND(B$9&gt;=14/24,B$9&lt;20/24)</formula>
    </cfRule>
    <cfRule type="expression" dxfId="4738" priority="8">
      <formula>AND(B$9&gt;=8/24,B$9&lt;14/24)</formula>
    </cfRule>
    <cfRule type="expression" dxfId="4737" priority="9">
      <formula>B$9&lt;8/24</formula>
    </cfRule>
  </conditionalFormatting>
  <conditionalFormatting sqref="B30:L30">
    <cfRule type="expression" dxfId="4736" priority="2">
      <formula>B$9&gt;=20/24</formula>
    </cfRule>
    <cfRule type="expression" dxfId="4735" priority="3">
      <formula>AND(B$9&gt;=14/24,B$9&lt;20/24)</formula>
    </cfRule>
    <cfRule type="expression" dxfId="4734" priority="4">
      <formula>AND(B$9&gt;=8/24,B$9&lt;14/24)</formula>
    </cfRule>
    <cfRule type="expression" dxfId="4733" priority="5">
      <formula>B$9&lt;8/24</formula>
    </cfRule>
  </conditionalFormatting>
  <conditionalFormatting sqref="B30:L30">
    <cfRule type="expression" dxfId="4732" priority="1">
      <formula>B30&gt;$AG30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66" id="{AF53F3B4-1609-4218-8681-6D7DDEF4FD07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67" id="{9DE6D451-67A1-4E56-AB7B-FDB93ED1BA2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8" id="{C5033E27-694B-4A5A-86F8-BDD060AE929A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69" id="{B2E5C0DC-3A9A-419A-AA63-89F1B87D76F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C82:AF82</xm:sqref>
        </x14:conditionalFormatting>
        <x14:conditionalFormatting xmlns:xm="http://schemas.microsoft.com/office/excel/2006/main">
          <x14:cfRule type="expression" priority="159" id="{80FA72D1-0F3B-4247-8A3C-29F95B5FEBC3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60" id="{5743E655-1459-4591-95F7-711F0C9611FF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1" id="{5813DFBA-059B-4CD7-92A9-162914BECC94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62" id="{BB18ACDC-F934-487B-8B1A-17C2046B89D9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19" id="{27436F65-005D-45E6-9695-88C077ED9562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0" id="{DE1F7310-28D4-477D-9E7B-F7F1D41E7B6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1" id="{1DD68898-B32F-4531-9713-7E39DBF7CE8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2" id="{30363753-A0E0-4DFB-AF48-BBD58BA68D5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</xm:sqref>
        </x14:conditionalFormatting>
        <x14:conditionalFormatting xmlns:xm="http://schemas.microsoft.com/office/excel/2006/main">
          <x14:cfRule type="expression" priority="15" id="{00E9DF4B-8B73-449C-99A5-6AD82CA8190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6" id="{4244940C-DF80-4159-9F1A-7FBDA47CB60E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" id="{1A815F74-37BC-474A-AEB0-5F966CBA2F14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" id="{371F10E5-7796-4AB0-BEE9-1740B8F235A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J2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E40" sqref="AE4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2079/06/22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1648MW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Load=1283</v>
      </c>
      <c r="B7" s="35">
        <f t="shared" ref="B7:AF7" si="1">B81</f>
        <v>1296.04</v>
      </c>
      <c r="C7" s="35">
        <f t="shared" si="1"/>
        <v>1292.3400000000001</v>
      </c>
      <c r="D7" s="35">
        <f t="shared" si="1"/>
        <v>1330.8400000000001</v>
      </c>
      <c r="E7" s="35">
        <f t="shared" si="1"/>
        <v>1285.04</v>
      </c>
      <c r="F7" s="35">
        <f t="shared" si="1"/>
        <v>1289.44</v>
      </c>
      <c r="G7" s="35">
        <f t="shared" si="1"/>
        <v>1338.04</v>
      </c>
      <c r="H7" s="35">
        <f t="shared" si="1"/>
        <v>1391.6399999999999</v>
      </c>
      <c r="I7" s="35">
        <f t="shared" si="1"/>
        <v>1447.1399999999999</v>
      </c>
      <c r="J7" s="35">
        <f t="shared" si="1"/>
        <v>1487.1399999999999</v>
      </c>
      <c r="K7" s="35">
        <f t="shared" si="1"/>
        <v>1606.44</v>
      </c>
      <c r="L7" s="35">
        <f t="shared" si="1"/>
        <v>1647.6399999999999</v>
      </c>
      <c r="M7" s="35">
        <f t="shared" si="1"/>
        <v>1606.34</v>
      </c>
      <c r="N7" s="35">
        <f t="shared" si="1"/>
        <v>1502.54</v>
      </c>
      <c r="O7" s="35">
        <f t="shared" si="1"/>
        <v>1474.54</v>
      </c>
      <c r="P7" s="35">
        <f t="shared" si="1"/>
        <v>1397.6399999999999</v>
      </c>
      <c r="Q7" s="35">
        <f t="shared" si="1"/>
        <v>1533.84</v>
      </c>
      <c r="R7" s="35">
        <f t="shared" si="1"/>
        <v>1282.6399999999999</v>
      </c>
      <c r="S7" s="35">
        <f t="shared" si="1"/>
        <v>1325.04</v>
      </c>
      <c r="T7" s="35">
        <f t="shared" si="1"/>
        <v>1336.6399999999999</v>
      </c>
      <c r="U7" s="35">
        <f t="shared" si="1"/>
        <v>1337.6399999999999</v>
      </c>
      <c r="V7" s="35">
        <f t="shared" si="1"/>
        <v>1374.04</v>
      </c>
      <c r="W7" s="35">
        <f t="shared" si="1"/>
        <v>1434.04</v>
      </c>
      <c r="X7" s="35">
        <f t="shared" si="1"/>
        <v>1587.04</v>
      </c>
      <c r="Y7" s="35">
        <f t="shared" si="1"/>
        <v>1577.04</v>
      </c>
      <c r="Z7" s="35">
        <f t="shared" si="1"/>
        <v>1707.04</v>
      </c>
      <c r="AA7" s="35">
        <f t="shared" si="1"/>
        <v>1666.04</v>
      </c>
      <c r="AB7" s="35">
        <f t="shared" si="1"/>
        <v>1502.24</v>
      </c>
      <c r="AC7" s="35">
        <f t="shared" si="1"/>
        <v>1502.24</v>
      </c>
      <c r="AD7" s="35">
        <f t="shared" si="1"/>
        <v>1438.9399999999998</v>
      </c>
      <c r="AE7" s="35">
        <f t="shared" si="1"/>
        <v>1399.9399999999998</v>
      </c>
      <c r="AF7" s="35">
        <f t="shared" si="1"/>
        <v>1687.24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46</v>
      </c>
      <c r="C11" s="45">
        <v>46</v>
      </c>
      <c r="D11" s="45">
        <v>46</v>
      </c>
      <c r="E11" s="45">
        <v>46</v>
      </c>
      <c r="F11" s="45">
        <v>46</v>
      </c>
      <c r="G11" s="45">
        <v>46</v>
      </c>
      <c r="H11" s="45">
        <v>46</v>
      </c>
      <c r="I11" s="45">
        <v>46</v>
      </c>
      <c r="J11" s="45">
        <v>46</v>
      </c>
      <c r="K11" s="45">
        <v>46</v>
      </c>
      <c r="L11" s="45">
        <v>46</v>
      </c>
      <c r="M11" s="45">
        <v>49</v>
      </c>
      <c r="N11" s="45">
        <v>49</v>
      </c>
      <c r="O11" s="45">
        <v>49</v>
      </c>
      <c r="P11" s="45">
        <v>42</v>
      </c>
      <c r="Q11" s="45">
        <v>42</v>
      </c>
      <c r="R11" s="45">
        <v>42.1</v>
      </c>
      <c r="S11" s="45">
        <v>37.5</v>
      </c>
      <c r="T11" s="45">
        <v>50</v>
      </c>
      <c r="U11" s="45">
        <v>50</v>
      </c>
      <c r="V11" s="46">
        <v>39</v>
      </c>
      <c r="W11" s="46">
        <v>41</v>
      </c>
      <c r="X11" s="46">
        <v>47</v>
      </c>
      <c r="Y11" s="46">
        <v>47</v>
      </c>
      <c r="Z11" s="46">
        <v>41</v>
      </c>
      <c r="AA11" s="46">
        <v>41</v>
      </c>
      <c r="AB11" s="46">
        <v>46.9</v>
      </c>
      <c r="AC11" s="46">
        <v>46.9</v>
      </c>
      <c r="AD11" s="46">
        <v>46.9</v>
      </c>
      <c r="AE11" s="46">
        <v>46.9</v>
      </c>
      <c r="AF11" s="46">
        <v>46.9</v>
      </c>
      <c r="AG11" s="47">
        <v>52.4</v>
      </c>
      <c r="AH11" s="48">
        <f>MAX(B11:AF11)</f>
        <v>50</v>
      </c>
      <c r="AI11" s="49">
        <f>MIN(B11:AF11)</f>
        <v>37.5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50.5</v>
      </c>
      <c r="C12" s="45">
        <v>50.5</v>
      </c>
      <c r="D12" s="45">
        <v>50.5</v>
      </c>
      <c r="E12" s="45">
        <v>50.5</v>
      </c>
      <c r="F12" s="45">
        <v>50.5</v>
      </c>
      <c r="G12" s="45">
        <v>50.5</v>
      </c>
      <c r="H12" s="45">
        <v>50.5</v>
      </c>
      <c r="I12" s="45">
        <v>50.5</v>
      </c>
      <c r="J12" s="45">
        <v>50.5</v>
      </c>
      <c r="K12" s="45">
        <v>50.5</v>
      </c>
      <c r="L12" s="45">
        <v>50.5</v>
      </c>
      <c r="M12" s="45">
        <v>50.5</v>
      </c>
      <c r="N12" s="45">
        <v>50.5</v>
      </c>
      <c r="O12" s="45">
        <v>50.5</v>
      </c>
      <c r="P12" s="45">
        <v>50.3</v>
      </c>
      <c r="Q12" s="45">
        <v>50.6</v>
      </c>
      <c r="R12" s="45">
        <v>50.3</v>
      </c>
      <c r="S12" s="45">
        <v>50.3</v>
      </c>
      <c r="T12" s="45">
        <v>50.3</v>
      </c>
      <c r="U12" s="45">
        <v>50.3</v>
      </c>
      <c r="V12" s="45">
        <v>50.5</v>
      </c>
      <c r="W12" s="45">
        <v>50.5</v>
      </c>
      <c r="X12" s="45">
        <v>50.5</v>
      </c>
      <c r="Y12" s="45">
        <v>50.5</v>
      </c>
      <c r="Z12" s="45">
        <v>50.5</v>
      </c>
      <c r="AA12" s="45">
        <v>50.5</v>
      </c>
      <c r="AB12" s="45">
        <v>50.7</v>
      </c>
      <c r="AC12" s="45">
        <v>50.7</v>
      </c>
      <c r="AD12" s="45">
        <v>50.7</v>
      </c>
      <c r="AE12" s="45">
        <v>50.7</v>
      </c>
      <c r="AF12" s="45">
        <v>50.7</v>
      </c>
      <c r="AG12" s="51">
        <v>50</v>
      </c>
      <c r="AH12" s="48">
        <f t="shared" ref="AH12:AH75" si="2">MAX(B12:AF12)</f>
        <v>50.7</v>
      </c>
      <c r="AI12" s="49">
        <f t="shared" ref="AI12:AI75" si="3">MIN(B12:AF12)</f>
        <v>50.3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40</v>
      </c>
      <c r="C13" s="45">
        <v>40</v>
      </c>
      <c r="D13" s="45">
        <v>40</v>
      </c>
      <c r="E13" s="45">
        <v>40</v>
      </c>
      <c r="F13" s="45">
        <v>40</v>
      </c>
      <c r="G13" s="45">
        <v>40</v>
      </c>
      <c r="H13" s="45">
        <v>40</v>
      </c>
      <c r="I13" s="45">
        <v>40</v>
      </c>
      <c r="J13" s="45">
        <v>40</v>
      </c>
      <c r="K13" s="45">
        <v>40</v>
      </c>
      <c r="L13" s="45">
        <v>40</v>
      </c>
      <c r="M13" s="45">
        <v>38.9</v>
      </c>
      <c r="N13" s="45">
        <v>38.9</v>
      </c>
      <c r="O13" s="45">
        <v>38.9</v>
      </c>
      <c r="P13" s="45">
        <v>37.9</v>
      </c>
      <c r="Q13" s="45">
        <v>37.9</v>
      </c>
      <c r="R13" s="45">
        <v>38.299999999999997</v>
      </c>
      <c r="S13" s="45">
        <v>38.299999999999997</v>
      </c>
      <c r="T13" s="45">
        <v>38.299999999999997</v>
      </c>
      <c r="U13" s="45">
        <v>38.299999999999997</v>
      </c>
      <c r="V13" s="45">
        <v>39</v>
      </c>
      <c r="W13" s="45">
        <v>39</v>
      </c>
      <c r="X13" s="45">
        <v>39</v>
      </c>
      <c r="Y13" s="45">
        <v>39</v>
      </c>
      <c r="Z13" s="45">
        <v>39</v>
      </c>
      <c r="AA13" s="45">
        <v>39</v>
      </c>
      <c r="AB13" s="45">
        <v>42</v>
      </c>
      <c r="AC13" s="45">
        <v>42</v>
      </c>
      <c r="AD13" s="45">
        <v>42</v>
      </c>
      <c r="AE13" s="45">
        <v>42</v>
      </c>
      <c r="AF13" s="45">
        <v>42</v>
      </c>
      <c r="AG13" s="51">
        <v>45</v>
      </c>
      <c r="AH13" s="48">
        <f t="shared" si="2"/>
        <v>42</v>
      </c>
      <c r="AI13" s="49">
        <f t="shared" si="3"/>
        <v>37.9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21</v>
      </c>
      <c r="C14" s="45">
        <v>21</v>
      </c>
      <c r="D14" s="45">
        <v>21</v>
      </c>
      <c r="E14" s="45">
        <v>21</v>
      </c>
      <c r="F14" s="45">
        <v>21</v>
      </c>
      <c r="G14" s="45">
        <v>21</v>
      </c>
      <c r="H14" s="45">
        <v>21</v>
      </c>
      <c r="I14" s="45">
        <v>32</v>
      </c>
      <c r="J14" s="45">
        <v>32</v>
      </c>
      <c r="K14" s="45">
        <v>32</v>
      </c>
      <c r="L14" s="45">
        <v>30</v>
      </c>
      <c r="M14" s="45">
        <v>25</v>
      </c>
      <c r="N14" s="45">
        <v>25</v>
      </c>
      <c r="O14" s="45">
        <v>25</v>
      </c>
      <c r="P14" s="45">
        <v>25</v>
      </c>
      <c r="Q14" s="45">
        <v>25</v>
      </c>
      <c r="R14" s="45">
        <v>20.5</v>
      </c>
      <c r="S14" s="45">
        <v>20.5</v>
      </c>
      <c r="T14" s="45">
        <v>24</v>
      </c>
      <c r="U14" s="45">
        <v>26</v>
      </c>
      <c r="V14" s="45">
        <v>26</v>
      </c>
      <c r="W14" s="45">
        <v>26</v>
      </c>
      <c r="X14" s="45">
        <v>31</v>
      </c>
      <c r="Y14" s="45">
        <v>31</v>
      </c>
      <c r="Z14" s="45">
        <v>31</v>
      </c>
      <c r="AA14" s="45">
        <v>31</v>
      </c>
      <c r="AB14" s="45">
        <v>24</v>
      </c>
      <c r="AC14" s="45">
        <v>24</v>
      </c>
      <c r="AD14" s="45">
        <v>24</v>
      </c>
      <c r="AE14" s="45">
        <v>20</v>
      </c>
      <c r="AF14" s="45">
        <v>20</v>
      </c>
      <c r="AG14" s="51">
        <v>42</v>
      </c>
      <c r="AH14" s="48">
        <f t="shared" si="2"/>
        <v>32</v>
      </c>
      <c r="AI14" s="49">
        <f t="shared" si="3"/>
        <v>20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10.4</v>
      </c>
      <c r="J15" s="45">
        <v>15.7</v>
      </c>
      <c r="K15" s="45">
        <v>30</v>
      </c>
      <c r="L15" s="45">
        <v>30</v>
      </c>
      <c r="M15" s="45">
        <v>28.3</v>
      </c>
      <c r="N15" s="45">
        <v>24</v>
      </c>
      <c r="O15" s="45">
        <v>24</v>
      </c>
      <c r="P15" s="45">
        <v>24</v>
      </c>
      <c r="Q15" s="45">
        <v>24</v>
      </c>
      <c r="R15" s="45">
        <v>24</v>
      </c>
      <c r="S15" s="45">
        <v>18</v>
      </c>
      <c r="T15" s="45">
        <v>18</v>
      </c>
      <c r="U15" s="45">
        <v>18</v>
      </c>
      <c r="V15" s="45">
        <v>12</v>
      </c>
      <c r="W15" s="45">
        <v>20</v>
      </c>
      <c r="X15" s="45">
        <v>25</v>
      </c>
      <c r="Y15" s="45">
        <v>25</v>
      </c>
      <c r="Z15" s="45">
        <v>25</v>
      </c>
      <c r="AA15" s="45">
        <v>25</v>
      </c>
      <c r="AB15" s="45">
        <v>16.3</v>
      </c>
      <c r="AC15" s="45">
        <v>16.3</v>
      </c>
      <c r="AD15" s="45">
        <v>0</v>
      </c>
      <c r="AE15" s="45">
        <v>0</v>
      </c>
      <c r="AF15" s="45">
        <v>0</v>
      </c>
      <c r="AG15" s="52">
        <v>30</v>
      </c>
      <c r="AH15" s="48">
        <f t="shared" si="2"/>
        <v>30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17.100000000000001</v>
      </c>
      <c r="C16" s="45">
        <v>17.100000000000001</v>
      </c>
      <c r="D16" s="45">
        <v>17.100000000000001</v>
      </c>
      <c r="E16" s="45">
        <v>17.100000000000001</v>
      </c>
      <c r="F16" s="45">
        <v>17.100000000000001</v>
      </c>
      <c r="G16" s="45">
        <v>20.5</v>
      </c>
      <c r="H16" s="45">
        <v>20.5</v>
      </c>
      <c r="I16" s="45">
        <v>20.5</v>
      </c>
      <c r="J16" s="45">
        <v>20.5</v>
      </c>
      <c r="K16" s="45">
        <v>20.5</v>
      </c>
      <c r="L16" s="45">
        <v>22.6</v>
      </c>
      <c r="M16" s="45">
        <v>22.5</v>
      </c>
      <c r="N16" s="45">
        <v>18</v>
      </c>
      <c r="O16" s="45">
        <v>18</v>
      </c>
      <c r="P16" s="45">
        <v>18</v>
      </c>
      <c r="Q16" s="45">
        <v>18</v>
      </c>
      <c r="R16" s="45">
        <v>18</v>
      </c>
      <c r="S16" s="45">
        <v>16</v>
      </c>
      <c r="T16" s="45">
        <v>16</v>
      </c>
      <c r="U16" s="45">
        <v>16</v>
      </c>
      <c r="V16" s="45">
        <v>16.5</v>
      </c>
      <c r="W16" s="45">
        <v>16.5</v>
      </c>
      <c r="X16" s="45">
        <v>16.5</v>
      </c>
      <c r="Y16" s="45">
        <v>16.5</v>
      </c>
      <c r="Z16" s="45">
        <v>16.5</v>
      </c>
      <c r="AA16" s="45">
        <v>16.5</v>
      </c>
      <c r="AB16" s="45">
        <v>21.5</v>
      </c>
      <c r="AC16" s="45">
        <v>21.5</v>
      </c>
      <c r="AD16" s="45">
        <v>21.5</v>
      </c>
      <c r="AE16" s="45">
        <v>21.5</v>
      </c>
      <c r="AF16" s="45">
        <v>21.5</v>
      </c>
      <c r="AG16" s="51">
        <v>24.2</v>
      </c>
      <c r="AH16" s="48">
        <f t="shared" si="2"/>
        <v>22.6</v>
      </c>
      <c r="AI16" s="49">
        <f t="shared" si="3"/>
        <v>16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9.3000000000000007</v>
      </c>
      <c r="J17" s="45">
        <v>27</v>
      </c>
      <c r="K17" s="45">
        <v>27</v>
      </c>
      <c r="L17" s="45">
        <v>27</v>
      </c>
      <c r="M17" s="45">
        <v>27</v>
      </c>
      <c r="N17" s="45">
        <v>20</v>
      </c>
      <c r="O17" s="45">
        <v>15</v>
      </c>
      <c r="P17" s="45">
        <v>15</v>
      </c>
      <c r="Q17" s="45">
        <v>15</v>
      </c>
      <c r="R17" s="45">
        <v>15</v>
      </c>
      <c r="S17" s="45">
        <v>15</v>
      </c>
      <c r="T17" s="45">
        <v>10</v>
      </c>
      <c r="U17" s="45">
        <v>10</v>
      </c>
      <c r="V17" s="45">
        <v>10</v>
      </c>
      <c r="W17" s="45">
        <v>10</v>
      </c>
      <c r="X17" s="45">
        <v>27</v>
      </c>
      <c r="Y17" s="45">
        <v>27</v>
      </c>
      <c r="Z17" s="45">
        <v>27</v>
      </c>
      <c r="AA17" s="45">
        <v>27</v>
      </c>
      <c r="AB17" s="45">
        <v>27</v>
      </c>
      <c r="AC17" s="45">
        <v>27</v>
      </c>
      <c r="AD17" s="45">
        <v>0</v>
      </c>
      <c r="AE17" s="45">
        <v>0</v>
      </c>
      <c r="AF17" s="45">
        <v>0</v>
      </c>
      <c r="AG17" s="52">
        <v>30</v>
      </c>
      <c r="AH17" s="48">
        <f t="shared" si="2"/>
        <v>27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20</v>
      </c>
      <c r="C18" s="45">
        <v>20</v>
      </c>
      <c r="D18" s="45">
        <v>20</v>
      </c>
      <c r="E18" s="45">
        <v>20</v>
      </c>
      <c r="F18" s="45">
        <v>20</v>
      </c>
      <c r="G18" s="45">
        <v>20</v>
      </c>
      <c r="H18" s="45">
        <v>20</v>
      </c>
      <c r="I18" s="45">
        <v>24.3</v>
      </c>
      <c r="J18" s="45">
        <v>24.3</v>
      </c>
      <c r="K18" s="45">
        <v>24.3</v>
      </c>
      <c r="L18" s="45">
        <v>24.3</v>
      </c>
      <c r="M18" s="45">
        <v>22.2</v>
      </c>
      <c r="N18" s="45">
        <v>22.2</v>
      </c>
      <c r="O18" s="45">
        <v>22.2</v>
      </c>
      <c r="P18" s="45">
        <v>22.2</v>
      </c>
      <c r="Q18" s="45">
        <v>22.2</v>
      </c>
      <c r="R18" s="45">
        <v>22.2</v>
      </c>
      <c r="S18" s="45">
        <v>22.2</v>
      </c>
      <c r="T18" s="45">
        <v>22.2</v>
      </c>
      <c r="U18" s="45">
        <v>22.2</v>
      </c>
      <c r="V18" s="45">
        <v>23.6</v>
      </c>
      <c r="W18" s="45">
        <v>23.6</v>
      </c>
      <c r="X18" s="45">
        <v>23.6</v>
      </c>
      <c r="Y18" s="45">
        <v>23.6</v>
      </c>
      <c r="Z18" s="45">
        <v>23.6</v>
      </c>
      <c r="AA18" s="45">
        <v>23.6</v>
      </c>
      <c r="AB18" s="45">
        <v>23.6</v>
      </c>
      <c r="AC18" s="45">
        <v>23.6</v>
      </c>
      <c r="AD18" s="45">
        <v>23.6</v>
      </c>
      <c r="AE18" s="45">
        <v>23.6</v>
      </c>
      <c r="AF18" s="45">
        <v>23.6</v>
      </c>
      <c r="AG18" s="51">
        <v>25</v>
      </c>
      <c r="AH18" s="48">
        <f t="shared" si="2"/>
        <v>24.3</v>
      </c>
      <c r="AI18" s="49">
        <f t="shared" si="3"/>
        <v>20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22</v>
      </c>
      <c r="C19" s="45">
        <v>22</v>
      </c>
      <c r="D19" s="45">
        <v>22</v>
      </c>
      <c r="E19" s="45">
        <v>22</v>
      </c>
      <c r="F19" s="45">
        <v>22</v>
      </c>
      <c r="G19" s="45">
        <v>22</v>
      </c>
      <c r="H19" s="45">
        <v>22</v>
      </c>
      <c r="I19" s="45">
        <v>22</v>
      </c>
      <c r="J19" s="45">
        <v>22</v>
      </c>
      <c r="K19" s="45">
        <v>22</v>
      </c>
      <c r="L19" s="45">
        <v>22</v>
      </c>
      <c r="M19" s="45">
        <v>22</v>
      </c>
      <c r="N19" s="45">
        <v>22</v>
      </c>
      <c r="O19" s="45">
        <v>22</v>
      </c>
      <c r="P19" s="45">
        <v>22</v>
      </c>
      <c r="Q19" s="45">
        <v>22</v>
      </c>
      <c r="R19" s="45">
        <v>22</v>
      </c>
      <c r="S19" s="45">
        <v>22</v>
      </c>
      <c r="T19" s="45">
        <v>22</v>
      </c>
      <c r="U19" s="45">
        <v>22</v>
      </c>
      <c r="V19" s="45">
        <v>22</v>
      </c>
      <c r="W19" s="45">
        <v>22</v>
      </c>
      <c r="X19" s="45">
        <v>22</v>
      </c>
      <c r="Y19" s="45">
        <v>22</v>
      </c>
      <c r="Z19" s="45">
        <v>22</v>
      </c>
      <c r="AA19" s="45">
        <v>22</v>
      </c>
      <c r="AB19" s="45">
        <v>22</v>
      </c>
      <c r="AC19" s="45">
        <v>22</v>
      </c>
      <c r="AD19" s="45">
        <v>22</v>
      </c>
      <c r="AE19" s="45">
        <v>22</v>
      </c>
      <c r="AF19" s="45">
        <v>18</v>
      </c>
      <c r="AG19" s="51">
        <v>25</v>
      </c>
      <c r="AH19" s="48">
        <f t="shared" si="2"/>
        <v>22</v>
      </c>
      <c r="AI19" s="49">
        <f t="shared" si="3"/>
        <v>18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15</v>
      </c>
      <c r="C20" s="45">
        <v>15</v>
      </c>
      <c r="D20" s="45">
        <v>15</v>
      </c>
      <c r="E20" s="45">
        <v>15</v>
      </c>
      <c r="F20" s="45">
        <v>15</v>
      </c>
      <c r="G20" s="45">
        <v>15</v>
      </c>
      <c r="H20" s="45">
        <v>15</v>
      </c>
      <c r="I20" s="45">
        <v>19</v>
      </c>
      <c r="J20" s="45">
        <v>19</v>
      </c>
      <c r="K20" s="45">
        <v>19</v>
      </c>
      <c r="L20" s="45">
        <v>19</v>
      </c>
      <c r="M20" s="45">
        <v>19</v>
      </c>
      <c r="N20" s="45">
        <v>19</v>
      </c>
      <c r="O20" s="45">
        <v>19</v>
      </c>
      <c r="P20" s="45">
        <v>19</v>
      </c>
      <c r="Q20" s="45">
        <v>19</v>
      </c>
      <c r="R20" s="45">
        <v>19</v>
      </c>
      <c r="S20" s="45">
        <v>19</v>
      </c>
      <c r="T20" s="45">
        <v>19</v>
      </c>
      <c r="U20" s="45">
        <v>18</v>
      </c>
      <c r="V20" s="45">
        <v>18</v>
      </c>
      <c r="W20" s="45">
        <v>18</v>
      </c>
      <c r="X20" s="45">
        <v>18</v>
      </c>
      <c r="Y20" s="45">
        <v>18</v>
      </c>
      <c r="Z20" s="45">
        <v>18</v>
      </c>
      <c r="AA20" s="45">
        <v>18</v>
      </c>
      <c r="AB20" s="45">
        <v>18</v>
      </c>
      <c r="AC20" s="45">
        <v>18</v>
      </c>
      <c r="AD20" s="45">
        <v>18</v>
      </c>
      <c r="AE20" s="45">
        <v>18</v>
      </c>
      <c r="AF20" s="45">
        <v>18</v>
      </c>
      <c r="AG20" s="51">
        <v>25</v>
      </c>
      <c r="AH20" s="48">
        <f t="shared" si="2"/>
        <v>19</v>
      </c>
      <c r="AI20" s="49">
        <f t="shared" si="3"/>
        <v>15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19.600000000000001</v>
      </c>
      <c r="C21" s="45">
        <v>19.600000000000001</v>
      </c>
      <c r="D21" s="45">
        <v>19.600000000000001</v>
      </c>
      <c r="E21" s="45">
        <v>19.600000000000001</v>
      </c>
      <c r="F21" s="45">
        <v>19.600000000000001</v>
      </c>
      <c r="G21" s="45">
        <v>19.600000000000001</v>
      </c>
      <c r="H21" s="45">
        <v>19.600000000000001</v>
      </c>
      <c r="I21" s="45">
        <v>19.600000000000001</v>
      </c>
      <c r="J21" s="45">
        <v>19.600000000000001</v>
      </c>
      <c r="K21" s="45">
        <v>19.600000000000001</v>
      </c>
      <c r="L21" s="45">
        <v>19.600000000000001</v>
      </c>
      <c r="M21" s="45">
        <v>19.600000000000001</v>
      </c>
      <c r="N21" s="45">
        <v>19.600000000000001</v>
      </c>
      <c r="O21" s="45">
        <v>19.600000000000001</v>
      </c>
      <c r="P21" s="45">
        <v>19.600000000000001</v>
      </c>
      <c r="Q21" s="45">
        <v>19.600000000000001</v>
      </c>
      <c r="R21" s="45">
        <v>19.600000000000001</v>
      </c>
      <c r="S21" s="45">
        <v>19.600000000000001</v>
      </c>
      <c r="T21" s="45">
        <v>19.600000000000001</v>
      </c>
      <c r="U21" s="45">
        <v>19.600000000000001</v>
      </c>
      <c r="V21" s="45">
        <v>19.600000000000001</v>
      </c>
      <c r="W21" s="45">
        <v>19.600000000000001</v>
      </c>
      <c r="X21" s="45">
        <v>19.600000000000001</v>
      </c>
      <c r="Y21" s="45">
        <v>19.600000000000001</v>
      </c>
      <c r="Z21" s="45">
        <v>19.600000000000001</v>
      </c>
      <c r="AA21" s="45">
        <v>19.600000000000001</v>
      </c>
      <c r="AB21" s="45">
        <v>19.600000000000001</v>
      </c>
      <c r="AC21" s="45">
        <v>19.600000000000001</v>
      </c>
      <c r="AD21" s="45">
        <v>19.600000000000001</v>
      </c>
      <c r="AE21" s="45">
        <v>19.600000000000001</v>
      </c>
      <c r="AF21" s="45">
        <v>19.600000000000001</v>
      </c>
      <c r="AG21" s="51">
        <v>23.5</v>
      </c>
      <c r="AH21" s="48">
        <f t="shared" si="2"/>
        <v>19.600000000000001</v>
      </c>
      <c r="AI21" s="49">
        <f t="shared" si="3"/>
        <v>19.600000000000001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12</v>
      </c>
      <c r="C22" s="45">
        <v>12</v>
      </c>
      <c r="D22" s="45">
        <v>12</v>
      </c>
      <c r="E22" s="45">
        <v>12</v>
      </c>
      <c r="F22" s="45">
        <v>12</v>
      </c>
      <c r="G22" s="45">
        <v>12</v>
      </c>
      <c r="H22" s="45">
        <v>12</v>
      </c>
      <c r="I22" s="45">
        <v>12</v>
      </c>
      <c r="J22" s="45">
        <v>12</v>
      </c>
      <c r="K22" s="45">
        <v>12</v>
      </c>
      <c r="L22" s="45">
        <v>12</v>
      </c>
      <c r="M22" s="45">
        <v>12</v>
      </c>
      <c r="N22" s="45">
        <v>12</v>
      </c>
      <c r="O22" s="45">
        <v>12</v>
      </c>
      <c r="P22" s="45">
        <v>12</v>
      </c>
      <c r="Q22" s="45">
        <v>12</v>
      </c>
      <c r="R22" s="45">
        <v>12</v>
      </c>
      <c r="S22" s="45">
        <v>12</v>
      </c>
      <c r="T22" s="45">
        <v>12</v>
      </c>
      <c r="U22" s="45">
        <v>12</v>
      </c>
      <c r="V22" s="45">
        <v>12</v>
      </c>
      <c r="W22" s="45">
        <v>12</v>
      </c>
      <c r="X22" s="45">
        <v>12</v>
      </c>
      <c r="Y22" s="45">
        <v>12</v>
      </c>
      <c r="Z22" s="45">
        <v>12</v>
      </c>
      <c r="AA22" s="45">
        <v>12</v>
      </c>
      <c r="AB22" s="45">
        <v>12</v>
      </c>
      <c r="AC22" s="45">
        <v>12</v>
      </c>
      <c r="AD22" s="45">
        <v>12</v>
      </c>
      <c r="AE22" s="45">
        <v>12</v>
      </c>
      <c r="AF22" s="45">
        <v>12</v>
      </c>
      <c r="AG22" s="51">
        <v>22.2</v>
      </c>
      <c r="AH22" s="48">
        <f t="shared" si="2"/>
        <v>12</v>
      </c>
      <c r="AI22" s="49">
        <f t="shared" si="3"/>
        <v>12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18</v>
      </c>
      <c r="C23" s="45">
        <v>18</v>
      </c>
      <c r="D23" s="45">
        <v>18</v>
      </c>
      <c r="E23" s="45">
        <v>18</v>
      </c>
      <c r="F23" s="45">
        <v>18</v>
      </c>
      <c r="G23" s="45">
        <v>18</v>
      </c>
      <c r="H23" s="45">
        <v>18</v>
      </c>
      <c r="I23" s="45">
        <v>18</v>
      </c>
      <c r="J23" s="45">
        <v>18</v>
      </c>
      <c r="K23" s="45">
        <v>18</v>
      </c>
      <c r="L23" s="45">
        <v>18</v>
      </c>
      <c r="M23" s="45">
        <v>18</v>
      </c>
      <c r="N23" s="45">
        <v>18</v>
      </c>
      <c r="O23" s="45">
        <v>18</v>
      </c>
      <c r="P23" s="45">
        <v>18</v>
      </c>
      <c r="Q23" s="45">
        <v>18</v>
      </c>
      <c r="R23" s="45">
        <v>18</v>
      </c>
      <c r="S23" s="45">
        <v>18</v>
      </c>
      <c r="T23" s="45">
        <v>18</v>
      </c>
      <c r="U23" s="45">
        <v>18</v>
      </c>
      <c r="V23" s="45">
        <v>18</v>
      </c>
      <c r="W23" s="45">
        <v>18</v>
      </c>
      <c r="X23" s="45">
        <v>18</v>
      </c>
      <c r="Y23" s="45">
        <v>18</v>
      </c>
      <c r="Z23" s="45">
        <v>18</v>
      </c>
      <c r="AA23" s="45">
        <v>18</v>
      </c>
      <c r="AB23" s="45">
        <v>18</v>
      </c>
      <c r="AC23" s="45">
        <v>18</v>
      </c>
      <c r="AD23" s="45">
        <v>18</v>
      </c>
      <c r="AE23" s="45">
        <v>18</v>
      </c>
      <c r="AF23" s="45">
        <v>18</v>
      </c>
      <c r="AG23" s="51">
        <v>22.1</v>
      </c>
      <c r="AH23" s="48">
        <f t="shared" si="2"/>
        <v>18</v>
      </c>
      <c r="AI23" s="49">
        <f t="shared" si="3"/>
        <v>18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14</v>
      </c>
      <c r="C24" s="45">
        <v>14</v>
      </c>
      <c r="D24" s="45">
        <v>14</v>
      </c>
      <c r="E24" s="45">
        <v>14</v>
      </c>
      <c r="F24" s="45">
        <v>14</v>
      </c>
      <c r="G24" s="45">
        <v>14</v>
      </c>
      <c r="H24" s="45">
        <v>14</v>
      </c>
      <c r="I24" s="45">
        <v>14</v>
      </c>
      <c r="J24" s="45">
        <v>14</v>
      </c>
      <c r="K24" s="45">
        <v>14</v>
      </c>
      <c r="L24" s="45">
        <v>14</v>
      </c>
      <c r="M24" s="45">
        <v>14</v>
      </c>
      <c r="N24" s="45">
        <v>14</v>
      </c>
      <c r="O24" s="45">
        <v>14</v>
      </c>
      <c r="P24" s="45">
        <v>14</v>
      </c>
      <c r="Q24" s="45">
        <v>14</v>
      </c>
      <c r="R24" s="45">
        <v>14</v>
      </c>
      <c r="S24" s="45">
        <v>14</v>
      </c>
      <c r="T24" s="45">
        <v>14</v>
      </c>
      <c r="U24" s="45">
        <v>14</v>
      </c>
      <c r="V24" s="45">
        <v>14</v>
      </c>
      <c r="W24" s="45">
        <v>14</v>
      </c>
      <c r="X24" s="45">
        <v>14</v>
      </c>
      <c r="Y24" s="45">
        <v>14</v>
      </c>
      <c r="Z24" s="45">
        <v>14</v>
      </c>
      <c r="AA24" s="45">
        <v>14</v>
      </c>
      <c r="AB24" s="45">
        <v>14</v>
      </c>
      <c r="AC24" s="45">
        <v>14</v>
      </c>
      <c r="AD24" s="45">
        <v>14</v>
      </c>
      <c r="AE24" s="45">
        <v>14</v>
      </c>
      <c r="AF24" s="45">
        <v>14</v>
      </c>
      <c r="AG24" s="51">
        <v>22</v>
      </c>
      <c r="AH24" s="48">
        <f t="shared" si="2"/>
        <v>14</v>
      </c>
      <c r="AI24" s="49">
        <f t="shared" si="3"/>
        <v>14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15</v>
      </c>
      <c r="C25" s="45">
        <v>15</v>
      </c>
      <c r="D25" s="45">
        <v>15</v>
      </c>
      <c r="E25" s="45">
        <v>15</v>
      </c>
      <c r="F25" s="45">
        <v>15</v>
      </c>
      <c r="G25" s="45">
        <v>15</v>
      </c>
      <c r="H25" s="45">
        <v>19</v>
      </c>
      <c r="I25" s="45">
        <v>19</v>
      </c>
      <c r="J25" s="45">
        <v>19</v>
      </c>
      <c r="K25" s="45">
        <v>19</v>
      </c>
      <c r="L25" s="45">
        <v>19</v>
      </c>
      <c r="M25" s="45">
        <v>15</v>
      </c>
      <c r="N25" s="45">
        <v>15</v>
      </c>
      <c r="O25" s="45">
        <v>15</v>
      </c>
      <c r="P25" s="45">
        <v>15</v>
      </c>
      <c r="Q25" s="45">
        <v>15</v>
      </c>
      <c r="R25" s="45">
        <v>15</v>
      </c>
      <c r="S25" s="45">
        <v>15</v>
      </c>
      <c r="T25" s="45">
        <v>15</v>
      </c>
      <c r="U25" s="45">
        <v>15</v>
      </c>
      <c r="V25" s="45">
        <v>15</v>
      </c>
      <c r="W25" s="45">
        <v>15</v>
      </c>
      <c r="X25" s="45">
        <v>15</v>
      </c>
      <c r="Y25" s="45">
        <v>15</v>
      </c>
      <c r="Z25" s="45">
        <v>15</v>
      </c>
      <c r="AA25" s="45">
        <v>15</v>
      </c>
      <c r="AB25" s="45">
        <v>15</v>
      </c>
      <c r="AC25" s="45">
        <v>15</v>
      </c>
      <c r="AD25" s="45">
        <v>15</v>
      </c>
      <c r="AE25" s="45">
        <v>15</v>
      </c>
      <c r="AF25" s="45">
        <v>15</v>
      </c>
      <c r="AG25" s="51">
        <v>22</v>
      </c>
      <c r="AH25" s="48">
        <f t="shared" si="2"/>
        <v>19</v>
      </c>
      <c r="AI25" s="49">
        <f t="shared" si="3"/>
        <v>15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10</v>
      </c>
      <c r="L26" s="45">
        <v>10</v>
      </c>
      <c r="M26" s="45">
        <v>10</v>
      </c>
      <c r="N26" s="45">
        <v>10</v>
      </c>
      <c r="O26" s="45">
        <v>5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11</v>
      </c>
      <c r="C27" s="45">
        <v>11</v>
      </c>
      <c r="D27" s="45">
        <v>11</v>
      </c>
      <c r="E27" s="45">
        <v>11</v>
      </c>
      <c r="F27" s="45">
        <v>11</v>
      </c>
      <c r="G27" s="45">
        <v>11</v>
      </c>
      <c r="H27" s="45">
        <v>11</v>
      </c>
      <c r="I27" s="45">
        <v>11</v>
      </c>
      <c r="J27" s="45">
        <v>11</v>
      </c>
      <c r="K27" s="45">
        <v>11</v>
      </c>
      <c r="L27" s="45">
        <v>11</v>
      </c>
      <c r="M27" s="45">
        <v>11</v>
      </c>
      <c r="N27" s="45">
        <v>11</v>
      </c>
      <c r="O27" s="45">
        <v>11</v>
      </c>
      <c r="P27" s="45">
        <v>11</v>
      </c>
      <c r="Q27" s="45">
        <v>11</v>
      </c>
      <c r="R27" s="45">
        <v>11</v>
      </c>
      <c r="S27" s="45">
        <v>11</v>
      </c>
      <c r="T27" s="45">
        <v>11</v>
      </c>
      <c r="U27" s="45">
        <v>11</v>
      </c>
      <c r="V27" s="45">
        <v>11</v>
      </c>
      <c r="W27" s="45">
        <v>11</v>
      </c>
      <c r="X27" s="45">
        <v>11</v>
      </c>
      <c r="Y27" s="45">
        <v>11</v>
      </c>
      <c r="Z27" s="45">
        <v>11</v>
      </c>
      <c r="AA27" s="45">
        <v>11</v>
      </c>
      <c r="AB27" s="45">
        <v>11</v>
      </c>
      <c r="AC27" s="45">
        <v>11</v>
      </c>
      <c r="AD27" s="45">
        <v>11</v>
      </c>
      <c r="AE27" s="45">
        <v>11</v>
      </c>
      <c r="AF27" s="45">
        <v>11</v>
      </c>
      <c r="AG27" s="51">
        <v>14.9</v>
      </c>
      <c r="AH27" s="48">
        <f t="shared" si="2"/>
        <v>11</v>
      </c>
      <c r="AI27" s="49">
        <f t="shared" si="3"/>
        <v>11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3.5</v>
      </c>
      <c r="C28" s="45">
        <v>3.5</v>
      </c>
      <c r="D28" s="45">
        <v>3.5</v>
      </c>
      <c r="E28" s="45">
        <v>3.5</v>
      </c>
      <c r="F28" s="45">
        <v>3.5</v>
      </c>
      <c r="G28" s="45">
        <v>3.5</v>
      </c>
      <c r="H28" s="45">
        <v>3.5</v>
      </c>
      <c r="I28" s="45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>
        <v>3.5</v>
      </c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45">
        <v>3.5</v>
      </c>
      <c r="Y28" s="45">
        <v>3.5</v>
      </c>
      <c r="Z28" s="45">
        <v>3.5</v>
      </c>
      <c r="AA28" s="45">
        <v>3.5</v>
      </c>
      <c r="AB28" s="45">
        <v>3.5</v>
      </c>
      <c r="AC28" s="45">
        <v>3.5</v>
      </c>
      <c r="AD28" s="45">
        <v>3.5</v>
      </c>
      <c r="AE28" s="45">
        <v>3.5</v>
      </c>
      <c r="AF28" s="45">
        <v>3.5</v>
      </c>
      <c r="AG28" s="51">
        <v>13.6</v>
      </c>
      <c r="AH28" s="48">
        <f t="shared" si="2"/>
        <v>3.5</v>
      </c>
      <c r="AI28" s="49">
        <f t="shared" si="3"/>
        <v>3.5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9</v>
      </c>
      <c r="C29" s="45">
        <v>9</v>
      </c>
      <c r="D29" s="45">
        <v>9</v>
      </c>
      <c r="E29" s="45">
        <v>9</v>
      </c>
      <c r="F29" s="45">
        <v>9</v>
      </c>
      <c r="G29" s="45">
        <v>9</v>
      </c>
      <c r="H29" s="45">
        <v>9</v>
      </c>
      <c r="I29" s="45">
        <v>9</v>
      </c>
      <c r="J29" s="45">
        <v>9</v>
      </c>
      <c r="K29" s="45">
        <v>9</v>
      </c>
      <c r="L29" s="45">
        <v>9</v>
      </c>
      <c r="M29" s="45">
        <v>9</v>
      </c>
      <c r="N29" s="45">
        <v>9</v>
      </c>
      <c r="O29" s="45">
        <v>9</v>
      </c>
      <c r="P29" s="45">
        <v>9</v>
      </c>
      <c r="Q29" s="45">
        <v>9</v>
      </c>
      <c r="R29" s="45">
        <v>9</v>
      </c>
      <c r="S29" s="45">
        <v>9</v>
      </c>
      <c r="T29" s="45">
        <v>9</v>
      </c>
      <c r="U29" s="45">
        <v>9</v>
      </c>
      <c r="V29" s="45">
        <v>9</v>
      </c>
      <c r="W29" s="45">
        <v>9</v>
      </c>
      <c r="X29" s="45">
        <v>9</v>
      </c>
      <c r="Y29" s="45">
        <v>9</v>
      </c>
      <c r="Z29" s="45">
        <v>9</v>
      </c>
      <c r="AA29" s="45">
        <v>9</v>
      </c>
      <c r="AB29" s="45">
        <v>9</v>
      </c>
      <c r="AC29" s="45">
        <v>9</v>
      </c>
      <c r="AD29" s="45">
        <v>9</v>
      </c>
      <c r="AE29" s="45">
        <v>9</v>
      </c>
      <c r="AF29" s="45">
        <v>9</v>
      </c>
      <c r="AG29" s="51">
        <v>13</v>
      </c>
      <c r="AH29" s="48">
        <f t="shared" si="2"/>
        <v>9</v>
      </c>
      <c r="AI29" s="49">
        <f t="shared" si="3"/>
        <v>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6</v>
      </c>
      <c r="J30" s="45">
        <v>12</v>
      </c>
      <c r="K30" s="45">
        <v>12</v>
      </c>
      <c r="L30" s="45">
        <v>12</v>
      </c>
      <c r="M30" s="45">
        <v>12</v>
      </c>
      <c r="N30" s="45">
        <v>10</v>
      </c>
      <c r="O30" s="45">
        <v>7</v>
      </c>
      <c r="P30" s="45">
        <v>7</v>
      </c>
      <c r="Q30" s="45">
        <v>7</v>
      </c>
      <c r="R30" s="45">
        <v>7</v>
      </c>
      <c r="S30" s="45">
        <v>7</v>
      </c>
      <c r="T30" s="45">
        <v>7</v>
      </c>
      <c r="U30" s="45">
        <v>7</v>
      </c>
      <c r="V30" s="45">
        <v>7</v>
      </c>
      <c r="W30" s="45">
        <v>7</v>
      </c>
      <c r="X30" s="45">
        <v>7</v>
      </c>
      <c r="Y30" s="45">
        <v>7</v>
      </c>
      <c r="Z30" s="45">
        <v>7</v>
      </c>
      <c r="AA30" s="45">
        <v>7</v>
      </c>
      <c r="AB30" s="45">
        <v>7</v>
      </c>
      <c r="AC30" s="45">
        <v>7</v>
      </c>
      <c r="AD30" s="45">
        <v>0</v>
      </c>
      <c r="AE30" s="45">
        <v>0</v>
      </c>
      <c r="AF30" s="45">
        <v>0</v>
      </c>
      <c r="AG30" s="51">
        <v>12</v>
      </c>
      <c r="AH30" s="48">
        <f t="shared" si="2"/>
        <v>12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12</v>
      </c>
      <c r="C31" s="45">
        <v>12</v>
      </c>
      <c r="D31" s="45">
        <v>12</v>
      </c>
      <c r="E31" s="45">
        <v>12</v>
      </c>
      <c r="F31" s="45">
        <v>12</v>
      </c>
      <c r="G31" s="45">
        <v>12</v>
      </c>
      <c r="H31" s="45">
        <v>12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2"/>
        <v>12</v>
      </c>
      <c r="AI31" s="49">
        <f t="shared" si="3"/>
        <v>12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3</v>
      </c>
      <c r="C32" s="45">
        <v>3</v>
      </c>
      <c r="D32" s="45">
        <v>3</v>
      </c>
      <c r="E32" s="45">
        <v>3</v>
      </c>
      <c r="F32" s="45">
        <v>3</v>
      </c>
      <c r="G32" s="45">
        <v>3</v>
      </c>
      <c r="H32" s="45">
        <v>3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1">
        <v>12</v>
      </c>
      <c r="AH32" s="48">
        <f t="shared" si="2"/>
        <v>3</v>
      </c>
      <c r="AI32" s="49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8</v>
      </c>
      <c r="C33" s="45">
        <v>8</v>
      </c>
      <c r="D33" s="45">
        <v>8</v>
      </c>
      <c r="E33" s="45">
        <v>8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3">
        <v>22</v>
      </c>
      <c r="AH33" s="48">
        <f t="shared" si="2"/>
        <v>8</v>
      </c>
      <c r="AI33" s="49">
        <f t="shared" si="3"/>
        <v>8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9</v>
      </c>
      <c r="C34" s="45">
        <v>9</v>
      </c>
      <c r="D34" s="45">
        <v>9</v>
      </c>
      <c r="E34" s="45">
        <v>9</v>
      </c>
      <c r="F34" s="45">
        <v>9</v>
      </c>
      <c r="G34" s="45">
        <v>9</v>
      </c>
      <c r="H34" s="45">
        <v>9</v>
      </c>
      <c r="I34" s="45">
        <v>10</v>
      </c>
      <c r="J34" s="45">
        <v>10</v>
      </c>
      <c r="K34" s="45">
        <v>10</v>
      </c>
      <c r="L34" s="45">
        <v>10</v>
      </c>
      <c r="M34" s="45">
        <v>10</v>
      </c>
      <c r="N34" s="45">
        <v>10</v>
      </c>
      <c r="O34" s="45">
        <v>10</v>
      </c>
      <c r="P34" s="45">
        <v>10</v>
      </c>
      <c r="Q34" s="45">
        <v>10</v>
      </c>
      <c r="R34" s="45">
        <v>10</v>
      </c>
      <c r="S34" s="45">
        <v>10</v>
      </c>
      <c r="T34" s="45">
        <v>10</v>
      </c>
      <c r="U34" s="45">
        <v>10</v>
      </c>
      <c r="V34" s="45">
        <v>10</v>
      </c>
      <c r="W34" s="45">
        <v>10</v>
      </c>
      <c r="X34" s="45">
        <v>10</v>
      </c>
      <c r="Y34" s="45">
        <v>10</v>
      </c>
      <c r="Z34" s="45">
        <v>10</v>
      </c>
      <c r="AA34" s="45">
        <v>10</v>
      </c>
      <c r="AB34" s="45">
        <v>10</v>
      </c>
      <c r="AC34" s="45">
        <v>10</v>
      </c>
      <c r="AD34" s="45">
        <v>10</v>
      </c>
      <c r="AE34" s="45">
        <v>10</v>
      </c>
      <c r="AF34" s="45">
        <v>10</v>
      </c>
      <c r="AG34" s="52">
        <v>11.88</v>
      </c>
      <c r="AH34" s="48">
        <f t="shared" si="2"/>
        <v>10</v>
      </c>
      <c r="AI34" s="49">
        <f t="shared" si="3"/>
        <v>9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9</v>
      </c>
      <c r="C35" s="45">
        <v>9</v>
      </c>
      <c r="D35" s="45">
        <v>9</v>
      </c>
      <c r="E35" s="45">
        <v>9</v>
      </c>
      <c r="F35" s="45">
        <v>9</v>
      </c>
      <c r="G35" s="45">
        <v>9</v>
      </c>
      <c r="H35" s="45">
        <v>9</v>
      </c>
      <c r="I35" s="45">
        <v>9</v>
      </c>
      <c r="J35" s="45">
        <v>9</v>
      </c>
      <c r="K35" s="45">
        <v>9</v>
      </c>
      <c r="L35" s="45">
        <v>9</v>
      </c>
      <c r="M35" s="45">
        <v>9</v>
      </c>
      <c r="N35" s="45">
        <v>9</v>
      </c>
      <c r="O35" s="45">
        <v>9</v>
      </c>
      <c r="P35" s="45">
        <v>9</v>
      </c>
      <c r="Q35" s="45">
        <v>9</v>
      </c>
      <c r="R35" s="45">
        <v>9</v>
      </c>
      <c r="S35" s="45">
        <v>9</v>
      </c>
      <c r="T35" s="45">
        <v>9</v>
      </c>
      <c r="U35" s="45">
        <v>9</v>
      </c>
      <c r="V35" s="45">
        <v>9</v>
      </c>
      <c r="W35" s="45">
        <v>9</v>
      </c>
      <c r="X35" s="45">
        <v>9</v>
      </c>
      <c r="Y35" s="45">
        <v>9</v>
      </c>
      <c r="Z35" s="45">
        <v>9</v>
      </c>
      <c r="AA35" s="45">
        <v>9</v>
      </c>
      <c r="AB35" s="45">
        <v>9</v>
      </c>
      <c r="AC35" s="45">
        <v>9</v>
      </c>
      <c r="AD35" s="45">
        <v>9</v>
      </c>
      <c r="AE35" s="45">
        <v>9</v>
      </c>
      <c r="AF35" s="45">
        <v>9</v>
      </c>
      <c r="AG35" s="55">
        <v>11</v>
      </c>
      <c r="AH35" s="48">
        <f t="shared" si="2"/>
        <v>9</v>
      </c>
      <c r="AI35" s="49">
        <f t="shared" si="3"/>
        <v>9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5">
        <v>10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0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300</v>
      </c>
      <c r="C38" s="57">
        <v>300</v>
      </c>
      <c r="D38" s="57">
        <v>300</v>
      </c>
      <c r="E38" s="57">
        <v>300</v>
      </c>
      <c r="F38" s="57">
        <v>300</v>
      </c>
      <c r="G38" s="57">
        <v>300</v>
      </c>
      <c r="H38" s="57">
        <v>300</v>
      </c>
      <c r="I38" s="57">
        <v>300</v>
      </c>
      <c r="J38" s="57">
        <v>300</v>
      </c>
      <c r="K38" s="57">
        <v>300</v>
      </c>
      <c r="L38" s="57">
        <v>300</v>
      </c>
      <c r="M38" s="57">
        <v>300</v>
      </c>
      <c r="N38" s="57">
        <v>300</v>
      </c>
      <c r="O38" s="57">
        <v>300</v>
      </c>
      <c r="P38" s="57">
        <v>300</v>
      </c>
      <c r="Q38" s="57">
        <v>300</v>
      </c>
      <c r="R38" s="57">
        <v>300</v>
      </c>
      <c r="S38" s="57">
        <v>300</v>
      </c>
      <c r="T38" s="57">
        <v>300</v>
      </c>
      <c r="U38" s="57">
        <v>300</v>
      </c>
      <c r="V38" s="57">
        <v>300</v>
      </c>
      <c r="W38" s="57">
        <v>300</v>
      </c>
      <c r="X38" s="57">
        <v>300</v>
      </c>
      <c r="Y38" s="57">
        <v>300</v>
      </c>
      <c r="Z38" s="57">
        <v>300</v>
      </c>
      <c r="AA38" s="57">
        <v>300</v>
      </c>
      <c r="AB38" s="57">
        <v>300</v>
      </c>
      <c r="AC38" s="57">
        <v>300</v>
      </c>
      <c r="AD38" s="57">
        <v>300</v>
      </c>
      <c r="AE38" s="57">
        <v>300</v>
      </c>
      <c r="AF38" s="57">
        <v>300</v>
      </c>
      <c r="AG38" s="55">
        <v>85</v>
      </c>
      <c r="AH38" s="48">
        <f t="shared" si="2"/>
        <v>300</v>
      </c>
      <c r="AI38" s="49">
        <f t="shared" si="3"/>
        <v>300</v>
      </c>
      <c r="AK38" s="50"/>
    </row>
    <row r="39" spans="1:88" ht="15.75" thickBot="1" x14ac:dyDescent="0.3">
      <c r="A39" s="58" t="s">
        <v>47</v>
      </c>
      <c r="B39" s="59">
        <v>129.9</v>
      </c>
      <c r="C39" s="59">
        <f>57.1+74.4</f>
        <v>131.5</v>
      </c>
      <c r="D39" s="59">
        <f>57.3+75</f>
        <v>132.30000000000001</v>
      </c>
      <c r="E39" s="59">
        <f>57+74.1</f>
        <v>131.1</v>
      </c>
      <c r="F39" s="59">
        <f>57+75.8</f>
        <v>132.80000000000001</v>
      </c>
      <c r="G39" s="59">
        <f>57.2+70.2</f>
        <v>127.4</v>
      </c>
      <c r="H39" s="59">
        <f>57.2+73.1</f>
        <v>130.30000000000001</v>
      </c>
      <c r="I39" s="59">
        <f>57.1+72.6</f>
        <v>129.69999999999999</v>
      </c>
      <c r="J39" s="59">
        <f>56.9+72.7</f>
        <v>129.6</v>
      </c>
      <c r="K39" s="59">
        <f>56.9+72.9</f>
        <v>129.80000000000001</v>
      </c>
      <c r="L39" s="57">
        <f>58.3+73.4</f>
        <v>131.69999999999999</v>
      </c>
      <c r="M39" s="57">
        <f>72.9+57.7</f>
        <v>130.60000000000002</v>
      </c>
      <c r="N39" s="57">
        <f>73.2+58.2</f>
        <v>131.4</v>
      </c>
      <c r="O39" s="57">
        <f>72.9+51.1</f>
        <v>124</v>
      </c>
      <c r="P39" s="57">
        <f>72.7+51</f>
        <v>123.7</v>
      </c>
      <c r="Q39" s="57">
        <f>72.4+57.7</f>
        <v>130.10000000000002</v>
      </c>
      <c r="R39" s="57">
        <f>73.1+56</f>
        <v>129.1</v>
      </c>
      <c r="S39" s="59">
        <f>73+56</f>
        <v>129</v>
      </c>
      <c r="T39" s="59">
        <f>73+56</f>
        <v>129</v>
      </c>
      <c r="U39" s="59">
        <f>73+56</f>
        <v>129</v>
      </c>
      <c r="V39" s="59">
        <v>123</v>
      </c>
      <c r="W39" s="59">
        <v>123</v>
      </c>
      <c r="X39" s="59">
        <v>123</v>
      </c>
      <c r="Y39" s="59">
        <v>123</v>
      </c>
      <c r="Z39" s="59">
        <v>123</v>
      </c>
      <c r="AA39" s="59">
        <v>123</v>
      </c>
      <c r="AB39" s="59">
        <f>55.9+66.2</f>
        <v>122.1</v>
      </c>
      <c r="AC39" s="59">
        <f>56+66.5</f>
        <v>122.5</v>
      </c>
      <c r="AD39" s="59">
        <f>55.9+66.2</f>
        <v>122.1</v>
      </c>
      <c r="AE39" s="59">
        <f>55.9+66.2</f>
        <v>122.1</v>
      </c>
      <c r="AF39" s="59">
        <f>55.7+70.2</f>
        <v>125.9</v>
      </c>
      <c r="AG39" s="55">
        <v>240</v>
      </c>
      <c r="AH39" s="48">
        <f t="shared" si="2"/>
        <v>132.80000000000001</v>
      </c>
      <c r="AI39" s="49">
        <f t="shared" si="3"/>
        <v>122.1</v>
      </c>
      <c r="AK39" s="50"/>
    </row>
    <row r="40" spans="1:88" ht="15.75" thickBot="1" x14ac:dyDescent="0.3">
      <c r="A40" s="60" t="s">
        <v>48</v>
      </c>
      <c r="B40" s="61">
        <f t="shared" ref="B40:AG40" si="4">SUM(B11:B38)</f>
        <v>681.7</v>
      </c>
      <c r="C40" s="61">
        <f t="shared" si="4"/>
        <v>681.7</v>
      </c>
      <c r="D40" s="61">
        <f t="shared" si="4"/>
        <v>681.7</v>
      </c>
      <c r="E40" s="61">
        <f t="shared" si="4"/>
        <v>681.7</v>
      </c>
      <c r="F40" s="61">
        <f t="shared" si="4"/>
        <v>681.7</v>
      </c>
      <c r="G40" s="61">
        <f t="shared" si="4"/>
        <v>685.1</v>
      </c>
      <c r="H40" s="61">
        <f t="shared" si="4"/>
        <v>689.1</v>
      </c>
      <c r="I40" s="61">
        <f t="shared" si="4"/>
        <v>732.1</v>
      </c>
      <c r="J40" s="61">
        <f t="shared" si="4"/>
        <v>761.1</v>
      </c>
      <c r="K40" s="61">
        <f t="shared" si="4"/>
        <v>785.40000000000009</v>
      </c>
      <c r="L40" s="61">
        <f t="shared" si="4"/>
        <v>785.5</v>
      </c>
      <c r="M40" s="61">
        <f t="shared" si="4"/>
        <v>774.5</v>
      </c>
      <c r="N40" s="61">
        <f t="shared" si="4"/>
        <v>756.7</v>
      </c>
      <c r="O40" s="61">
        <f t="shared" si="4"/>
        <v>743.7</v>
      </c>
      <c r="P40" s="61">
        <f t="shared" si="4"/>
        <v>730.5</v>
      </c>
      <c r="Q40" s="61">
        <f t="shared" si="4"/>
        <v>730.8</v>
      </c>
      <c r="R40" s="61">
        <f t="shared" si="4"/>
        <v>726.5</v>
      </c>
      <c r="S40" s="61">
        <f t="shared" si="4"/>
        <v>713.9</v>
      </c>
      <c r="T40" s="61">
        <f t="shared" si="4"/>
        <v>724.9</v>
      </c>
      <c r="U40" s="61">
        <f t="shared" si="4"/>
        <v>725.9</v>
      </c>
      <c r="V40" s="61">
        <f t="shared" si="4"/>
        <v>711.7</v>
      </c>
      <c r="W40" s="61">
        <f t="shared" si="4"/>
        <v>721.7</v>
      </c>
      <c r="X40" s="61">
        <f t="shared" si="4"/>
        <v>754.7</v>
      </c>
      <c r="Y40" s="61">
        <f t="shared" si="4"/>
        <v>754.7</v>
      </c>
      <c r="Z40" s="61">
        <f t="shared" si="4"/>
        <v>748.7</v>
      </c>
      <c r="AA40" s="61">
        <f t="shared" si="4"/>
        <v>748.7</v>
      </c>
      <c r="AB40" s="61">
        <f t="shared" si="4"/>
        <v>747.1</v>
      </c>
      <c r="AC40" s="61">
        <f t="shared" si="4"/>
        <v>747.1</v>
      </c>
      <c r="AD40" s="61">
        <f t="shared" si="4"/>
        <v>696.8</v>
      </c>
      <c r="AE40" s="61">
        <f t="shared" si="4"/>
        <v>692.8</v>
      </c>
      <c r="AF40" s="61">
        <f t="shared" si="4"/>
        <v>688.8</v>
      </c>
      <c r="AG40" s="62">
        <f t="shared" si="4"/>
        <v>707.78000000000009</v>
      </c>
      <c r="AH40" s="48">
        <f t="shared" si="2"/>
        <v>785.5</v>
      </c>
      <c r="AI40" s="49">
        <f t="shared" si="3"/>
        <v>681.7</v>
      </c>
      <c r="AK40" s="50"/>
    </row>
    <row r="41" spans="1:88" x14ac:dyDescent="0.25">
      <c r="A41" s="63" t="s">
        <v>49</v>
      </c>
      <c r="B41" s="45">
        <v>240</v>
      </c>
      <c r="C41" s="45">
        <v>260</v>
      </c>
      <c r="D41" s="45">
        <v>270</v>
      </c>
      <c r="E41" s="45">
        <v>220</v>
      </c>
      <c r="F41" s="45">
        <v>220</v>
      </c>
      <c r="G41" s="45">
        <v>220</v>
      </c>
      <c r="H41" s="45">
        <v>220</v>
      </c>
      <c r="I41" s="45">
        <v>230</v>
      </c>
      <c r="J41" s="45">
        <v>240</v>
      </c>
      <c r="K41" s="45">
        <v>320</v>
      </c>
      <c r="L41" s="45">
        <v>350</v>
      </c>
      <c r="M41" s="45">
        <v>320</v>
      </c>
      <c r="N41" s="45">
        <v>245</v>
      </c>
      <c r="O41" s="45">
        <v>230</v>
      </c>
      <c r="P41" s="45">
        <v>165</v>
      </c>
      <c r="Q41" s="45">
        <v>110</v>
      </c>
      <c r="R41" s="45">
        <v>120</v>
      </c>
      <c r="S41" s="45">
        <v>108</v>
      </c>
      <c r="T41" s="45">
        <v>110</v>
      </c>
      <c r="U41" s="45">
        <v>110</v>
      </c>
      <c r="V41" s="45">
        <v>160</v>
      </c>
      <c r="W41" s="45">
        <v>210</v>
      </c>
      <c r="X41" s="45">
        <v>330</v>
      </c>
      <c r="Y41" s="45">
        <v>320</v>
      </c>
      <c r="Z41" s="45">
        <v>456</v>
      </c>
      <c r="AA41" s="45">
        <v>415</v>
      </c>
      <c r="AB41" s="45">
        <v>250</v>
      </c>
      <c r="AC41" s="45">
        <v>250</v>
      </c>
      <c r="AD41" s="45">
        <v>250</v>
      </c>
      <c r="AE41" s="45">
        <v>230</v>
      </c>
      <c r="AF41" s="45">
        <v>250</v>
      </c>
      <c r="AG41" s="52">
        <v>456</v>
      </c>
      <c r="AH41" s="48">
        <f t="shared" si="2"/>
        <v>456</v>
      </c>
      <c r="AI41" s="49">
        <f t="shared" si="3"/>
        <v>108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0</v>
      </c>
      <c r="AK42" s="50"/>
    </row>
    <row r="43" spans="1:88" ht="15.75" thickBot="1" x14ac:dyDescent="0.3">
      <c r="A43" s="66" t="s">
        <v>51</v>
      </c>
      <c r="B43" s="67">
        <v>22</v>
      </c>
      <c r="C43" s="67">
        <v>22</v>
      </c>
      <c r="D43" s="67">
        <v>22</v>
      </c>
      <c r="E43" s="67">
        <v>22.4</v>
      </c>
      <c r="F43" s="67">
        <v>22.4</v>
      </c>
      <c r="G43" s="67">
        <v>22.4</v>
      </c>
      <c r="H43" s="67">
        <v>22.4</v>
      </c>
      <c r="I43" s="67">
        <v>22.4</v>
      </c>
      <c r="J43" s="67">
        <v>22.4</v>
      </c>
      <c r="K43" s="67">
        <v>22.4</v>
      </c>
      <c r="L43" s="67">
        <v>22.5</v>
      </c>
      <c r="M43" s="67">
        <v>22.5</v>
      </c>
      <c r="N43" s="67">
        <v>22.5</v>
      </c>
      <c r="O43" s="67">
        <v>22.5</v>
      </c>
      <c r="P43" s="67">
        <v>22.4</v>
      </c>
      <c r="Q43" s="67">
        <v>225</v>
      </c>
      <c r="R43" s="67">
        <v>22.4</v>
      </c>
      <c r="S43" s="67">
        <v>22.4</v>
      </c>
      <c r="T43" s="67">
        <v>22.4</v>
      </c>
      <c r="U43" s="67">
        <v>22.4</v>
      </c>
      <c r="V43" s="67">
        <v>22.4</v>
      </c>
      <c r="W43" s="67">
        <v>22.4</v>
      </c>
      <c r="X43" s="67">
        <v>22.4</v>
      </c>
      <c r="Y43" s="67">
        <v>22.4</v>
      </c>
      <c r="Z43" s="67">
        <v>22.4</v>
      </c>
      <c r="AA43" s="67">
        <v>22.4</v>
      </c>
      <c r="AB43" s="67">
        <v>22.4</v>
      </c>
      <c r="AC43" s="67">
        <v>22.4</v>
      </c>
      <c r="AD43" s="67">
        <v>22.4</v>
      </c>
      <c r="AE43" s="67">
        <v>22.4</v>
      </c>
      <c r="AF43" s="67">
        <v>397</v>
      </c>
      <c r="AG43" s="68">
        <v>22.1</v>
      </c>
      <c r="AH43" s="48">
        <f t="shared" si="2"/>
        <v>397</v>
      </c>
      <c r="AI43" s="49">
        <f t="shared" si="3"/>
        <v>22</v>
      </c>
      <c r="AK43" s="50"/>
    </row>
    <row r="44" spans="1:88" ht="15.75" thickBot="1" x14ac:dyDescent="0.3">
      <c r="A44" s="69" t="s">
        <v>52</v>
      </c>
      <c r="B44" s="61">
        <f t="shared" ref="B44:AG44" si="5">SUM(B41:B43)</f>
        <v>322</v>
      </c>
      <c r="C44" s="61">
        <f t="shared" si="5"/>
        <v>342</v>
      </c>
      <c r="D44" s="61">
        <f t="shared" si="5"/>
        <v>352</v>
      </c>
      <c r="E44" s="61">
        <f t="shared" si="5"/>
        <v>302.39999999999998</v>
      </c>
      <c r="F44" s="61">
        <f t="shared" si="5"/>
        <v>302.39999999999998</v>
      </c>
      <c r="G44" s="61">
        <f t="shared" si="5"/>
        <v>302.39999999999998</v>
      </c>
      <c r="H44" s="61">
        <f t="shared" si="5"/>
        <v>302.39999999999998</v>
      </c>
      <c r="I44" s="61">
        <f t="shared" si="5"/>
        <v>312.39999999999998</v>
      </c>
      <c r="J44" s="61">
        <f t="shared" si="5"/>
        <v>322.39999999999998</v>
      </c>
      <c r="K44" s="61">
        <f t="shared" si="5"/>
        <v>402.4</v>
      </c>
      <c r="L44" s="61">
        <f t="shared" si="5"/>
        <v>432.5</v>
      </c>
      <c r="M44" s="61">
        <f t="shared" si="5"/>
        <v>402.5</v>
      </c>
      <c r="N44" s="61">
        <f t="shared" si="5"/>
        <v>327.5</v>
      </c>
      <c r="O44" s="61">
        <f t="shared" si="5"/>
        <v>312.5</v>
      </c>
      <c r="P44" s="61">
        <f t="shared" si="5"/>
        <v>247.4</v>
      </c>
      <c r="Q44" s="61">
        <f t="shared" si="5"/>
        <v>395</v>
      </c>
      <c r="R44" s="61">
        <f t="shared" si="5"/>
        <v>142.4</v>
      </c>
      <c r="S44" s="61">
        <f t="shared" si="5"/>
        <v>190.4</v>
      </c>
      <c r="T44" s="61">
        <f t="shared" si="5"/>
        <v>192.4</v>
      </c>
      <c r="U44" s="61">
        <f t="shared" si="5"/>
        <v>192.4</v>
      </c>
      <c r="V44" s="61">
        <f t="shared" si="5"/>
        <v>242.4</v>
      </c>
      <c r="W44" s="61">
        <f t="shared" si="5"/>
        <v>292.39999999999998</v>
      </c>
      <c r="X44" s="61">
        <f t="shared" si="5"/>
        <v>412.4</v>
      </c>
      <c r="Y44" s="61">
        <f t="shared" si="5"/>
        <v>402.4</v>
      </c>
      <c r="Z44" s="61">
        <f t="shared" si="5"/>
        <v>538.4</v>
      </c>
      <c r="AA44" s="61">
        <f t="shared" si="5"/>
        <v>497.4</v>
      </c>
      <c r="AB44" s="61">
        <f t="shared" si="5"/>
        <v>332.4</v>
      </c>
      <c r="AC44" s="61">
        <f t="shared" si="5"/>
        <v>332.4</v>
      </c>
      <c r="AD44" s="61">
        <f t="shared" si="5"/>
        <v>332.4</v>
      </c>
      <c r="AE44" s="61">
        <f t="shared" si="5"/>
        <v>312.39999999999998</v>
      </c>
      <c r="AF44" s="61">
        <f t="shared" si="5"/>
        <v>707</v>
      </c>
      <c r="AG44" s="62">
        <f t="shared" si="5"/>
        <v>538.1</v>
      </c>
      <c r="AH44" s="48">
        <f t="shared" si="2"/>
        <v>707</v>
      </c>
      <c r="AI44" s="49">
        <f t="shared" si="3"/>
        <v>142.4</v>
      </c>
      <c r="AK44" s="50"/>
    </row>
    <row r="45" spans="1:88" x14ac:dyDescent="0.25">
      <c r="A45" s="44" t="s">
        <v>53</v>
      </c>
      <c r="B45" s="45">
        <v>91</v>
      </c>
      <c r="C45" s="45">
        <v>91</v>
      </c>
      <c r="D45" s="45">
        <v>91</v>
      </c>
      <c r="E45" s="45">
        <v>91.3</v>
      </c>
      <c r="F45" s="45">
        <v>91.7</v>
      </c>
      <c r="G45" s="45">
        <v>101.5</v>
      </c>
      <c r="H45" s="45">
        <v>141</v>
      </c>
      <c r="I45" s="45">
        <v>143.5</v>
      </c>
      <c r="J45" s="45">
        <v>143.5</v>
      </c>
      <c r="K45" s="45">
        <v>143.5</v>
      </c>
      <c r="L45" s="45">
        <v>143.5</v>
      </c>
      <c r="M45" s="45">
        <v>143.5</v>
      </c>
      <c r="N45" s="45">
        <v>143.5</v>
      </c>
      <c r="O45" s="45">
        <v>143.5</v>
      </c>
      <c r="P45" s="45">
        <v>143.6</v>
      </c>
      <c r="Q45" s="45">
        <v>143.6</v>
      </c>
      <c r="R45" s="45">
        <v>136</v>
      </c>
      <c r="S45" s="45">
        <v>143</v>
      </c>
      <c r="T45" s="45">
        <v>143</v>
      </c>
      <c r="U45" s="45">
        <v>143</v>
      </c>
      <c r="V45" s="45">
        <v>143.6</v>
      </c>
      <c r="W45" s="45">
        <v>143.6</v>
      </c>
      <c r="X45" s="45">
        <v>143.6</v>
      </c>
      <c r="Y45" s="45">
        <v>143.6</v>
      </c>
      <c r="Z45" s="45">
        <v>143.6</v>
      </c>
      <c r="AA45" s="45">
        <v>143.6</v>
      </c>
      <c r="AB45" s="45">
        <v>143.4</v>
      </c>
      <c r="AC45" s="45">
        <v>143.4</v>
      </c>
      <c r="AD45" s="45">
        <v>143.4</v>
      </c>
      <c r="AE45" s="45">
        <v>143.4</v>
      </c>
      <c r="AF45" s="45">
        <v>111.3</v>
      </c>
      <c r="AG45" s="52">
        <v>144</v>
      </c>
      <c r="AH45" s="48">
        <f t="shared" si="2"/>
        <v>143.6</v>
      </c>
      <c r="AI45" s="49">
        <f t="shared" si="3"/>
        <v>91</v>
      </c>
      <c r="AK45" s="50"/>
    </row>
    <row r="46" spans="1:88" x14ac:dyDescent="0.25">
      <c r="A46" s="54" t="s">
        <v>54</v>
      </c>
      <c r="B46" s="65">
        <v>45</v>
      </c>
      <c r="C46" s="65">
        <v>45</v>
      </c>
      <c r="D46" s="65">
        <v>50</v>
      </c>
      <c r="E46" s="65">
        <v>50</v>
      </c>
      <c r="F46" s="65">
        <v>57</v>
      </c>
      <c r="G46" s="65">
        <v>62.7</v>
      </c>
      <c r="H46" s="65">
        <v>72.099999999999994</v>
      </c>
      <c r="I46" s="65">
        <v>72.099999999999994</v>
      </c>
      <c r="J46" s="65">
        <v>72.099999999999994</v>
      </c>
      <c r="K46" s="65">
        <v>72.099999999999994</v>
      </c>
      <c r="L46" s="65">
        <v>72.099999999999994</v>
      </c>
      <c r="M46" s="65">
        <v>71.5</v>
      </c>
      <c r="N46" s="65">
        <v>71.5</v>
      </c>
      <c r="O46" s="65">
        <v>71.5</v>
      </c>
      <c r="P46" s="45">
        <v>72.5</v>
      </c>
      <c r="Q46" s="45">
        <v>70.900000000000006</v>
      </c>
      <c r="R46" s="45">
        <v>74.599999999999994</v>
      </c>
      <c r="S46" s="45">
        <v>74.599999999999994</v>
      </c>
      <c r="T46" s="45">
        <v>74.599999999999994</v>
      </c>
      <c r="U46" s="45">
        <v>74.599999999999994</v>
      </c>
      <c r="V46" s="45">
        <v>74.599999999999994</v>
      </c>
      <c r="W46" s="45">
        <v>74.599999999999994</v>
      </c>
      <c r="X46" s="45">
        <v>74.599999999999994</v>
      </c>
      <c r="Y46" s="45">
        <v>74.599999999999994</v>
      </c>
      <c r="Z46" s="45">
        <v>74.599999999999994</v>
      </c>
      <c r="AA46" s="45">
        <v>74.599999999999994</v>
      </c>
      <c r="AB46" s="45">
        <v>70</v>
      </c>
      <c r="AC46" s="45">
        <v>70</v>
      </c>
      <c r="AD46" s="45">
        <v>70</v>
      </c>
      <c r="AE46" s="45">
        <v>70</v>
      </c>
      <c r="AF46" s="65">
        <v>48.9</v>
      </c>
      <c r="AG46" s="55">
        <v>70</v>
      </c>
      <c r="AH46" s="48">
        <f t="shared" si="2"/>
        <v>74.599999999999994</v>
      </c>
      <c r="AI46" s="49">
        <f t="shared" si="3"/>
        <v>45</v>
      </c>
      <c r="AK46" s="50"/>
    </row>
    <row r="47" spans="1:88" x14ac:dyDescent="0.25">
      <c r="A47" s="54" t="s">
        <v>55</v>
      </c>
      <c r="B47" s="65">
        <v>56</v>
      </c>
      <c r="C47" s="65">
        <v>32.299999999999997</v>
      </c>
      <c r="D47" s="65">
        <v>46</v>
      </c>
      <c r="E47" s="65">
        <v>46</v>
      </c>
      <c r="F47" s="65">
        <v>46.9</v>
      </c>
      <c r="G47" s="65">
        <v>61.1</v>
      </c>
      <c r="H47" s="65">
        <v>69.5</v>
      </c>
      <c r="I47" s="65">
        <v>69.5</v>
      </c>
      <c r="J47" s="65">
        <v>69.5</v>
      </c>
      <c r="K47" s="65">
        <v>69.5</v>
      </c>
      <c r="L47" s="65">
        <v>69.5</v>
      </c>
      <c r="M47" s="65">
        <v>70.3</v>
      </c>
      <c r="N47" s="65">
        <v>70.3</v>
      </c>
      <c r="O47" s="65">
        <v>70.3</v>
      </c>
      <c r="P47" s="45">
        <v>70.599999999999994</v>
      </c>
      <c r="Q47" s="45">
        <v>60.5</v>
      </c>
      <c r="R47" s="45">
        <v>70.099999999999994</v>
      </c>
      <c r="S47" s="45">
        <v>70.099999999999994</v>
      </c>
      <c r="T47" s="45">
        <v>70.099999999999994</v>
      </c>
      <c r="U47" s="45">
        <v>70.099999999999994</v>
      </c>
      <c r="V47" s="45">
        <v>70.099999999999994</v>
      </c>
      <c r="W47" s="45">
        <v>70.099999999999994</v>
      </c>
      <c r="X47" s="45">
        <v>70.099999999999994</v>
      </c>
      <c r="Y47" s="45">
        <v>70.099999999999994</v>
      </c>
      <c r="Z47" s="45">
        <v>70.099999999999994</v>
      </c>
      <c r="AA47" s="45">
        <v>70.099999999999994</v>
      </c>
      <c r="AB47" s="45">
        <v>70</v>
      </c>
      <c r="AC47" s="45">
        <v>70</v>
      </c>
      <c r="AD47" s="45">
        <v>70</v>
      </c>
      <c r="AE47" s="45">
        <v>70</v>
      </c>
      <c r="AF47" s="65">
        <v>50.8</v>
      </c>
      <c r="AG47" s="55">
        <v>69</v>
      </c>
      <c r="AH47" s="48">
        <f t="shared" si="2"/>
        <v>70.599999999999994</v>
      </c>
      <c r="AI47" s="49">
        <f t="shared" si="3"/>
        <v>32.299999999999997</v>
      </c>
      <c r="AK47" s="50"/>
    </row>
    <row r="48" spans="1:88" x14ac:dyDescent="0.25">
      <c r="A48" s="54" t="s">
        <v>56</v>
      </c>
      <c r="B48" s="57">
        <v>41.5</v>
      </c>
      <c r="C48" s="57">
        <v>41.5</v>
      </c>
      <c r="D48" s="57">
        <v>41.5</v>
      </c>
      <c r="E48" s="57">
        <v>45</v>
      </c>
      <c r="F48" s="57">
        <v>41.1</v>
      </c>
      <c r="G48" s="57">
        <v>52.4</v>
      </c>
      <c r="H48" s="57">
        <v>59.7</v>
      </c>
      <c r="I48" s="57">
        <v>59.7</v>
      </c>
      <c r="J48" s="57">
        <v>60.7</v>
      </c>
      <c r="K48" s="57">
        <v>60.7</v>
      </c>
      <c r="L48" s="57">
        <v>60.7</v>
      </c>
      <c r="M48" s="57">
        <v>60.2</v>
      </c>
      <c r="N48" s="57">
        <v>60.2</v>
      </c>
      <c r="O48" s="57">
        <v>60.2</v>
      </c>
      <c r="P48" s="45">
        <v>60.2</v>
      </c>
      <c r="Q48" s="45">
        <v>60.2</v>
      </c>
      <c r="R48" s="45">
        <v>60.2</v>
      </c>
      <c r="S48" s="45">
        <v>60.2</v>
      </c>
      <c r="T48" s="45">
        <v>60.2</v>
      </c>
      <c r="U48" s="45">
        <v>60.2</v>
      </c>
      <c r="V48" s="45">
        <v>60.2</v>
      </c>
      <c r="W48" s="45">
        <v>60.2</v>
      </c>
      <c r="X48" s="45">
        <v>60.2</v>
      </c>
      <c r="Y48" s="45">
        <v>60.2</v>
      </c>
      <c r="Z48" s="45">
        <v>60.2</v>
      </c>
      <c r="AA48" s="45">
        <v>60.2</v>
      </c>
      <c r="AB48" s="45">
        <v>60.4</v>
      </c>
      <c r="AC48" s="45">
        <v>60.4</v>
      </c>
      <c r="AD48" s="45">
        <v>60.4</v>
      </c>
      <c r="AE48" s="45">
        <v>60.4</v>
      </c>
      <c r="AF48" s="57">
        <v>30.5</v>
      </c>
      <c r="AG48" s="55">
        <v>60</v>
      </c>
      <c r="AH48" s="48">
        <f t="shared" si="2"/>
        <v>60.7</v>
      </c>
      <c r="AI48" s="49">
        <f t="shared" si="3"/>
        <v>30.5</v>
      </c>
      <c r="AK48" s="50"/>
    </row>
    <row r="49" spans="1:41" x14ac:dyDescent="0.25">
      <c r="A49" s="54" t="s">
        <v>57</v>
      </c>
      <c r="B49" s="57">
        <v>15</v>
      </c>
      <c r="C49" s="57">
        <v>15</v>
      </c>
      <c r="D49" s="57">
        <v>15</v>
      </c>
      <c r="E49" s="57">
        <v>15</v>
      </c>
      <c r="F49" s="57">
        <v>15</v>
      </c>
      <c r="G49" s="57">
        <v>15</v>
      </c>
      <c r="H49" s="57">
        <v>0</v>
      </c>
      <c r="I49" s="57">
        <v>0</v>
      </c>
      <c r="J49" s="57">
        <v>0</v>
      </c>
      <c r="K49" s="57">
        <v>15</v>
      </c>
      <c r="L49" s="57">
        <v>26</v>
      </c>
      <c r="M49" s="57">
        <v>26</v>
      </c>
      <c r="N49" s="57">
        <v>15</v>
      </c>
      <c r="O49" s="57">
        <v>15</v>
      </c>
      <c r="P49" s="57">
        <v>15</v>
      </c>
      <c r="Q49" s="57">
        <v>15</v>
      </c>
      <c r="R49" s="57">
        <v>15</v>
      </c>
      <c r="S49" s="57">
        <v>15</v>
      </c>
      <c r="T49" s="57">
        <v>13.6</v>
      </c>
      <c r="U49" s="57">
        <v>13.6</v>
      </c>
      <c r="V49" s="57">
        <v>13.6</v>
      </c>
      <c r="W49" s="57">
        <v>13.6</v>
      </c>
      <c r="X49" s="57">
        <v>13.6</v>
      </c>
      <c r="Y49" s="57">
        <v>13.6</v>
      </c>
      <c r="Z49" s="57">
        <v>13.6</v>
      </c>
      <c r="AA49" s="57">
        <v>13.6</v>
      </c>
      <c r="AB49" s="57">
        <v>28</v>
      </c>
      <c r="AC49" s="57">
        <v>28</v>
      </c>
      <c r="AD49" s="57">
        <v>15</v>
      </c>
      <c r="AE49" s="57">
        <v>0</v>
      </c>
      <c r="AF49" s="57">
        <v>0</v>
      </c>
      <c r="AG49" s="55">
        <v>30</v>
      </c>
      <c r="AH49" s="48">
        <f t="shared" si="2"/>
        <v>28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  <c r="AG50" s="55">
        <v>25</v>
      </c>
      <c r="AH50" s="48">
        <f t="shared" si="2"/>
        <v>0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14.9</v>
      </c>
      <c r="C51" s="65">
        <v>14.9</v>
      </c>
      <c r="D51" s="65">
        <v>14.9</v>
      </c>
      <c r="E51" s="65">
        <v>14.9</v>
      </c>
      <c r="F51" s="65">
        <v>14.9</v>
      </c>
      <c r="G51" s="65">
        <v>14.9</v>
      </c>
      <c r="H51" s="65">
        <v>14.9</v>
      </c>
      <c r="I51" s="65">
        <v>14.9</v>
      </c>
      <c r="J51" s="65">
        <v>14.9</v>
      </c>
      <c r="K51" s="65">
        <v>14.9</v>
      </c>
      <c r="L51" s="65">
        <v>14.9</v>
      </c>
      <c r="M51" s="65">
        <v>14.9</v>
      </c>
      <c r="N51" s="65">
        <v>14.9</v>
      </c>
      <c r="O51" s="65">
        <v>14.9</v>
      </c>
      <c r="P51" s="65">
        <v>14.9</v>
      </c>
      <c r="Q51" s="65">
        <v>14.9</v>
      </c>
      <c r="R51" s="65">
        <v>14.9</v>
      </c>
      <c r="S51" s="65">
        <v>14.9</v>
      </c>
      <c r="T51" s="65">
        <v>14.9</v>
      </c>
      <c r="U51" s="65">
        <v>14.9</v>
      </c>
      <c r="V51" s="65">
        <v>14.9</v>
      </c>
      <c r="W51" s="65">
        <v>14.9</v>
      </c>
      <c r="X51" s="65">
        <v>14.9</v>
      </c>
      <c r="Y51" s="65">
        <v>14.9</v>
      </c>
      <c r="Z51" s="65">
        <v>14.9</v>
      </c>
      <c r="AA51" s="65">
        <v>14.9</v>
      </c>
      <c r="AB51" s="65">
        <v>14.9</v>
      </c>
      <c r="AC51" s="65">
        <v>14.9</v>
      </c>
      <c r="AD51" s="65">
        <v>14.9</v>
      </c>
      <c r="AE51" s="65">
        <v>14.9</v>
      </c>
      <c r="AF51" s="65">
        <v>14.7</v>
      </c>
      <c r="AG51" s="55">
        <v>24</v>
      </c>
      <c r="AH51" s="48">
        <f t="shared" si="2"/>
        <v>14.9</v>
      </c>
      <c r="AI51" s="49">
        <f t="shared" si="3"/>
        <v>14.7</v>
      </c>
      <c r="AK51" s="50"/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12.4</v>
      </c>
      <c r="C53" s="65">
        <v>12.4</v>
      </c>
      <c r="D53" s="65">
        <v>12.4</v>
      </c>
      <c r="E53" s="65">
        <v>12.4</v>
      </c>
      <c r="F53" s="65">
        <v>12.4</v>
      </c>
      <c r="G53" s="65">
        <v>12.4</v>
      </c>
      <c r="H53" s="65">
        <v>12.4</v>
      </c>
      <c r="I53" s="65">
        <v>12.4</v>
      </c>
      <c r="J53" s="65">
        <v>12.4</v>
      </c>
      <c r="K53" s="65">
        <v>12.4</v>
      </c>
      <c r="L53" s="65">
        <v>12.4</v>
      </c>
      <c r="M53" s="65">
        <v>12.4</v>
      </c>
      <c r="N53" s="65">
        <v>12.4</v>
      </c>
      <c r="O53" s="65">
        <v>12.4</v>
      </c>
      <c r="P53" s="65">
        <v>12.4</v>
      </c>
      <c r="Q53" s="65">
        <v>12.4</v>
      </c>
      <c r="R53" s="65">
        <v>12.4</v>
      </c>
      <c r="S53" s="65">
        <v>12.4</v>
      </c>
      <c r="T53" s="65">
        <v>12.4</v>
      </c>
      <c r="U53" s="65">
        <v>12.4</v>
      </c>
      <c r="V53" s="65">
        <v>12.4</v>
      </c>
      <c r="W53" s="65">
        <v>12.4</v>
      </c>
      <c r="X53" s="65">
        <v>12.4</v>
      </c>
      <c r="Y53" s="65">
        <v>12.4</v>
      </c>
      <c r="Z53" s="65">
        <v>12.4</v>
      </c>
      <c r="AA53" s="65">
        <v>12.4</v>
      </c>
      <c r="AB53" s="65">
        <v>12.4</v>
      </c>
      <c r="AC53" s="65">
        <v>12.4</v>
      </c>
      <c r="AD53" s="65">
        <v>12.4</v>
      </c>
      <c r="AE53" s="65">
        <v>12.4</v>
      </c>
      <c r="AF53" s="65">
        <v>11.7</v>
      </c>
      <c r="AG53" s="55">
        <v>14.1</v>
      </c>
      <c r="AH53" s="48">
        <f t="shared" si="2"/>
        <v>12.4</v>
      </c>
      <c r="AI53" s="49">
        <f t="shared" si="3"/>
        <v>11.7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0</v>
      </c>
      <c r="C54" s="65">
        <v>0</v>
      </c>
      <c r="D54" s="65">
        <v>9.8000000000000007</v>
      </c>
      <c r="E54" s="65">
        <v>9.8000000000000007</v>
      </c>
      <c r="F54" s="65">
        <v>9.8000000000000007</v>
      </c>
      <c r="G54" s="65">
        <v>14</v>
      </c>
      <c r="H54" s="65">
        <v>14</v>
      </c>
      <c r="I54" s="65">
        <v>14</v>
      </c>
      <c r="J54" s="65">
        <v>14</v>
      </c>
      <c r="K54" s="65">
        <v>14</v>
      </c>
      <c r="L54" s="65">
        <v>14</v>
      </c>
      <c r="M54" s="65">
        <v>14</v>
      </c>
      <c r="N54" s="65">
        <v>14</v>
      </c>
      <c r="O54" s="65">
        <v>14</v>
      </c>
      <c r="P54" s="65">
        <v>14</v>
      </c>
      <c r="Q54" s="65">
        <v>14</v>
      </c>
      <c r="R54" s="65">
        <v>14</v>
      </c>
      <c r="S54" s="65">
        <v>14</v>
      </c>
      <c r="T54" s="65">
        <v>14</v>
      </c>
      <c r="U54" s="65">
        <v>14</v>
      </c>
      <c r="V54" s="65">
        <v>14</v>
      </c>
      <c r="W54" s="65">
        <v>14</v>
      </c>
      <c r="X54" s="65">
        <v>14</v>
      </c>
      <c r="Y54" s="65">
        <v>14</v>
      </c>
      <c r="Z54" s="65">
        <v>14</v>
      </c>
      <c r="AA54" s="65">
        <v>14</v>
      </c>
      <c r="AB54" s="65">
        <v>7.1</v>
      </c>
      <c r="AC54" s="65">
        <v>7.1</v>
      </c>
      <c r="AD54" s="65">
        <v>7.1</v>
      </c>
      <c r="AE54" s="65">
        <v>7.1</v>
      </c>
      <c r="AF54" s="65">
        <v>7.1</v>
      </c>
      <c r="AG54" s="55">
        <v>14</v>
      </c>
      <c r="AH54" s="48">
        <f t="shared" si="2"/>
        <v>14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6.8</v>
      </c>
      <c r="C55" s="65">
        <v>6.8</v>
      </c>
      <c r="D55" s="65">
        <v>6.8</v>
      </c>
      <c r="E55" s="65">
        <v>6.8</v>
      </c>
      <c r="F55" s="65">
        <v>6.8</v>
      </c>
      <c r="G55" s="65">
        <v>6.8</v>
      </c>
      <c r="H55" s="65">
        <v>6.8</v>
      </c>
      <c r="I55" s="65">
        <v>6.8</v>
      </c>
      <c r="J55" s="65">
        <v>6.8</v>
      </c>
      <c r="K55" s="65">
        <v>6.8</v>
      </c>
      <c r="L55" s="65">
        <v>6.8</v>
      </c>
      <c r="M55" s="65">
        <v>6.8</v>
      </c>
      <c r="N55" s="65">
        <v>6.8</v>
      </c>
      <c r="O55" s="65">
        <v>6.8</v>
      </c>
      <c r="P55" s="65">
        <v>6.8</v>
      </c>
      <c r="Q55" s="65">
        <v>6.8</v>
      </c>
      <c r="R55" s="65">
        <v>6.8</v>
      </c>
      <c r="S55" s="65">
        <v>6.8</v>
      </c>
      <c r="T55" s="65">
        <v>6.8</v>
      </c>
      <c r="U55" s="65">
        <v>6.8</v>
      </c>
      <c r="V55" s="65">
        <v>6.8</v>
      </c>
      <c r="W55" s="65">
        <v>6.8</v>
      </c>
      <c r="X55" s="65">
        <v>6.8</v>
      </c>
      <c r="Y55" s="65">
        <v>6.8</v>
      </c>
      <c r="Z55" s="65">
        <v>6.8</v>
      </c>
      <c r="AA55" s="65">
        <v>6.8</v>
      </c>
      <c r="AB55" s="65">
        <v>6.8</v>
      </c>
      <c r="AC55" s="65">
        <v>6.8</v>
      </c>
      <c r="AD55" s="65">
        <v>6.8</v>
      </c>
      <c r="AE55" s="65">
        <v>6.8</v>
      </c>
      <c r="AF55" s="65">
        <v>6.7</v>
      </c>
      <c r="AG55" s="55">
        <v>10.050000000000001</v>
      </c>
      <c r="AH55" s="48">
        <f t="shared" si="2"/>
        <v>6.8</v>
      </c>
      <c r="AI55" s="49">
        <f t="shared" si="3"/>
        <v>6.7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:AG58" si="6">SUM(B45:B57)</f>
        <v>292.33999999999997</v>
      </c>
      <c r="C58" s="61">
        <f t="shared" si="6"/>
        <v>268.64000000000004</v>
      </c>
      <c r="D58" s="61">
        <f t="shared" si="6"/>
        <v>297.14</v>
      </c>
      <c r="E58" s="61">
        <f t="shared" si="6"/>
        <v>300.94</v>
      </c>
      <c r="F58" s="61">
        <f t="shared" si="6"/>
        <v>305.33999999999997</v>
      </c>
      <c r="G58" s="61">
        <f t="shared" si="6"/>
        <v>350.53999999999996</v>
      </c>
      <c r="H58" s="61">
        <f t="shared" si="6"/>
        <v>400.14</v>
      </c>
      <c r="I58" s="61">
        <f t="shared" si="6"/>
        <v>402.64</v>
      </c>
      <c r="J58" s="61">
        <f t="shared" si="6"/>
        <v>403.64</v>
      </c>
      <c r="K58" s="61">
        <f t="shared" si="6"/>
        <v>418.64</v>
      </c>
      <c r="L58" s="61">
        <f t="shared" si="6"/>
        <v>429.64</v>
      </c>
      <c r="M58" s="61">
        <f t="shared" si="6"/>
        <v>429.34</v>
      </c>
      <c r="N58" s="61">
        <f t="shared" si="6"/>
        <v>418.34</v>
      </c>
      <c r="O58" s="61">
        <f t="shared" si="6"/>
        <v>418.34</v>
      </c>
      <c r="P58" s="61">
        <f t="shared" si="6"/>
        <v>419.73999999999995</v>
      </c>
      <c r="Q58" s="61">
        <f t="shared" si="6"/>
        <v>408.03999999999996</v>
      </c>
      <c r="R58" s="61">
        <f t="shared" si="6"/>
        <v>413.73999999999995</v>
      </c>
      <c r="S58" s="61">
        <f t="shared" si="6"/>
        <v>420.73999999999995</v>
      </c>
      <c r="T58" s="61">
        <f t="shared" si="6"/>
        <v>419.34</v>
      </c>
      <c r="U58" s="61">
        <f t="shared" si="6"/>
        <v>419.34</v>
      </c>
      <c r="V58" s="61">
        <f t="shared" si="6"/>
        <v>419.93999999999994</v>
      </c>
      <c r="W58" s="61">
        <f t="shared" si="6"/>
        <v>419.93999999999994</v>
      </c>
      <c r="X58" s="61">
        <f t="shared" si="6"/>
        <v>419.93999999999994</v>
      </c>
      <c r="Y58" s="61">
        <f t="shared" si="6"/>
        <v>419.93999999999994</v>
      </c>
      <c r="Z58" s="61">
        <f t="shared" si="6"/>
        <v>419.93999999999994</v>
      </c>
      <c r="AA58" s="61">
        <f t="shared" si="6"/>
        <v>419.93999999999994</v>
      </c>
      <c r="AB58" s="61">
        <f t="shared" si="6"/>
        <v>422.73999999999995</v>
      </c>
      <c r="AC58" s="61">
        <f t="shared" si="6"/>
        <v>422.73999999999995</v>
      </c>
      <c r="AD58" s="61">
        <f t="shared" si="6"/>
        <v>409.73999999999995</v>
      </c>
      <c r="AE58" s="61">
        <f t="shared" si="6"/>
        <v>394.73999999999995</v>
      </c>
      <c r="AF58" s="61">
        <f t="shared" si="6"/>
        <v>291.44</v>
      </c>
      <c r="AG58" s="62">
        <f t="shared" si="6"/>
        <v>489.91</v>
      </c>
      <c r="AH58" s="48">
        <f t="shared" si="2"/>
        <v>429.64</v>
      </c>
      <c r="AI58" s="49">
        <f t="shared" si="3"/>
        <v>268.64000000000004</v>
      </c>
      <c r="AK58" s="50"/>
    </row>
    <row r="59" spans="1:41" x14ac:dyDescent="0.25">
      <c r="A59" s="44" t="s">
        <v>67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AG62" si="7">SUM(B59:B61)</f>
        <v>0</v>
      </c>
      <c r="C62" s="61">
        <f t="shared" si="7"/>
        <v>0</v>
      </c>
      <c r="D62" s="61">
        <f t="shared" si="7"/>
        <v>0</v>
      </c>
      <c r="E62" s="61">
        <f t="shared" si="7"/>
        <v>0</v>
      </c>
      <c r="F62" s="61">
        <f t="shared" si="7"/>
        <v>0</v>
      </c>
      <c r="G62" s="61">
        <f t="shared" si="7"/>
        <v>0</v>
      </c>
      <c r="H62" s="61">
        <f t="shared" si="7"/>
        <v>0</v>
      </c>
      <c r="I62" s="61">
        <f t="shared" si="7"/>
        <v>0</v>
      </c>
      <c r="J62" s="61">
        <f t="shared" si="7"/>
        <v>0</v>
      </c>
      <c r="K62" s="61">
        <f t="shared" si="7"/>
        <v>0</v>
      </c>
      <c r="L62" s="61">
        <f t="shared" si="7"/>
        <v>0</v>
      </c>
      <c r="M62" s="61">
        <f t="shared" si="7"/>
        <v>0</v>
      </c>
      <c r="N62" s="61">
        <f t="shared" si="7"/>
        <v>0</v>
      </c>
      <c r="O62" s="61">
        <f t="shared" si="7"/>
        <v>0</v>
      </c>
      <c r="P62" s="61">
        <f t="shared" si="7"/>
        <v>0</v>
      </c>
      <c r="Q62" s="61">
        <f t="shared" si="7"/>
        <v>0</v>
      </c>
      <c r="R62" s="61">
        <f t="shared" si="7"/>
        <v>0</v>
      </c>
      <c r="S62" s="61">
        <f t="shared" si="7"/>
        <v>0</v>
      </c>
      <c r="T62" s="61">
        <f t="shared" si="7"/>
        <v>0</v>
      </c>
      <c r="U62" s="61">
        <f t="shared" si="7"/>
        <v>0</v>
      </c>
      <c r="V62" s="61">
        <f t="shared" si="7"/>
        <v>0</v>
      </c>
      <c r="W62" s="61">
        <f t="shared" si="7"/>
        <v>0</v>
      </c>
      <c r="X62" s="61">
        <f t="shared" si="7"/>
        <v>0</v>
      </c>
      <c r="Y62" s="61">
        <f t="shared" si="7"/>
        <v>0</v>
      </c>
      <c r="Z62" s="61">
        <f t="shared" si="7"/>
        <v>0</v>
      </c>
      <c r="AA62" s="61">
        <f t="shared" si="7"/>
        <v>0</v>
      </c>
      <c r="AB62" s="61">
        <f t="shared" si="7"/>
        <v>0</v>
      </c>
      <c r="AC62" s="61">
        <f t="shared" si="7"/>
        <v>0</v>
      </c>
      <c r="AD62" s="61">
        <f t="shared" si="7"/>
        <v>0</v>
      </c>
      <c r="AE62" s="61">
        <f t="shared" si="7"/>
        <v>0</v>
      </c>
      <c r="AF62" s="61">
        <f t="shared" si="7"/>
        <v>0</v>
      </c>
      <c r="AG62" s="62">
        <f t="shared" si="7"/>
        <v>106</v>
      </c>
      <c r="AH62" s="48">
        <f t="shared" si="2"/>
        <v>0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-348</v>
      </c>
      <c r="C65" s="65">
        <v>-367</v>
      </c>
      <c r="D65" s="65">
        <v>-382</v>
      </c>
      <c r="E65" s="65">
        <v>-351</v>
      </c>
      <c r="F65" s="65">
        <v>-358</v>
      </c>
      <c r="G65" s="65">
        <v>-346</v>
      </c>
      <c r="H65" s="65">
        <v>-345</v>
      </c>
      <c r="I65" s="65">
        <v>-348</v>
      </c>
      <c r="J65" s="65">
        <v>-356</v>
      </c>
      <c r="K65" s="65">
        <v>-355</v>
      </c>
      <c r="L65" s="65">
        <v>-359.8</v>
      </c>
      <c r="M65" s="65">
        <v>-352</v>
      </c>
      <c r="N65" s="65">
        <v>-350</v>
      </c>
      <c r="O65" s="65">
        <v>-341</v>
      </c>
      <c r="P65" s="65">
        <v>-263</v>
      </c>
      <c r="Q65" s="65">
        <v>-238</v>
      </c>
      <c r="R65" s="65">
        <v>-195</v>
      </c>
      <c r="S65" s="65">
        <v>-210</v>
      </c>
      <c r="T65" s="65">
        <v>-228</v>
      </c>
      <c r="U65" s="65">
        <v>-228</v>
      </c>
      <c r="V65" s="65">
        <v>-303</v>
      </c>
      <c r="W65" s="65">
        <v>-303</v>
      </c>
      <c r="X65" s="65">
        <v>-350</v>
      </c>
      <c r="Y65" s="65">
        <v>-351</v>
      </c>
      <c r="Z65" s="65">
        <v>-290</v>
      </c>
      <c r="AA65" s="65">
        <v>-360</v>
      </c>
      <c r="AB65" s="65">
        <v>-339</v>
      </c>
      <c r="AC65" s="65">
        <v>-340</v>
      </c>
      <c r="AD65" s="65">
        <v>-360</v>
      </c>
      <c r="AE65" s="65">
        <v>-380</v>
      </c>
      <c r="AF65" s="65">
        <v>-385</v>
      </c>
      <c r="AG65" s="75"/>
      <c r="AH65" s="48">
        <f t="shared" si="2"/>
        <v>-195</v>
      </c>
      <c r="AI65" s="49">
        <f t="shared" si="3"/>
        <v>-385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>
        <v>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9">
        <v>0</v>
      </c>
      <c r="C72" s="79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9">
        <v>0</v>
      </c>
      <c r="C73" s="79">
        <v>0</v>
      </c>
      <c r="D73" s="79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:AF74" si="8">SUMIF(B63:B73,"&gt;0")</f>
        <v>0</v>
      </c>
      <c r="C74" s="61">
        <f t="shared" si="8"/>
        <v>0</v>
      </c>
      <c r="D74" s="61">
        <f t="shared" si="8"/>
        <v>0</v>
      </c>
      <c r="E74" s="61">
        <f t="shared" si="8"/>
        <v>0</v>
      </c>
      <c r="F74" s="61">
        <f t="shared" si="8"/>
        <v>0</v>
      </c>
      <c r="G74" s="61">
        <f t="shared" si="8"/>
        <v>0</v>
      </c>
      <c r="H74" s="61">
        <f t="shared" si="8"/>
        <v>0</v>
      </c>
      <c r="I74" s="61">
        <f t="shared" si="8"/>
        <v>0</v>
      </c>
      <c r="J74" s="61">
        <f t="shared" si="8"/>
        <v>0</v>
      </c>
      <c r="K74" s="61">
        <f t="shared" si="8"/>
        <v>0</v>
      </c>
      <c r="L74" s="61">
        <f t="shared" si="8"/>
        <v>0</v>
      </c>
      <c r="M74" s="61">
        <f t="shared" si="8"/>
        <v>0</v>
      </c>
      <c r="N74" s="61">
        <f t="shared" si="8"/>
        <v>0</v>
      </c>
      <c r="O74" s="61">
        <f t="shared" si="8"/>
        <v>0</v>
      </c>
      <c r="P74" s="61">
        <f t="shared" si="8"/>
        <v>0</v>
      </c>
      <c r="Q74" s="61">
        <f t="shared" si="8"/>
        <v>0</v>
      </c>
      <c r="R74" s="61">
        <f t="shared" si="8"/>
        <v>0</v>
      </c>
      <c r="S74" s="61">
        <f t="shared" si="8"/>
        <v>0</v>
      </c>
      <c r="T74" s="61">
        <f t="shared" si="8"/>
        <v>0</v>
      </c>
      <c r="U74" s="61">
        <f t="shared" si="8"/>
        <v>0</v>
      </c>
      <c r="V74" s="61">
        <f t="shared" si="8"/>
        <v>0</v>
      </c>
      <c r="W74" s="61">
        <f t="shared" si="8"/>
        <v>0</v>
      </c>
      <c r="X74" s="61">
        <f t="shared" si="8"/>
        <v>0</v>
      </c>
      <c r="Y74" s="61">
        <f t="shared" si="8"/>
        <v>0</v>
      </c>
      <c r="Z74" s="61">
        <f t="shared" si="8"/>
        <v>0</v>
      </c>
      <c r="AA74" s="61">
        <f t="shared" si="8"/>
        <v>0</v>
      </c>
      <c r="AB74" s="61">
        <f t="shared" si="8"/>
        <v>0</v>
      </c>
      <c r="AC74" s="61">
        <f t="shared" si="8"/>
        <v>0</v>
      </c>
      <c r="AD74" s="61">
        <f t="shared" si="8"/>
        <v>0</v>
      </c>
      <c r="AE74" s="61">
        <f t="shared" si="8"/>
        <v>0</v>
      </c>
      <c r="AF74" s="61">
        <f t="shared" si="8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44" t="s">
        <v>83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5">
        <v>14.4</v>
      </c>
      <c r="AH76" s="48">
        <f t="shared" ref="AH76:AH109" si="9">MAX(B76:AF76)</f>
        <v>0</v>
      </c>
      <c r="AI76" s="49">
        <f t="shared" ref="AI76:AI109" si="10">MIN(B76:AF76)</f>
        <v>0</v>
      </c>
      <c r="AK76" s="50"/>
    </row>
    <row r="77" spans="1:37" ht="15.75" thickBot="1" x14ac:dyDescent="0.3">
      <c r="A77" s="78" t="s">
        <v>85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80">
        <v>2</v>
      </c>
      <c r="AH77" s="48">
        <f t="shared" si="9"/>
        <v>0</v>
      </c>
      <c r="AI77" s="49">
        <f t="shared" si="10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9"/>
        <v>0</v>
      </c>
      <c r="AI78" s="49">
        <f t="shared" si="10"/>
        <v>0</v>
      </c>
    </row>
    <row r="79" spans="1:37" ht="15.75" thickBot="1" x14ac:dyDescent="0.3">
      <c r="A79" s="74" t="s">
        <v>87</v>
      </c>
      <c r="B79" s="83">
        <f t="shared" ref="B79:AG79" si="11">B40+B44+B62+B58+B74+B78</f>
        <v>1296.04</v>
      </c>
      <c r="C79" s="83">
        <f t="shared" si="11"/>
        <v>1292.3400000000001</v>
      </c>
      <c r="D79" s="83">
        <f t="shared" si="11"/>
        <v>1330.8400000000001</v>
      </c>
      <c r="E79" s="83">
        <f t="shared" si="11"/>
        <v>1285.04</v>
      </c>
      <c r="F79" s="83">
        <f t="shared" si="11"/>
        <v>1289.44</v>
      </c>
      <c r="G79" s="83">
        <f t="shared" si="11"/>
        <v>1338.04</v>
      </c>
      <c r="H79" s="83">
        <f t="shared" si="11"/>
        <v>1391.6399999999999</v>
      </c>
      <c r="I79" s="83">
        <f t="shared" si="11"/>
        <v>1447.1399999999999</v>
      </c>
      <c r="J79" s="83">
        <f t="shared" si="11"/>
        <v>1487.1399999999999</v>
      </c>
      <c r="K79" s="83">
        <f t="shared" si="11"/>
        <v>1606.44</v>
      </c>
      <c r="L79" s="83">
        <f t="shared" si="11"/>
        <v>1647.6399999999999</v>
      </c>
      <c r="M79" s="83">
        <f t="shared" si="11"/>
        <v>1606.34</v>
      </c>
      <c r="N79" s="83">
        <f t="shared" si="11"/>
        <v>1502.54</v>
      </c>
      <c r="O79" s="83">
        <f t="shared" si="11"/>
        <v>1474.54</v>
      </c>
      <c r="P79" s="83">
        <f t="shared" si="11"/>
        <v>1397.6399999999999</v>
      </c>
      <c r="Q79" s="83">
        <f t="shared" si="11"/>
        <v>1533.84</v>
      </c>
      <c r="R79" s="83">
        <f t="shared" si="11"/>
        <v>1282.6399999999999</v>
      </c>
      <c r="S79" s="83">
        <f t="shared" si="11"/>
        <v>1325.04</v>
      </c>
      <c r="T79" s="83">
        <f t="shared" si="11"/>
        <v>1336.6399999999999</v>
      </c>
      <c r="U79" s="83">
        <f t="shared" si="11"/>
        <v>1337.6399999999999</v>
      </c>
      <c r="V79" s="83">
        <f t="shared" si="11"/>
        <v>1374.04</v>
      </c>
      <c r="W79" s="83">
        <f t="shared" si="11"/>
        <v>1434.04</v>
      </c>
      <c r="X79" s="83">
        <f t="shared" si="11"/>
        <v>1587.04</v>
      </c>
      <c r="Y79" s="83">
        <f t="shared" si="11"/>
        <v>1577.04</v>
      </c>
      <c r="Z79" s="83">
        <f t="shared" si="11"/>
        <v>1707.04</v>
      </c>
      <c r="AA79" s="83">
        <f t="shared" si="11"/>
        <v>1666.04</v>
      </c>
      <c r="AB79" s="83">
        <f t="shared" si="11"/>
        <v>1502.24</v>
      </c>
      <c r="AC79" s="83">
        <f t="shared" si="11"/>
        <v>1502.24</v>
      </c>
      <c r="AD79" s="83">
        <f t="shared" si="11"/>
        <v>1438.9399999999998</v>
      </c>
      <c r="AE79" s="83">
        <f t="shared" si="11"/>
        <v>1399.9399999999998</v>
      </c>
      <c r="AF79" s="83">
        <f t="shared" si="11"/>
        <v>1687.24</v>
      </c>
      <c r="AG79" s="62">
        <f t="shared" si="11"/>
        <v>1897.1900000000003</v>
      </c>
      <c r="AH79" s="48">
        <f t="shared" si="9"/>
        <v>1707.04</v>
      </c>
      <c r="AI79" s="49">
        <f t="shared" si="10"/>
        <v>1282.6399999999999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9"/>
        <v>0</v>
      </c>
      <c r="AI80" s="49">
        <f t="shared" si="10"/>
        <v>0</v>
      </c>
    </row>
    <row r="81" spans="1:37" ht="15.75" thickBot="1" x14ac:dyDescent="0.3">
      <c r="A81" s="74" t="s">
        <v>89</v>
      </c>
      <c r="B81" s="83">
        <f t="shared" ref="B81:AF81" si="12">B79+B80</f>
        <v>1296.04</v>
      </c>
      <c r="C81" s="83">
        <f t="shared" si="12"/>
        <v>1292.3400000000001</v>
      </c>
      <c r="D81" s="83">
        <f t="shared" si="12"/>
        <v>1330.8400000000001</v>
      </c>
      <c r="E81" s="83">
        <f t="shared" si="12"/>
        <v>1285.04</v>
      </c>
      <c r="F81" s="83">
        <f t="shared" si="12"/>
        <v>1289.44</v>
      </c>
      <c r="G81" s="83">
        <f t="shared" si="12"/>
        <v>1338.04</v>
      </c>
      <c r="H81" s="83">
        <f t="shared" si="12"/>
        <v>1391.6399999999999</v>
      </c>
      <c r="I81" s="83">
        <f t="shared" si="12"/>
        <v>1447.1399999999999</v>
      </c>
      <c r="J81" s="83">
        <f t="shared" si="12"/>
        <v>1487.1399999999999</v>
      </c>
      <c r="K81" s="83">
        <f t="shared" si="12"/>
        <v>1606.44</v>
      </c>
      <c r="L81" s="83">
        <f t="shared" si="12"/>
        <v>1647.6399999999999</v>
      </c>
      <c r="M81" s="83">
        <f t="shared" si="12"/>
        <v>1606.34</v>
      </c>
      <c r="N81" s="83">
        <f t="shared" si="12"/>
        <v>1502.54</v>
      </c>
      <c r="O81" s="83">
        <f t="shared" si="12"/>
        <v>1474.54</v>
      </c>
      <c r="P81" s="83">
        <f t="shared" si="12"/>
        <v>1397.6399999999999</v>
      </c>
      <c r="Q81" s="83">
        <f t="shared" si="12"/>
        <v>1533.84</v>
      </c>
      <c r="R81" s="83">
        <f t="shared" si="12"/>
        <v>1282.6399999999999</v>
      </c>
      <c r="S81" s="83">
        <f t="shared" si="12"/>
        <v>1325.04</v>
      </c>
      <c r="T81" s="83">
        <f t="shared" si="12"/>
        <v>1336.6399999999999</v>
      </c>
      <c r="U81" s="83">
        <f t="shared" si="12"/>
        <v>1337.6399999999999</v>
      </c>
      <c r="V81" s="83">
        <f t="shared" si="12"/>
        <v>1374.04</v>
      </c>
      <c r="W81" s="83">
        <f t="shared" si="12"/>
        <v>1434.04</v>
      </c>
      <c r="X81" s="83">
        <f t="shared" si="12"/>
        <v>1587.04</v>
      </c>
      <c r="Y81" s="83">
        <f t="shared" si="12"/>
        <v>1577.04</v>
      </c>
      <c r="Z81" s="83">
        <f t="shared" si="12"/>
        <v>1707.04</v>
      </c>
      <c r="AA81" s="83">
        <f t="shared" si="12"/>
        <v>1666.04</v>
      </c>
      <c r="AB81" s="83">
        <f t="shared" si="12"/>
        <v>1502.24</v>
      </c>
      <c r="AC81" s="83">
        <f t="shared" si="12"/>
        <v>1502.24</v>
      </c>
      <c r="AD81" s="83">
        <f t="shared" si="12"/>
        <v>1438.9399999999998</v>
      </c>
      <c r="AE81" s="83">
        <f t="shared" si="12"/>
        <v>1399.9399999999998</v>
      </c>
      <c r="AF81" s="83">
        <f t="shared" si="12"/>
        <v>1687.24</v>
      </c>
      <c r="AG81" s="81">
        <f>AG78+AG74+AG62+AG58+AG40+AG80</f>
        <v>1359.0900000000001</v>
      </c>
      <c r="AH81" s="48">
        <f t="shared" si="9"/>
        <v>1707.04</v>
      </c>
      <c r="AI81" s="49">
        <f t="shared" si="10"/>
        <v>1282.6399999999999</v>
      </c>
    </row>
    <row r="82" spans="1:37" ht="15.75" thickBot="1" x14ac:dyDescent="0.3">
      <c r="A82" s="74" t="s">
        <v>90</v>
      </c>
      <c r="B82" s="83">
        <f t="shared" ref="B82:AF82" si="13">B81-B89</f>
        <v>948.04</v>
      </c>
      <c r="C82" s="83">
        <f t="shared" si="13"/>
        <v>925.34000000000015</v>
      </c>
      <c r="D82" s="83">
        <f t="shared" si="13"/>
        <v>948.84000000000015</v>
      </c>
      <c r="E82" s="83">
        <f t="shared" si="13"/>
        <v>934.04</v>
      </c>
      <c r="F82" s="83">
        <f t="shared" si="13"/>
        <v>931.44</v>
      </c>
      <c r="G82" s="83">
        <f t="shared" si="13"/>
        <v>992.04</v>
      </c>
      <c r="H82" s="83">
        <f t="shared" si="13"/>
        <v>1046.6399999999999</v>
      </c>
      <c r="I82" s="83">
        <f t="shared" si="13"/>
        <v>1099.1399999999999</v>
      </c>
      <c r="J82" s="83">
        <f t="shared" si="13"/>
        <v>1131.1399999999999</v>
      </c>
      <c r="K82" s="83">
        <f t="shared" si="13"/>
        <v>1251.44</v>
      </c>
      <c r="L82" s="83">
        <f t="shared" si="13"/>
        <v>1287.8399999999999</v>
      </c>
      <c r="M82" s="83">
        <f t="shared" si="13"/>
        <v>1254.3399999999999</v>
      </c>
      <c r="N82" s="83">
        <f t="shared" si="13"/>
        <v>1152.54</v>
      </c>
      <c r="O82" s="83">
        <f t="shared" si="13"/>
        <v>1133.54</v>
      </c>
      <c r="P82" s="83">
        <f t="shared" si="13"/>
        <v>1134.6399999999999</v>
      </c>
      <c r="Q82" s="83">
        <f t="shared" si="13"/>
        <v>1295.8399999999999</v>
      </c>
      <c r="R82" s="83">
        <f t="shared" si="13"/>
        <v>1087.6399999999999</v>
      </c>
      <c r="S82" s="83">
        <f t="shared" si="13"/>
        <v>1115.04</v>
      </c>
      <c r="T82" s="83">
        <f t="shared" si="13"/>
        <v>1108.6399999999999</v>
      </c>
      <c r="U82" s="83">
        <f t="shared" si="13"/>
        <v>1109.6399999999999</v>
      </c>
      <c r="V82" s="83">
        <f t="shared" si="13"/>
        <v>1071.04</v>
      </c>
      <c r="W82" s="83">
        <f t="shared" si="13"/>
        <v>1131.04</v>
      </c>
      <c r="X82" s="83">
        <f t="shared" si="13"/>
        <v>1237.04</v>
      </c>
      <c r="Y82" s="83">
        <f t="shared" si="13"/>
        <v>1226.04</v>
      </c>
      <c r="Z82" s="83">
        <f t="shared" si="13"/>
        <v>1417.04</v>
      </c>
      <c r="AA82" s="83">
        <f t="shared" si="13"/>
        <v>1306.04</v>
      </c>
      <c r="AB82" s="83">
        <f t="shared" si="13"/>
        <v>1163.24</v>
      </c>
      <c r="AC82" s="83">
        <f t="shared" si="13"/>
        <v>1162.24</v>
      </c>
      <c r="AD82" s="83">
        <f t="shared" si="13"/>
        <v>1078.9399999999998</v>
      </c>
      <c r="AE82" s="83">
        <f t="shared" si="13"/>
        <v>1019.9399999999998</v>
      </c>
      <c r="AF82" s="83">
        <f t="shared" si="13"/>
        <v>1302.24</v>
      </c>
      <c r="AG82" s="81"/>
      <c r="AH82" s="48">
        <f t="shared" si="9"/>
        <v>1417.04</v>
      </c>
      <c r="AI82" s="49">
        <f t="shared" si="10"/>
        <v>925.34000000000015</v>
      </c>
    </row>
    <row r="83" spans="1:37" x14ac:dyDescent="0.25">
      <c r="A83" s="44" t="s">
        <v>74</v>
      </c>
      <c r="B83" s="76">
        <f t="shared" ref="B83:AF83" si="14">IF(B66&lt;0,B66*-1,0)</f>
        <v>0</v>
      </c>
      <c r="C83" s="76">
        <f t="shared" si="14"/>
        <v>0</v>
      </c>
      <c r="D83" s="76">
        <f t="shared" si="14"/>
        <v>0</v>
      </c>
      <c r="E83" s="76">
        <f t="shared" si="14"/>
        <v>0</v>
      </c>
      <c r="F83" s="76">
        <f t="shared" si="14"/>
        <v>0</v>
      </c>
      <c r="G83" s="76">
        <f t="shared" si="14"/>
        <v>0</v>
      </c>
      <c r="H83" s="76">
        <f t="shared" si="14"/>
        <v>0</v>
      </c>
      <c r="I83" s="76">
        <f t="shared" si="14"/>
        <v>0</v>
      </c>
      <c r="J83" s="76">
        <f t="shared" si="14"/>
        <v>0</v>
      </c>
      <c r="K83" s="76">
        <f t="shared" si="14"/>
        <v>0</v>
      </c>
      <c r="L83" s="76">
        <f t="shared" si="14"/>
        <v>0</v>
      </c>
      <c r="M83" s="76">
        <f t="shared" si="14"/>
        <v>0</v>
      </c>
      <c r="N83" s="76">
        <f t="shared" si="14"/>
        <v>0</v>
      </c>
      <c r="O83" s="76">
        <f t="shared" si="14"/>
        <v>0</v>
      </c>
      <c r="P83" s="76">
        <f t="shared" si="14"/>
        <v>0</v>
      </c>
      <c r="Q83" s="76">
        <f t="shared" si="14"/>
        <v>0</v>
      </c>
      <c r="R83" s="76">
        <f t="shared" si="14"/>
        <v>0</v>
      </c>
      <c r="S83" s="76">
        <f t="shared" si="14"/>
        <v>0</v>
      </c>
      <c r="T83" s="76">
        <f t="shared" si="14"/>
        <v>0</v>
      </c>
      <c r="U83" s="76">
        <f t="shared" si="14"/>
        <v>0</v>
      </c>
      <c r="V83" s="76">
        <f t="shared" si="14"/>
        <v>0</v>
      </c>
      <c r="W83" s="76">
        <f t="shared" si="14"/>
        <v>0</v>
      </c>
      <c r="X83" s="76">
        <f t="shared" si="14"/>
        <v>0</v>
      </c>
      <c r="Y83" s="76">
        <f t="shared" si="14"/>
        <v>0</v>
      </c>
      <c r="Z83" s="76">
        <f t="shared" si="14"/>
        <v>0</v>
      </c>
      <c r="AA83" s="76">
        <f t="shared" si="14"/>
        <v>0</v>
      </c>
      <c r="AB83" s="76">
        <f t="shared" si="14"/>
        <v>0</v>
      </c>
      <c r="AC83" s="76">
        <f t="shared" si="14"/>
        <v>0</v>
      </c>
      <c r="AD83" s="76">
        <f t="shared" si="14"/>
        <v>0</v>
      </c>
      <c r="AE83" s="76">
        <f t="shared" si="14"/>
        <v>0</v>
      </c>
      <c r="AF83" s="76">
        <f t="shared" si="14"/>
        <v>0</v>
      </c>
      <c r="AG83" s="52"/>
      <c r="AH83" s="48">
        <f t="shared" si="9"/>
        <v>0</v>
      </c>
      <c r="AI83" s="49">
        <f t="shared" si="10"/>
        <v>0</v>
      </c>
    </row>
    <row r="84" spans="1:37" x14ac:dyDescent="0.25">
      <c r="A84" s="54" t="s">
        <v>72</v>
      </c>
      <c r="B84" s="76">
        <f t="shared" ref="B84:AF84" si="15">IF(B64&lt;0,B64*-1,0)</f>
        <v>0</v>
      </c>
      <c r="C84" s="76">
        <f t="shared" si="15"/>
        <v>0</v>
      </c>
      <c r="D84" s="76">
        <f t="shared" si="15"/>
        <v>0</v>
      </c>
      <c r="E84" s="76">
        <f t="shared" si="15"/>
        <v>0</v>
      </c>
      <c r="F84" s="76">
        <f t="shared" si="15"/>
        <v>0</v>
      </c>
      <c r="G84" s="76">
        <f t="shared" si="15"/>
        <v>0</v>
      </c>
      <c r="H84" s="76">
        <f t="shared" si="15"/>
        <v>0</v>
      </c>
      <c r="I84" s="76">
        <f t="shared" si="15"/>
        <v>0</v>
      </c>
      <c r="J84" s="76">
        <f t="shared" si="15"/>
        <v>0</v>
      </c>
      <c r="K84" s="76">
        <f t="shared" si="15"/>
        <v>0</v>
      </c>
      <c r="L84" s="76">
        <f t="shared" si="15"/>
        <v>0</v>
      </c>
      <c r="M84" s="76">
        <f t="shared" si="15"/>
        <v>0</v>
      </c>
      <c r="N84" s="76">
        <f t="shared" si="15"/>
        <v>0</v>
      </c>
      <c r="O84" s="76">
        <f t="shared" si="15"/>
        <v>0</v>
      </c>
      <c r="P84" s="76">
        <f t="shared" si="15"/>
        <v>0</v>
      </c>
      <c r="Q84" s="76">
        <f t="shared" si="15"/>
        <v>0</v>
      </c>
      <c r="R84" s="76">
        <f t="shared" si="15"/>
        <v>0</v>
      </c>
      <c r="S84" s="76">
        <f t="shared" si="15"/>
        <v>0</v>
      </c>
      <c r="T84" s="76">
        <f t="shared" si="15"/>
        <v>0</v>
      </c>
      <c r="U84" s="76">
        <f t="shared" si="15"/>
        <v>0</v>
      </c>
      <c r="V84" s="76">
        <f t="shared" si="15"/>
        <v>0</v>
      </c>
      <c r="W84" s="76">
        <f t="shared" si="15"/>
        <v>0</v>
      </c>
      <c r="X84" s="76">
        <f t="shared" si="15"/>
        <v>0</v>
      </c>
      <c r="Y84" s="76">
        <f t="shared" si="15"/>
        <v>0</v>
      </c>
      <c r="Z84" s="76">
        <f t="shared" si="15"/>
        <v>0</v>
      </c>
      <c r="AA84" s="76">
        <f t="shared" si="15"/>
        <v>0</v>
      </c>
      <c r="AB84" s="76">
        <f t="shared" si="15"/>
        <v>0</v>
      </c>
      <c r="AC84" s="76">
        <f t="shared" si="15"/>
        <v>0</v>
      </c>
      <c r="AD84" s="76">
        <f t="shared" si="15"/>
        <v>0</v>
      </c>
      <c r="AE84" s="76">
        <f t="shared" si="15"/>
        <v>0</v>
      </c>
      <c r="AF84" s="76">
        <f t="shared" si="15"/>
        <v>0</v>
      </c>
      <c r="AG84" s="55"/>
      <c r="AH84" s="48">
        <f t="shared" si="9"/>
        <v>0</v>
      </c>
      <c r="AI84" s="49">
        <f t="shared" si="10"/>
        <v>0</v>
      </c>
    </row>
    <row r="85" spans="1:37" x14ac:dyDescent="0.25">
      <c r="A85" s="78" t="s">
        <v>91</v>
      </c>
      <c r="B85" s="76">
        <f t="shared" ref="B85:AF85" si="16">IF(B67&lt;0,B67*-1,0)</f>
        <v>0</v>
      </c>
      <c r="C85" s="76">
        <f t="shared" si="16"/>
        <v>0</v>
      </c>
      <c r="D85" s="76">
        <f t="shared" si="16"/>
        <v>0</v>
      </c>
      <c r="E85" s="76">
        <f t="shared" si="16"/>
        <v>0</v>
      </c>
      <c r="F85" s="76">
        <f t="shared" si="16"/>
        <v>0</v>
      </c>
      <c r="G85" s="76">
        <f t="shared" si="16"/>
        <v>0</v>
      </c>
      <c r="H85" s="76">
        <f t="shared" si="16"/>
        <v>0</v>
      </c>
      <c r="I85" s="76">
        <f t="shared" si="16"/>
        <v>0</v>
      </c>
      <c r="J85" s="76">
        <f t="shared" si="16"/>
        <v>0</v>
      </c>
      <c r="K85" s="76">
        <f t="shared" si="16"/>
        <v>0</v>
      </c>
      <c r="L85" s="76">
        <f t="shared" si="16"/>
        <v>0</v>
      </c>
      <c r="M85" s="76">
        <f t="shared" si="16"/>
        <v>0</v>
      </c>
      <c r="N85" s="76">
        <f t="shared" si="16"/>
        <v>0</v>
      </c>
      <c r="O85" s="76">
        <f t="shared" si="16"/>
        <v>0</v>
      </c>
      <c r="P85" s="76">
        <f t="shared" si="16"/>
        <v>0</v>
      </c>
      <c r="Q85" s="76">
        <f t="shared" si="16"/>
        <v>0</v>
      </c>
      <c r="R85" s="76">
        <f t="shared" si="16"/>
        <v>0</v>
      </c>
      <c r="S85" s="76">
        <f t="shared" si="16"/>
        <v>0</v>
      </c>
      <c r="T85" s="76">
        <f t="shared" si="16"/>
        <v>0</v>
      </c>
      <c r="U85" s="76">
        <f t="shared" si="16"/>
        <v>0</v>
      </c>
      <c r="V85" s="76">
        <f t="shared" si="16"/>
        <v>0</v>
      </c>
      <c r="W85" s="76">
        <f t="shared" si="16"/>
        <v>0</v>
      </c>
      <c r="X85" s="76">
        <f t="shared" si="16"/>
        <v>0</v>
      </c>
      <c r="Y85" s="76">
        <f t="shared" si="16"/>
        <v>0</v>
      </c>
      <c r="Z85" s="76">
        <f t="shared" si="16"/>
        <v>0</v>
      </c>
      <c r="AA85" s="76">
        <f t="shared" si="16"/>
        <v>0</v>
      </c>
      <c r="AB85" s="76">
        <f t="shared" si="16"/>
        <v>0</v>
      </c>
      <c r="AC85" s="76">
        <f t="shared" si="16"/>
        <v>0</v>
      </c>
      <c r="AD85" s="76">
        <f t="shared" si="16"/>
        <v>0</v>
      </c>
      <c r="AE85" s="76">
        <f t="shared" si="16"/>
        <v>0</v>
      </c>
      <c r="AF85" s="76">
        <f t="shared" si="16"/>
        <v>0</v>
      </c>
      <c r="AG85" s="86"/>
      <c r="AH85" s="48">
        <f t="shared" si="9"/>
        <v>0</v>
      </c>
      <c r="AI85" s="49">
        <f t="shared" si="10"/>
        <v>0</v>
      </c>
    </row>
    <row r="86" spans="1:37" x14ac:dyDescent="0.25">
      <c r="A86" s="78" t="s">
        <v>92</v>
      </c>
      <c r="B86" s="76">
        <f t="shared" ref="B86:AF86" si="17">IF(B65&lt;0,B65*-1,0)</f>
        <v>348</v>
      </c>
      <c r="C86" s="76">
        <f t="shared" si="17"/>
        <v>367</v>
      </c>
      <c r="D86" s="76">
        <f t="shared" si="17"/>
        <v>382</v>
      </c>
      <c r="E86" s="76">
        <f t="shared" si="17"/>
        <v>351</v>
      </c>
      <c r="F86" s="76">
        <f t="shared" si="17"/>
        <v>358</v>
      </c>
      <c r="G86" s="76">
        <f t="shared" si="17"/>
        <v>346</v>
      </c>
      <c r="H86" s="76">
        <f t="shared" si="17"/>
        <v>345</v>
      </c>
      <c r="I86" s="76">
        <f t="shared" si="17"/>
        <v>348</v>
      </c>
      <c r="J86" s="76">
        <f t="shared" si="17"/>
        <v>356</v>
      </c>
      <c r="K86" s="76">
        <f t="shared" si="17"/>
        <v>355</v>
      </c>
      <c r="L86" s="76">
        <f t="shared" si="17"/>
        <v>359.8</v>
      </c>
      <c r="M86" s="76">
        <f t="shared" si="17"/>
        <v>352</v>
      </c>
      <c r="N86" s="76">
        <f t="shared" si="17"/>
        <v>350</v>
      </c>
      <c r="O86" s="76">
        <f t="shared" si="17"/>
        <v>341</v>
      </c>
      <c r="P86" s="76">
        <f t="shared" si="17"/>
        <v>263</v>
      </c>
      <c r="Q86" s="76">
        <f t="shared" si="17"/>
        <v>238</v>
      </c>
      <c r="R86" s="76">
        <f t="shared" si="17"/>
        <v>195</v>
      </c>
      <c r="S86" s="76">
        <f t="shared" si="17"/>
        <v>210</v>
      </c>
      <c r="T86" s="76">
        <f t="shared" si="17"/>
        <v>228</v>
      </c>
      <c r="U86" s="76">
        <f t="shared" si="17"/>
        <v>228</v>
      </c>
      <c r="V86" s="76">
        <f t="shared" si="17"/>
        <v>303</v>
      </c>
      <c r="W86" s="76">
        <f t="shared" si="17"/>
        <v>303</v>
      </c>
      <c r="X86" s="76">
        <f t="shared" si="17"/>
        <v>350</v>
      </c>
      <c r="Y86" s="76">
        <f t="shared" si="17"/>
        <v>351</v>
      </c>
      <c r="Z86" s="76">
        <f t="shared" si="17"/>
        <v>290</v>
      </c>
      <c r="AA86" s="76">
        <f t="shared" si="17"/>
        <v>360</v>
      </c>
      <c r="AB86" s="76">
        <f t="shared" si="17"/>
        <v>339</v>
      </c>
      <c r="AC86" s="76">
        <f t="shared" si="17"/>
        <v>340</v>
      </c>
      <c r="AD86" s="76">
        <f t="shared" si="17"/>
        <v>360</v>
      </c>
      <c r="AE86" s="76">
        <f t="shared" si="17"/>
        <v>380</v>
      </c>
      <c r="AF86" s="76">
        <f t="shared" si="17"/>
        <v>385</v>
      </c>
      <c r="AG86" s="86"/>
      <c r="AH86" s="48">
        <f t="shared" si="9"/>
        <v>385</v>
      </c>
      <c r="AI86" s="49">
        <f t="shared" si="10"/>
        <v>195</v>
      </c>
    </row>
    <row r="87" spans="1:37" x14ac:dyDescent="0.25">
      <c r="A87" s="78" t="s">
        <v>71</v>
      </c>
      <c r="B87" s="76">
        <f t="shared" ref="B87:AF87" si="18">IF(B63&lt;0,B63*-1,0)</f>
        <v>0</v>
      </c>
      <c r="C87" s="76">
        <f t="shared" si="18"/>
        <v>0</v>
      </c>
      <c r="D87" s="76">
        <f t="shared" si="18"/>
        <v>0</v>
      </c>
      <c r="E87" s="76">
        <f t="shared" si="18"/>
        <v>0</v>
      </c>
      <c r="F87" s="76">
        <f t="shared" si="18"/>
        <v>0</v>
      </c>
      <c r="G87" s="76">
        <f t="shared" si="18"/>
        <v>0</v>
      </c>
      <c r="H87" s="76">
        <f t="shared" si="18"/>
        <v>0</v>
      </c>
      <c r="I87" s="76">
        <f t="shared" si="18"/>
        <v>0</v>
      </c>
      <c r="J87" s="76">
        <f t="shared" si="18"/>
        <v>0</v>
      </c>
      <c r="K87" s="76">
        <f t="shared" si="18"/>
        <v>0</v>
      </c>
      <c r="L87" s="76">
        <f t="shared" si="18"/>
        <v>0</v>
      </c>
      <c r="M87" s="76">
        <f t="shared" si="18"/>
        <v>0</v>
      </c>
      <c r="N87" s="76">
        <f t="shared" si="18"/>
        <v>0</v>
      </c>
      <c r="O87" s="76">
        <f t="shared" si="18"/>
        <v>0</v>
      </c>
      <c r="P87" s="76">
        <f t="shared" si="18"/>
        <v>0</v>
      </c>
      <c r="Q87" s="76">
        <f t="shared" si="18"/>
        <v>0</v>
      </c>
      <c r="R87" s="76">
        <f t="shared" si="18"/>
        <v>0</v>
      </c>
      <c r="S87" s="76">
        <f t="shared" si="18"/>
        <v>0</v>
      </c>
      <c r="T87" s="76">
        <f t="shared" si="18"/>
        <v>0</v>
      </c>
      <c r="U87" s="76">
        <f t="shared" si="18"/>
        <v>0</v>
      </c>
      <c r="V87" s="76">
        <f t="shared" si="18"/>
        <v>0</v>
      </c>
      <c r="W87" s="76">
        <f t="shared" si="18"/>
        <v>0</v>
      </c>
      <c r="X87" s="76">
        <f t="shared" si="18"/>
        <v>0</v>
      </c>
      <c r="Y87" s="76">
        <f t="shared" si="18"/>
        <v>0</v>
      </c>
      <c r="Z87" s="76">
        <f t="shared" si="18"/>
        <v>0</v>
      </c>
      <c r="AA87" s="76">
        <f t="shared" si="18"/>
        <v>0</v>
      </c>
      <c r="AB87" s="76">
        <f t="shared" si="18"/>
        <v>0</v>
      </c>
      <c r="AC87" s="76">
        <f t="shared" si="18"/>
        <v>0</v>
      </c>
      <c r="AD87" s="76">
        <f t="shared" si="18"/>
        <v>0</v>
      </c>
      <c r="AE87" s="76">
        <f t="shared" si="18"/>
        <v>0</v>
      </c>
      <c r="AF87" s="76">
        <f t="shared" si="18"/>
        <v>0</v>
      </c>
      <c r="AG87" s="86"/>
      <c r="AH87" s="48">
        <f t="shared" si="9"/>
        <v>0</v>
      </c>
      <c r="AI87" s="49">
        <f t="shared" si="10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9"/>
        <v>0</v>
      </c>
      <c r="AI88" s="49">
        <f t="shared" si="10"/>
        <v>0</v>
      </c>
    </row>
    <row r="89" spans="1:37" ht="15.75" thickBot="1" x14ac:dyDescent="0.3">
      <c r="A89" s="87" t="s">
        <v>94</v>
      </c>
      <c r="B89" s="61">
        <f t="shared" ref="B89:AF89" si="19">SUM(B83:B88)</f>
        <v>348</v>
      </c>
      <c r="C89" s="61">
        <f t="shared" si="19"/>
        <v>367</v>
      </c>
      <c r="D89" s="61">
        <f t="shared" si="19"/>
        <v>382</v>
      </c>
      <c r="E89" s="61">
        <f t="shared" si="19"/>
        <v>351</v>
      </c>
      <c r="F89" s="61">
        <f t="shared" si="19"/>
        <v>358</v>
      </c>
      <c r="G89" s="61">
        <f t="shared" si="19"/>
        <v>346</v>
      </c>
      <c r="H89" s="61">
        <f t="shared" si="19"/>
        <v>345</v>
      </c>
      <c r="I89" s="61">
        <f t="shared" si="19"/>
        <v>348</v>
      </c>
      <c r="J89" s="61">
        <f t="shared" si="19"/>
        <v>356</v>
      </c>
      <c r="K89" s="61">
        <f t="shared" si="19"/>
        <v>355</v>
      </c>
      <c r="L89" s="61">
        <f t="shared" si="19"/>
        <v>359.8</v>
      </c>
      <c r="M89" s="61">
        <f t="shared" si="19"/>
        <v>352</v>
      </c>
      <c r="N89" s="61">
        <f t="shared" si="19"/>
        <v>350</v>
      </c>
      <c r="O89" s="61">
        <f t="shared" si="19"/>
        <v>341</v>
      </c>
      <c r="P89" s="61">
        <f t="shared" si="19"/>
        <v>263</v>
      </c>
      <c r="Q89" s="61">
        <f t="shared" si="19"/>
        <v>238</v>
      </c>
      <c r="R89" s="61">
        <f t="shared" si="19"/>
        <v>195</v>
      </c>
      <c r="S89" s="61">
        <f t="shared" si="19"/>
        <v>210</v>
      </c>
      <c r="T89" s="61">
        <f t="shared" si="19"/>
        <v>228</v>
      </c>
      <c r="U89" s="61">
        <f t="shared" si="19"/>
        <v>228</v>
      </c>
      <c r="V89" s="61">
        <f t="shared" si="19"/>
        <v>303</v>
      </c>
      <c r="W89" s="61">
        <f t="shared" si="19"/>
        <v>303</v>
      </c>
      <c r="X89" s="61">
        <f t="shared" si="19"/>
        <v>350</v>
      </c>
      <c r="Y89" s="61">
        <f t="shared" si="19"/>
        <v>351</v>
      </c>
      <c r="Z89" s="61">
        <f t="shared" si="19"/>
        <v>290</v>
      </c>
      <c r="AA89" s="61">
        <f t="shared" si="19"/>
        <v>360</v>
      </c>
      <c r="AB89" s="61">
        <f t="shared" si="19"/>
        <v>339</v>
      </c>
      <c r="AC89" s="61">
        <f t="shared" si="19"/>
        <v>340</v>
      </c>
      <c r="AD89" s="61">
        <f t="shared" si="19"/>
        <v>360</v>
      </c>
      <c r="AE89" s="61">
        <f t="shared" si="19"/>
        <v>380</v>
      </c>
      <c r="AF89" s="61">
        <f t="shared" si="19"/>
        <v>385</v>
      </c>
      <c r="AG89" s="81"/>
      <c r="AH89" s="48">
        <f t="shared" si="9"/>
        <v>385</v>
      </c>
      <c r="AI89" s="49">
        <f t="shared" si="10"/>
        <v>195</v>
      </c>
      <c r="AK89" s="50"/>
    </row>
    <row r="90" spans="1:37" ht="15.75" thickBot="1" x14ac:dyDescent="0.3">
      <c r="A90" s="74" t="s">
        <v>95</v>
      </c>
      <c r="B90" s="61">
        <f t="shared" ref="B90:AF90" si="20">B74-B89</f>
        <v>-348</v>
      </c>
      <c r="C90" s="61">
        <f t="shared" si="20"/>
        <v>-367</v>
      </c>
      <c r="D90" s="61">
        <f t="shared" si="20"/>
        <v>-382</v>
      </c>
      <c r="E90" s="61">
        <f t="shared" si="20"/>
        <v>-351</v>
      </c>
      <c r="F90" s="61">
        <f t="shared" si="20"/>
        <v>-358</v>
      </c>
      <c r="G90" s="61">
        <f t="shared" si="20"/>
        <v>-346</v>
      </c>
      <c r="H90" s="61">
        <f t="shared" si="20"/>
        <v>-345</v>
      </c>
      <c r="I90" s="61">
        <f t="shared" si="20"/>
        <v>-348</v>
      </c>
      <c r="J90" s="61">
        <f t="shared" si="20"/>
        <v>-356</v>
      </c>
      <c r="K90" s="61">
        <f t="shared" si="20"/>
        <v>-355</v>
      </c>
      <c r="L90" s="61">
        <f t="shared" si="20"/>
        <v>-359.8</v>
      </c>
      <c r="M90" s="61">
        <f t="shared" si="20"/>
        <v>-352</v>
      </c>
      <c r="N90" s="61">
        <f t="shared" si="20"/>
        <v>-350</v>
      </c>
      <c r="O90" s="61">
        <f t="shared" si="20"/>
        <v>-341</v>
      </c>
      <c r="P90" s="61">
        <f t="shared" si="20"/>
        <v>-263</v>
      </c>
      <c r="Q90" s="61">
        <f t="shared" si="20"/>
        <v>-238</v>
      </c>
      <c r="R90" s="61">
        <f t="shared" si="20"/>
        <v>-195</v>
      </c>
      <c r="S90" s="61">
        <f t="shared" si="20"/>
        <v>-210</v>
      </c>
      <c r="T90" s="61">
        <f t="shared" si="20"/>
        <v>-228</v>
      </c>
      <c r="U90" s="61">
        <f t="shared" si="20"/>
        <v>-228</v>
      </c>
      <c r="V90" s="61">
        <f t="shared" si="20"/>
        <v>-303</v>
      </c>
      <c r="W90" s="61">
        <f t="shared" si="20"/>
        <v>-303</v>
      </c>
      <c r="X90" s="61">
        <f t="shared" si="20"/>
        <v>-350</v>
      </c>
      <c r="Y90" s="61">
        <f t="shared" si="20"/>
        <v>-351</v>
      </c>
      <c r="Z90" s="61">
        <f t="shared" si="20"/>
        <v>-290</v>
      </c>
      <c r="AA90" s="61">
        <f t="shared" si="20"/>
        <v>-360</v>
      </c>
      <c r="AB90" s="61">
        <f t="shared" si="20"/>
        <v>-339</v>
      </c>
      <c r="AC90" s="61">
        <f t="shared" si="20"/>
        <v>-340</v>
      </c>
      <c r="AD90" s="61">
        <f t="shared" si="20"/>
        <v>-360</v>
      </c>
      <c r="AE90" s="61">
        <f t="shared" si="20"/>
        <v>-380</v>
      </c>
      <c r="AF90" s="61">
        <f t="shared" si="20"/>
        <v>-385</v>
      </c>
      <c r="AG90" s="81"/>
      <c r="AH90" s="48">
        <f t="shared" si="9"/>
        <v>-195</v>
      </c>
      <c r="AI90" s="49">
        <f t="shared" si="10"/>
        <v>-385</v>
      </c>
    </row>
    <row r="91" spans="1:37" x14ac:dyDescent="0.25">
      <c r="A91" s="88" t="s">
        <v>96</v>
      </c>
      <c r="B91" s="89">
        <v>50.04</v>
      </c>
      <c r="C91" s="89">
        <v>50.003999999999998</v>
      </c>
      <c r="D91" s="89">
        <v>50.031999999999996</v>
      </c>
      <c r="E91" s="89">
        <v>49.988999999999997</v>
      </c>
      <c r="F91" s="89">
        <v>49.893000000000001</v>
      </c>
      <c r="G91" s="89">
        <v>49.94</v>
      </c>
      <c r="H91" s="89">
        <v>49.871000000000002</v>
      </c>
      <c r="I91" s="89">
        <v>50.045000000000002</v>
      </c>
      <c r="J91" s="89">
        <v>50.015999999999998</v>
      </c>
      <c r="K91" s="89">
        <v>50.023000000000003</v>
      </c>
      <c r="L91" s="89">
        <v>50.006</v>
      </c>
      <c r="M91" s="89">
        <v>50.045000000000002</v>
      </c>
      <c r="N91" s="89">
        <v>50.078000000000003</v>
      </c>
      <c r="O91" s="89">
        <v>50.006</v>
      </c>
      <c r="P91" s="89">
        <v>49.945</v>
      </c>
      <c r="Q91" s="89">
        <v>49.956000000000003</v>
      </c>
      <c r="R91" s="89">
        <v>50.005000000000003</v>
      </c>
      <c r="S91" s="89">
        <v>50.005000000000003</v>
      </c>
      <c r="T91" s="89">
        <v>49.978000000000002</v>
      </c>
      <c r="U91" s="89">
        <v>50.042000000000002</v>
      </c>
      <c r="V91" s="89">
        <v>50.026000000000003</v>
      </c>
      <c r="W91" s="89">
        <v>49.984000000000002</v>
      </c>
      <c r="X91" s="89">
        <v>49.984000000000002</v>
      </c>
      <c r="Y91" s="89">
        <v>49.984000000000002</v>
      </c>
      <c r="Z91" s="89">
        <v>49.972999999999999</v>
      </c>
      <c r="AA91" s="89">
        <v>50.042000000000002</v>
      </c>
      <c r="AB91" s="89">
        <v>50.03</v>
      </c>
      <c r="AC91" s="89">
        <v>50.01</v>
      </c>
      <c r="AD91" s="89">
        <v>50.04</v>
      </c>
      <c r="AE91" s="89">
        <v>50.06</v>
      </c>
      <c r="AF91" s="89">
        <v>49.99</v>
      </c>
      <c r="AG91" s="90"/>
      <c r="AH91" s="48">
        <f t="shared" si="9"/>
        <v>50.078000000000003</v>
      </c>
      <c r="AI91" s="49">
        <f t="shared" si="10"/>
        <v>49.871000000000002</v>
      </c>
    </row>
    <row r="92" spans="1:37" x14ac:dyDescent="0.25">
      <c r="A92" s="91" t="s">
        <v>97</v>
      </c>
      <c r="B92" s="65">
        <v>126.3</v>
      </c>
      <c r="C92" s="65">
        <v>126.5</v>
      </c>
      <c r="D92" s="65">
        <v>126.5</v>
      </c>
      <c r="E92" s="65">
        <v>126.8</v>
      </c>
      <c r="F92" s="65">
        <v>126.3</v>
      </c>
      <c r="G92" s="65">
        <v>125.6</v>
      </c>
      <c r="H92" s="65">
        <v>125.4</v>
      </c>
      <c r="I92" s="65">
        <v>124.5</v>
      </c>
      <c r="J92" s="65">
        <v>124.8</v>
      </c>
      <c r="K92" s="65">
        <v>123.7</v>
      </c>
      <c r="L92" s="65">
        <v>122.9</v>
      </c>
      <c r="M92" s="65">
        <v>123.7</v>
      </c>
      <c r="N92" s="65">
        <v>123.2</v>
      </c>
      <c r="O92" s="65">
        <v>124</v>
      </c>
      <c r="P92" s="65">
        <v>122</v>
      </c>
      <c r="Q92" s="65">
        <v>123.2</v>
      </c>
      <c r="R92" s="65">
        <v>123.5</v>
      </c>
      <c r="S92" s="65">
        <v>123.5</v>
      </c>
      <c r="T92" s="65">
        <v>122</v>
      </c>
      <c r="U92" s="65">
        <v>125</v>
      </c>
      <c r="V92" s="65">
        <v>125</v>
      </c>
      <c r="W92" s="65">
        <v>125</v>
      </c>
      <c r="X92" s="65">
        <v>125</v>
      </c>
      <c r="Y92" s="65">
        <v>125</v>
      </c>
      <c r="Z92" s="65">
        <v>125</v>
      </c>
      <c r="AA92" s="65">
        <v>125</v>
      </c>
      <c r="AB92" s="65">
        <v>127.3</v>
      </c>
      <c r="AC92" s="65">
        <v>127.3</v>
      </c>
      <c r="AD92" s="65">
        <v>127.8</v>
      </c>
      <c r="AE92" s="65">
        <v>128</v>
      </c>
      <c r="AF92" s="65">
        <v>128.69999999999999</v>
      </c>
      <c r="AG92" s="92"/>
      <c r="AH92" s="48">
        <f t="shared" si="9"/>
        <v>128.69999999999999</v>
      </c>
      <c r="AI92" s="49">
        <f t="shared" si="10"/>
        <v>122</v>
      </c>
    </row>
    <row r="93" spans="1:37" x14ac:dyDescent="0.25">
      <c r="A93" s="91" t="s">
        <v>98</v>
      </c>
      <c r="B93" s="65">
        <v>130.80000000000001</v>
      </c>
      <c r="C93" s="65">
        <v>131.1</v>
      </c>
      <c r="D93" s="65">
        <v>131.30000000000001</v>
      </c>
      <c r="E93" s="65">
        <v>131.30000000000001</v>
      </c>
      <c r="F93" s="65">
        <v>130.80000000000001</v>
      </c>
      <c r="G93" s="65">
        <v>130.4</v>
      </c>
      <c r="H93" s="65">
        <v>129.69999999999999</v>
      </c>
      <c r="I93" s="65">
        <v>128.5</v>
      </c>
      <c r="J93" s="65">
        <v>128.5</v>
      </c>
      <c r="K93" s="65">
        <v>127.2</v>
      </c>
      <c r="L93" s="65">
        <v>126.5</v>
      </c>
      <c r="M93" s="65">
        <v>127.4</v>
      </c>
      <c r="N93" s="65">
        <v>127.1</v>
      </c>
      <c r="O93" s="65">
        <v>127.5</v>
      </c>
      <c r="P93" s="65">
        <v>126.5</v>
      </c>
      <c r="Q93" s="65">
        <v>127.5</v>
      </c>
      <c r="R93" s="65">
        <v>127.7</v>
      </c>
      <c r="S93" s="65">
        <v>127.7</v>
      </c>
      <c r="T93" s="65">
        <v>127</v>
      </c>
      <c r="U93" s="65">
        <v>128</v>
      </c>
      <c r="V93" s="65">
        <v>128</v>
      </c>
      <c r="W93" s="65">
        <v>128</v>
      </c>
      <c r="X93" s="65">
        <v>128</v>
      </c>
      <c r="Y93" s="65">
        <v>128</v>
      </c>
      <c r="Z93" s="65">
        <v>128</v>
      </c>
      <c r="AA93" s="65">
        <v>128</v>
      </c>
      <c r="AB93" s="65">
        <v>130.30000000000001</v>
      </c>
      <c r="AC93" s="65">
        <v>130.30000000000001</v>
      </c>
      <c r="AD93" s="65">
        <v>131</v>
      </c>
      <c r="AE93" s="65">
        <v>131.4</v>
      </c>
      <c r="AF93" s="65">
        <v>132.19999999999999</v>
      </c>
      <c r="AG93" s="92"/>
      <c r="AH93" s="48">
        <f t="shared" si="9"/>
        <v>132.19999999999999</v>
      </c>
      <c r="AI93" s="49">
        <f t="shared" si="10"/>
        <v>126.5</v>
      </c>
    </row>
    <row r="94" spans="1:37" x14ac:dyDescent="0.25">
      <c r="A94" s="91" t="s">
        <v>99</v>
      </c>
      <c r="B94" s="65">
        <v>129.6</v>
      </c>
      <c r="C94" s="65">
        <v>129.6</v>
      </c>
      <c r="D94" s="65">
        <v>130.4</v>
      </c>
      <c r="E94" s="65">
        <v>131.6</v>
      </c>
      <c r="F94" s="65">
        <v>130.9</v>
      </c>
      <c r="G94" s="65">
        <v>131.1</v>
      </c>
      <c r="H94" s="65">
        <v>129.80000000000001</v>
      </c>
      <c r="I94" s="65">
        <v>129.69999999999999</v>
      </c>
      <c r="J94" s="65">
        <v>128.30000000000001</v>
      </c>
      <c r="K94" s="65">
        <v>128.30000000000001</v>
      </c>
      <c r="L94" s="65">
        <v>126.8</v>
      </c>
      <c r="M94" s="65">
        <v>126.1</v>
      </c>
      <c r="N94" s="65">
        <v>127.4</v>
      </c>
      <c r="O94" s="65">
        <v>129.5</v>
      </c>
      <c r="P94" s="65">
        <v>129.5</v>
      </c>
      <c r="Q94" s="65">
        <v>127.5</v>
      </c>
      <c r="R94" s="65">
        <v>130</v>
      </c>
      <c r="S94" s="65">
        <v>130</v>
      </c>
      <c r="T94" s="65">
        <v>129</v>
      </c>
      <c r="U94" s="65">
        <v>131</v>
      </c>
      <c r="V94" s="65">
        <v>131</v>
      </c>
      <c r="W94" s="65">
        <v>131</v>
      </c>
      <c r="X94" s="65">
        <v>131</v>
      </c>
      <c r="Y94" s="65">
        <v>131</v>
      </c>
      <c r="Z94" s="65">
        <v>131</v>
      </c>
      <c r="AA94" s="65">
        <v>131</v>
      </c>
      <c r="AB94" s="65">
        <v>131.5</v>
      </c>
      <c r="AC94" s="65">
        <v>131.5</v>
      </c>
      <c r="AD94" s="65">
        <v>131.30000000000001</v>
      </c>
      <c r="AE94" s="65">
        <v>131.6</v>
      </c>
      <c r="AF94" s="65">
        <v>130.30000000000001</v>
      </c>
      <c r="AG94" s="92"/>
      <c r="AH94" s="48">
        <f t="shared" si="9"/>
        <v>131.6</v>
      </c>
      <c r="AI94" s="49">
        <f t="shared" si="10"/>
        <v>126.1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9"/>
        <v>0</v>
      </c>
      <c r="AI95" s="49">
        <f t="shared" si="10"/>
        <v>0</v>
      </c>
    </row>
    <row r="96" spans="1:37" x14ac:dyDescent="0.25">
      <c r="A96" s="93" t="s">
        <v>101</v>
      </c>
      <c r="B96" s="94">
        <v>131.5</v>
      </c>
      <c r="C96" s="94">
        <v>132</v>
      </c>
      <c r="D96" s="94">
        <v>132.30000000000001</v>
      </c>
      <c r="E96" s="94">
        <v>131.9</v>
      </c>
      <c r="F96" s="94">
        <v>132.80000000000001</v>
      </c>
      <c r="G96" s="94">
        <v>128.9</v>
      </c>
      <c r="H96" s="94">
        <v>131.5</v>
      </c>
      <c r="I96" s="94">
        <v>129.5</v>
      </c>
      <c r="J96" s="94">
        <v>132.30000000000001</v>
      </c>
      <c r="K96" s="94">
        <v>132.80000000000001</v>
      </c>
      <c r="L96" s="94">
        <v>133.4</v>
      </c>
      <c r="M96" s="94">
        <v>132.6</v>
      </c>
      <c r="N96" s="94">
        <v>133.9</v>
      </c>
      <c r="O96" s="94">
        <v>132.69999999999999</v>
      </c>
      <c r="P96" s="94">
        <v>143.5</v>
      </c>
      <c r="Q96" s="94">
        <v>133.80000000000001</v>
      </c>
      <c r="R96" s="94">
        <v>136.1</v>
      </c>
      <c r="S96" s="94">
        <v>136.1</v>
      </c>
      <c r="T96" s="94">
        <v>132</v>
      </c>
      <c r="U96" s="94">
        <v>132</v>
      </c>
      <c r="V96" s="94">
        <v>132</v>
      </c>
      <c r="W96" s="94">
        <v>132</v>
      </c>
      <c r="X96" s="94">
        <v>132</v>
      </c>
      <c r="Y96" s="94">
        <v>132</v>
      </c>
      <c r="Z96" s="94">
        <v>132</v>
      </c>
      <c r="AA96" s="94">
        <v>132</v>
      </c>
      <c r="AB96" s="94">
        <v>135</v>
      </c>
      <c r="AC96" s="94">
        <v>135</v>
      </c>
      <c r="AD96" s="94">
        <v>135.30000000000001</v>
      </c>
      <c r="AE96" s="94">
        <v>134</v>
      </c>
      <c r="AF96" s="94">
        <v>133.9</v>
      </c>
      <c r="AG96" s="95"/>
      <c r="AH96" s="48">
        <f t="shared" si="9"/>
        <v>143.5</v>
      </c>
      <c r="AI96" s="49">
        <f t="shared" si="10"/>
        <v>128.9</v>
      </c>
    </row>
    <row r="97" spans="1:37" x14ac:dyDescent="0.25">
      <c r="A97" s="91" t="s">
        <v>102</v>
      </c>
      <c r="B97" s="65">
        <v>128.69999999999999</v>
      </c>
      <c r="C97" s="65">
        <v>129.30000000000001</v>
      </c>
      <c r="D97" s="65">
        <v>128.6</v>
      </c>
      <c r="E97" s="65">
        <v>126.8</v>
      </c>
      <c r="F97" s="65">
        <v>128.19999999999999</v>
      </c>
      <c r="G97" s="65">
        <v>128.9</v>
      </c>
      <c r="H97" s="65">
        <v>127.7</v>
      </c>
      <c r="I97" s="65">
        <v>126.7</v>
      </c>
      <c r="J97" s="65">
        <v>128.69999999999999</v>
      </c>
      <c r="K97" s="65">
        <v>132.4</v>
      </c>
      <c r="L97" s="65">
        <v>132.5</v>
      </c>
      <c r="M97" s="65">
        <v>130.69999999999999</v>
      </c>
      <c r="N97" s="65">
        <v>133.80000000000001</v>
      </c>
      <c r="O97" s="65">
        <v>129.1</v>
      </c>
      <c r="P97" s="65">
        <v>128.5</v>
      </c>
      <c r="Q97" s="65">
        <v>133.80000000000001</v>
      </c>
      <c r="R97" s="65">
        <v>136.19999999999999</v>
      </c>
      <c r="S97" s="65">
        <v>136.19999999999999</v>
      </c>
      <c r="T97" s="65">
        <v>128</v>
      </c>
      <c r="U97" s="65">
        <v>126</v>
      </c>
      <c r="V97" s="65">
        <v>126</v>
      </c>
      <c r="W97" s="65">
        <v>126</v>
      </c>
      <c r="X97" s="65">
        <v>126</v>
      </c>
      <c r="Y97" s="65">
        <v>126</v>
      </c>
      <c r="Z97" s="65">
        <v>126</v>
      </c>
      <c r="AA97" s="65">
        <v>126</v>
      </c>
      <c r="AB97" s="65">
        <v>133.9</v>
      </c>
      <c r="AC97" s="65">
        <v>133.9</v>
      </c>
      <c r="AD97" s="65">
        <v>134.69999999999999</v>
      </c>
      <c r="AE97" s="65">
        <v>133</v>
      </c>
      <c r="AF97" s="65">
        <v>132</v>
      </c>
      <c r="AG97" s="92"/>
      <c r="AH97" s="48">
        <f t="shared" si="9"/>
        <v>136.19999999999999</v>
      </c>
      <c r="AI97" s="49">
        <f t="shared" si="10"/>
        <v>126</v>
      </c>
    </row>
    <row r="98" spans="1:37" ht="15.75" thickBot="1" x14ac:dyDescent="0.3">
      <c r="A98" s="91" t="s">
        <v>103</v>
      </c>
      <c r="B98" s="96">
        <v>66.099999999999994</v>
      </c>
      <c r="C98" s="96">
        <v>66</v>
      </c>
      <c r="D98" s="96">
        <v>66.099999999999994</v>
      </c>
      <c r="E98" s="96">
        <v>66.3</v>
      </c>
      <c r="F98" s="96">
        <v>66</v>
      </c>
      <c r="G98" s="96">
        <v>65.599999999999994</v>
      </c>
      <c r="H98" s="96">
        <v>65.2</v>
      </c>
      <c r="I98" s="96">
        <v>64.599999999999994</v>
      </c>
      <c r="J98" s="96">
        <v>64.8</v>
      </c>
      <c r="K98" s="96">
        <v>64</v>
      </c>
      <c r="L98" s="96">
        <v>63.7</v>
      </c>
      <c r="M98" s="96">
        <v>64.2</v>
      </c>
      <c r="N98" s="96">
        <v>64</v>
      </c>
      <c r="O98" s="96">
        <v>64.3</v>
      </c>
      <c r="P98" s="96">
        <v>63.7</v>
      </c>
      <c r="Q98" s="96">
        <v>64</v>
      </c>
      <c r="R98" s="96">
        <v>64.099999999999994</v>
      </c>
      <c r="S98" s="96">
        <v>64.099999999999994</v>
      </c>
      <c r="T98" s="96">
        <v>64</v>
      </c>
      <c r="U98" s="96">
        <v>65</v>
      </c>
      <c r="V98" s="96">
        <v>65</v>
      </c>
      <c r="W98" s="96">
        <v>65</v>
      </c>
      <c r="X98" s="96">
        <v>65</v>
      </c>
      <c r="Y98" s="96">
        <v>65</v>
      </c>
      <c r="Z98" s="96">
        <v>65</v>
      </c>
      <c r="AA98" s="96">
        <v>65</v>
      </c>
      <c r="AB98" s="96">
        <v>65.7</v>
      </c>
      <c r="AC98" s="96">
        <v>65.7</v>
      </c>
      <c r="AD98" s="96">
        <v>66.099999999999994</v>
      </c>
      <c r="AE98" s="96">
        <v>66.2</v>
      </c>
      <c r="AF98" s="96">
        <v>66.7</v>
      </c>
      <c r="AG98" s="97"/>
      <c r="AH98" s="48">
        <f t="shared" si="9"/>
        <v>66.7</v>
      </c>
      <c r="AI98" s="49">
        <f t="shared" si="10"/>
        <v>63.7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9"/>
        <v>0</v>
      </c>
      <c r="AI99" s="49">
        <f t="shared" si="10"/>
        <v>0</v>
      </c>
    </row>
    <row r="100" spans="1:37" ht="15.75" thickBot="1" x14ac:dyDescent="0.3">
      <c r="A100" s="99" t="s">
        <v>104</v>
      </c>
      <c r="B100" s="100">
        <f t="shared" ref="B100:AF100" si="21">SUM(B15,B20,B22:B23,B48,B50:B51,B53,B55,B101:B105,B127,B133,B139,B148,B150,B162,B169,B172:B173,B180,B182,B184,B188:B190,B192:B194,B199,B205:B206,B208:B210,B218,B223)</f>
        <v>48.999999999999986</v>
      </c>
      <c r="C100" s="100">
        <f t="shared" si="21"/>
        <v>21.310000000000024</v>
      </c>
      <c r="D100" s="100">
        <f t="shared" si="21"/>
        <v>17.839999999999989</v>
      </c>
      <c r="E100" s="100">
        <f t="shared" si="21"/>
        <v>20.439999999999984</v>
      </c>
      <c r="F100" s="100">
        <f t="shared" si="21"/>
        <v>44.139999999999965</v>
      </c>
      <c r="G100" s="100">
        <f t="shared" si="21"/>
        <v>47.440000000000033</v>
      </c>
      <c r="H100" s="100">
        <f t="shared" si="21"/>
        <v>73.840000000000032</v>
      </c>
      <c r="I100" s="100">
        <f t="shared" si="21"/>
        <v>110.14000000000001</v>
      </c>
      <c r="J100" s="100">
        <f t="shared" si="21"/>
        <v>160.73999999999998</v>
      </c>
      <c r="K100" s="100">
        <f t="shared" si="21"/>
        <v>168.64</v>
      </c>
      <c r="L100" s="100">
        <f t="shared" si="21"/>
        <v>223.04000000000005</v>
      </c>
      <c r="M100" s="100">
        <f t="shared" si="21"/>
        <v>220.04000000000002</v>
      </c>
      <c r="N100" s="100">
        <f t="shared" si="21"/>
        <v>189.84000000000003</v>
      </c>
      <c r="O100" s="100">
        <f t="shared" si="21"/>
        <v>186.94</v>
      </c>
      <c r="P100" s="100">
        <f t="shared" si="21"/>
        <v>175.54000000000005</v>
      </c>
      <c r="Q100" s="100">
        <f t="shared" si="21"/>
        <v>162.90000000000003</v>
      </c>
      <c r="R100" s="100">
        <f t="shared" si="21"/>
        <v>155.79999999999998</v>
      </c>
      <c r="S100" s="100">
        <f t="shared" si="21"/>
        <v>149.79999999999998</v>
      </c>
      <c r="T100" s="100">
        <f t="shared" si="21"/>
        <v>150.30000000000001</v>
      </c>
      <c r="U100" s="100">
        <f t="shared" si="21"/>
        <v>172.3</v>
      </c>
      <c r="V100" s="100">
        <f t="shared" si="21"/>
        <v>171.4</v>
      </c>
      <c r="W100" s="100">
        <f t="shared" si="21"/>
        <v>201.4</v>
      </c>
      <c r="X100" s="100">
        <f t="shared" ref="X100:Y100" si="22">SUM(X15,X20,X22:X23,X48,X50:X51,X53,X55,X101:X105,X127,X133,X139,X148,X150,X162,X169,X172:X173,X180,X182,X184,X188:X190,X192:X194,X199,X205:X206,X208:X210,X218,X223)</f>
        <v>206.4</v>
      </c>
      <c r="Y100" s="100">
        <f t="shared" si="22"/>
        <v>206.4</v>
      </c>
      <c r="Z100" s="100">
        <f t="shared" si="21"/>
        <v>292.3</v>
      </c>
      <c r="AA100" s="100">
        <f t="shared" si="21"/>
        <v>333.3</v>
      </c>
      <c r="AB100" s="100">
        <f t="shared" si="21"/>
        <v>180.4</v>
      </c>
      <c r="AC100" s="100">
        <f t="shared" si="21"/>
        <v>180.4</v>
      </c>
      <c r="AD100" s="100">
        <f t="shared" si="21"/>
        <v>137.50000000000003</v>
      </c>
      <c r="AE100" s="100">
        <f t="shared" si="21"/>
        <v>109.40000000000003</v>
      </c>
      <c r="AF100" s="100">
        <f t="shared" si="21"/>
        <v>38.400000000000013</v>
      </c>
      <c r="AG100" s="101"/>
      <c r="AH100" s="48">
        <f t="shared" si="9"/>
        <v>333.3</v>
      </c>
      <c r="AI100" s="49">
        <f t="shared" si="10"/>
        <v>17.839999999999989</v>
      </c>
    </row>
    <row r="101" spans="1:37" x14ac:dyDescent="0.25">
      <c r="A101" s="88" t="s">
        <v>105</v>
      </c>
      <c r="B101" s="102">
        <v>42.8</v>
      </c>
      <c r="C101" s="102">
        <v>20.2</v>
      </c>
      <c r="D101" s="102">
        <v>20.399999999999999</v>
      </c>
      <c r="E101" s="102">
        <v>18.399999999999999</v>
      </c>
      <c r="F101" s="102">
        <v>23.9</v>
      </c>
      <c r="G101" s="102">
        <v>28.4</v>
      </c>
      <c r="H101" s="102">
        <v>33.299999999999997</v>
      </c>
      <c r="I101" s="102">
        <v>42.5</v>
      </c>
      <c r="J101" s="102">
        <v>49.1</v>
      </c>
      <c r="K101" s="102">
        <v>52.5</v>
      </c>
      <c r="L101" s="102">
        <v>53.3</v>
      </c>
      <c r="M101" s="102">
        <v>54.9</v>
      </c>
      <c r="N101" s="102">
        <v>56.8</v>
      </c>
      <c r="O101" s="102">
        <v>52.9</v>
      </c>
      <c r="P101" s="102">
        <v>55.8</v>
      </c>
      <c r="Q101" s="102">
        <v>55.8</v>
      </c>
      <c r="R101" s="102">
        <v>49.7</v>
      </c>
      <c r="S101" s="102">
        <v>49.7</v>
      </c>
      <c r="T101" s="102">
        <v>50</v>
      </c>
      <c r="U101" s="102">
        <v>53</v>
      </c>
      <c r="V101" s="102">
        <v>56</v>
      </c>
      <c r="W101" s="102">
        <v>61</v>
      </c>
      <c r="X101" s="102">
        <v>61</v>
      </c>
      <c r="Y101" s="102">
        <v>61</v>
      </c>
      <c r="Z101" s="102">
        <v>46</v>
      </c>
      <c r="AA101" s="102">
        <v>62</v>
      </c>
      <c r="AB101" s="102">
        <v>54.7</v>
      </c>
      <c r="AC101" s="102">
        <v>54.7</v>
      </c>
      <c r="AD101" s="102">
        <v>44.7</v>
      </c>
      <c r="AE101" s="102">
        <v>40</v>
      </c>
      <c r="AF101" s="102">
        <v>22.6</v>
      </c>
      <c r="AG101" s="103">
        <v>75</v>
      </c>
      <c r="AH101" s="48">
        <f t="shared" si="9"/>
        <v>62</v>
      </c>
      <c r="AI101" s="49">
        <f t="shared" si="10"/>
        <v>18.399999999999999</v>
      </c>
    </row>
    <row r="102" spans="1:37" x14ac:dyDescent="0.25">
      <c r="A102" s="91" t="s">
        <v>106</v>
      </c>
      <c r="B102" s="104">
        <v>42.8</v>
      </c>
      <c r="C102" s="104">
        <v>37.1</v>
      </c>
      <c r="D102" s="104">
        <v>38.700000000000003</v>
      </c>
      <c r="E102" s="104">
        <v>34.1</v>
      </c>
      <c r="F102" s="104">
        <v>42.3</v>
      </c>
      <c r="G102" s="104">
        <v>47</v>
      </c>
      <c r="H102" s="104">
        <v>53.8</v>
      </c>
      <c r="I102" s="104">
        <v>68.900000000000006</v>
      </c>
      <c r="J102" s="104">
        <v>78.400000000000006</v>
      </c>
      <c r="K102" s="104">
        <v>83.1</v>
      </c>
      <c r="L102" s="104">
        <v>83.3</v>
      </c>
      <c r="M102" s="104">
        <v>85.8</v>
      </c>
      <c r="N102" s="104">
        <v>88</v>
      </c>
      <c r="O102" s="104">
        <v>83.8</v>
      </c>
      <c r="P102" s="104">
        <v>88.6</v>
      </c>
      <c r="Q102" s="104">
        <v>88.1</v>
      </c>
      <c r="R102" s="104">
        <v>79.2</v>
      </c>
      <c r="S102" s="104">
        <v>79.2</v>
      </c>
      <c r="T102" s="104">
        <v>79</v>
      </c>
      <c r="U102" s="104">
        <v>82</v>
      </c>
      <c r="V102" s="104">
        <v>87</v>
      </c>
      <c r="W102" s="104">
        <v>90</v>
      </c>
      <c r="X102" s="104">
        <v>90</v>
      </c>
      <c r="Y102" s="104">
        <v>90</v>
      </c>
      <c r="Z102" s="104">
        <v>68</v>
      </c>
      <c r="AA102" s="104">
        <v>93</v>
      </c>
      <c r="AB102" s="104">
        <v>79.2</v>
      </c>
      <c r="AC102" s="104">
        <v>79.2</v>
      </c>
      <c r="AD102" s="104">
        <v>63.6</v>
      </c>
      <c r="AE102" s="104">
        <v>55</v>
      </c>
      <c r="AF102" s="104">
        <v>38.9</v>
      </c>
      <c r="AG102" s="103">
        <v>240</v>
      </c>
      <c r="AH102" s="48">
        <f t="shared" si="9"/>
        <v>93</v>
      </c>
      <c r="AI102" s="49">
        <f t="shared" si="10"/>
        <v>34.1</v>
      </c>
    </row>
    <row r="103" spans="1:37" x14ac:dyDescent="0.25">
      <c r="A103" s="91" t="s">
        <v>107</v>
      </c>
      <c r="B103" s="104">
        <f>-72-76</f>
        <v>-148</v>
      </c>
      <c r="C103" s="104">
        <f>-70-74.33</f>
        <v>-144.32999999999998</v>
      </c>
      <c r="D103" s="104">
        <f>-73-77</f>
        <v>-150</v>
      </c>
      <c r="E103" s="104">
        <f>-70-74.3</f>
        <v>-144.30000000000001</v>
      </c>
      <c r="F103" s="104">
        <f>-75.5-79.8</f>
        <v>-155.30000000000001</v>
      </c>
      <c r="G103" s="104">
        <f>-72.6-76.9</f>
        <v>-149.5</v>
      </c>
      <c r="H103" s="104">
        <f>-70.5-74.6</f>
        <v>-145.1</v>
      </c>
      <c r="I103" s="104">
        <f>-71.4-74.9</f>
        <v>-146.30000000000001</v>
      </c>
      <c r="J103" s="104">
        <f>-58.1-63.7</f>
        <v>-121.80000000000001</v>
      </c>
      <c r="K103" s="104">
        <f>-55.7-81.8</f>
        <v>-137.5</v>
      </c>
      <c r="L103" s="104">
        <f>-43.8-46.8</f>
        <v>-90.6</v>
      </c>
      <c r="M103" s="104">
        <f>-46-48</f>
        <v>-94</v>
      </c>
      <c r="N103" s="104">
        <f>-56-62</f>
        <v>-118</v>
      </c>
      <c r="O103" s="104">
        <f>-56-62</f>
        <v>-118</v>
      </c>
      <c r="P103" s="104">
        <v>-135</v>
      </c>
      <c r="Q103" s="104">
        <v>-144</v>
      </c>
      <c r="R103" s="104">
        <v>-138</v>
      </c>
      <c r="S103" s="104">
        <v>-138</v>
      </c>
      <c r="T103" s="104">
        <v>-140</v>
      </c>
      <c r="U103" s="104">
        <v>-126</v>
      </c>
      <c r="V103" s="104">
        <v>-129</v>
      </c>
      <c r="W103" s="104">
        <v>-118</v>
      </c>
      <c r="X103" s="104">
        <v>-118</v>
      </c>
      <c r="Y103" s="104">
        <v>-118</v>
      </c>
      <c r="Z103" s="104">
        <v>-11</v>
      </c>
      <c r="AA103" s="104">
        <v>-11</v>
      </c>
      <c r="AB103" s="104">
        <f>-57.1-61</f>
        <v>-118.1</v>
      </c>
      <c r="AC103" s="104">
        <f>-57.1-61</f>
        <v>-118.1</v>
      </c>
      <c r="AD103" s="104">
        <f>-57.1-60.3</f>
        <v>-117.4</v>
      </c>
      <c r="AE103" s="104">
        <f>-62-63</f>
        <v>-125</v>
      </c>
      <c r="AF103" s="104">
        <f>-63.1-67.7</f>
        <v>-130.80000000000001</v>
      </c>
      <c r="AG103" s="103">
        <v>240</v>
      </c>
      <c r="AH103" s="48">
        <f t="shared" si="9"/>
        <v>-11</v>
      </c>
      <c r="AI103" s="49">
        <f t="shared" si="10"/>
        <v>-155.30000000000001</v>
      </c>
    </row>
    <row r="104" spans="1:37" x14ac:dyDescent="0.25">
      <c r="A104" s="91" t="s">
        <v>108</v>
      </c>
      <c r="B104" s="104">
        <v>-9.1999999999999993</v>
      </c>
      <c r="C104" s="104">
        <v>-13.2</v>
      </c>
      <c r="D104" s="104">
        <v>-12.8</v>
      </c>
      <c r="E104" s="104">
        <v>-12.8</v>
      </c>
      <c r="F104" s="104">
        <v>12.1</v>
      </c>
      <c r="G104" s="104">
        <v>-10.9</v>
      </c>
      <c r="H104" s="104">
        <v>-7.9</v>
      </c>
      <c r="I104" s="104">
        <v>-9.1</v>
      </c>
      <c r="J104" s="104">
        <v>-5.4</v>
      </c>
      <c r="K104" s="104">
        <v>-4.2</v>
      </c>
      <c r="L104" s="104">
        <v>2.2999999999999998</v>
      </c>
      <c r="M104" s="104">
        <v>0.8</v>
      </c>
      <c r="N104" s="104">
        <v>-5.2</v>
      </c>
      <c r="O104" s="104">
        <v>0</v>
      </c>
      <c r="P104" s="104">
        <v>-2.1</v>
      </c>
      <c r="Q104" s="104">
        <v>-4.3</v>
      </c>
      <c r="R104" s="104">
        <v>-2.4</v>
      </c>
      <c r="S104" s="104">
        <v>-2.4</v>
      </c>
      <c r="T104" s="104">
        <v>0</v>
      </c>
      <c r="U104" s="104">
        <v>3</v>
      </c>
      <c r="V104" s="104">
        <v>3.1</v>
      </c>
      <c r="W104" s="104">
        <v>6.1</v>
      </c>
      <c r="X104" s="104">
        <v>6.1</v>
      </c>
      <c r="Y104" s="104">
        <v>6.1</v>
      </c>
      <c r="Z104" s="104">
        <v>22</v>
      </c>
      <c r="AA104" s="104">
        <v>22</v>
      </c>
      <c r="AB104" s="104">
        <v>5.8</v>
      </c>
      <c r="AC104" s="104">
        <v>5.8</v>
      </c>
      <c r="AD104" s="104">
        <v>4.0999999999999996</v>
      </c>
      <c r="AE104" s="104">
        <v>-3.1</v>
      </c>
      <c r="AF104" s="104">
        <v>-3.9</v>
      </c>
      <c r="AG104" s="103">
        <v>60</v>
      </c>
      <c r="AH104" s="48">
        <f t="shared" si="9"/>
        <v>22</v>
      </c>
      <c r="AI104" s="49">
        <f t="shared" si="10"/>
        <v>-13.2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0</v>
      </c>
      <c r="Y105" s="106">
        <v>0</v>
      </c>
      <c r="Z105" s="106">
        <v>0</v>
      </c>
      <c r="AA105" s="106">
        <v>0</v>
      </c>
      <c r="AB105" s="106">
        <v>0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9"/>
        <v>0</v>
      </c>
      <c r="AI105" s="49">
        <f t="shared" si="10"/>
        <v>0</v>
      </c>
    </row>
    <row r="106" spans="1:37" x14ac:dyDescent="0.25">
      <c r="A106" s="105" t="s">
        <v>110</v>
      </c>
      <c r="B106" s="106">
        <v>-12</v>
      </c>
      <c r="C106" s="106">
        <v>-15</v>
      </c>
      <c r="D106" s="106">
        <v>-13</v>
      </c>
      <c r="E106" s="106">
        <v>-11.4</v>
      </c>
      <c r="F106" s="106">
        <v>-18.100000000000001</v>
      </c>
      <c r="G106" s="106">
        <v>-18.7</v>
      </c>
      <c r="H106" s="106">
        <v>-14.9</v>
      </c>
      <c r="I106" s="106">
        <v>-21.2</v>
      </c>
      <c r="J106" s="106">
        <v>-14.8</v>
      </c>
      <c r="K106" s="106">
        <v>-2.9</v>
      </c>
      <c r="L106" s="106">
        <v>21.5</v>
      </c>
      <c r="M106" s="106">
        <v>13.8</v>
      </c>
      <c r="N106" s="106">
        <v>-12.8</v>
      </c>
      <c r="O106" s="106">
        <v>-11.6</v>
      </c>
      <c r="P106" s="106">
        <v>-21.6</v>
      </c>
      <c r="Q106" s="106">
        <v>-28.5</v>
      </c>
      <c r="R106" s="106">
        <v>-23.5</v>
      </c>
      <c r="S106" s="106">
        <v>-23.5</v>
      </c>
      <c r="T106" s="106">
        <v>-16</v>
      </c>
      <c r="U106" s="106">
        <v>-27</v>
      </c>
      <c r="V106" s="106">
        <v>-37</v>
      </c>
      <c r="W106" s="106">
        <v>-37</v>
      </c>
      <c r="X106" s="106">
        <v>-37</v>
      </c>
      <c r="Y106" s="106">
        <v>-37</v>
      </c>
      <c r="Z106" s="106">
        <v>64</v>
      </c>
      <c r="AA106" s="106">
        <v>64</v>
      </c>
      <c r="AB106" s="106">
        <v>-21.6</v>
      </c>
      <c r="AC106" s="106">
        <v>-21.6</v>
      </c>
      <c r="AD106" s="106">
        <v>-20.5</v>
      </c>
      <c r="AE106" s="106">
        <v>-18.600000000000001</v>
      </c>
      <c r="AF106" s="106">
        <v>-15.3</v>
      </c>
      <c r="AG106" s="107"/>
      <c r="AH106" s="48">
        <f t="shared" si="9"/>
        <v>64</v>
      </c>
      <c r="AI106" s="49">
        <f t="shared" si="10"/>
        <v>-37</v>
      </c>
    </row>
    <row r="107" spans="1:37" x14ac:dyDescent="0.25">
      <c r="A107" s="105" t="s">
        <v>111</v>
      </c>
      <c r="B107" s="106">
        <v>11.4</v>
      </c>
      <c r="C107" s="106">
        <v>3.2</v>
      </c>
      <c r="D107" s="106"/>
      <c r="E107" s="106">
        <v>12.6</v>
      </c>
      <c r="F107" s="106">
        <v>12.4</v>
      </c>
      <c r="G107" s="106">
        <v>7</v>
      </c>
      <c r="H107" s="106">
        <v>6</v>
      </c>
      <c r="I107" s="106">
        <v>5</v>
      </c>
      <c r="J107" s="106">
        <v>5</v>
      </c>
      <c r="K107" s="106">
        <v>12</v>
      </c>
      <c r="L107" s="106">
        <v>8.6999999999999993</v>
      </c>
      <c r="M107" s="106"/>
      <c r="N107" s="106">
        <v>-9.4</v>
      </c>
      <c r="O107" s="106"/>
      <c r="P107" s="106"/>
      <c r="Q107" s="106"/>
      <c r="R107" s="106"/>
      <c r="S107" s="106"/>
      <c r="T107" s="106">
        <v>-9</v>
      </c>
      <c r="U107" s="106">
        <v>-8</v>
      </c>
      <c r="V107" s="106">
        <v>-17</v>
      </c>
      <c r="W107" s="106">
        <v>-17</v>
      </c>
      <c r="X107" s="106">
        <v>-17</v>
      </c>
      <c r="Y107" s="106">
        <v>-17</v>
      </c>
      <c r="Z107" s="106">
        <v>32</v>
      </c>
      <c r="AA107" s="106">
        <v>32</v>
      </c>
      <c r="AB107" s="106">
        <v>-14.8</v>
      </c>
      <c r="AC107" s="106">
        <v>-14.8</v>
      </c>
      <c r="AD107" s="106">
        <v>-7.2</v>
      </c>
      <c r="AE107" s="106">
        <v>-4.5999999999999996</v>
      </c>
      <c r="AF107" s="106">
        <v>8.5</v>
      </c>
      <c r="AG107" s="108"/>
      <c r="AH107" s="48">
        <f t="shared" si="9"/>
        <v>32</v>
      </c>
      <c r="AI107" s="49">
        <f t="shared" si="10"/>
        <v>-17</v>
      </c>
    </row>
    <row r="108" spans="1:37" x14ac:dyDescent="0.25">
      <c r="A108" s="109" t="s">
        <v>112</v>
      </c>
      <c r="B108" s="94">
        <v>93.2</v>
      </c>
      <c r="C108" s="94">
        <v>96.7</v>
      </c>
      <c r="D108" s="94">
        <v>97</v>
      </c>
      <c r="E108" s="94">
        <v>96.7</v>
      </c>
      <c r="F108" s="94">
        <v>98.5</v>
      </c>
      <c r="G108" s="94">
        <v>91</v>
      </c>
      <c r="H108" s="94">
        <v>90.3</v>
      </c>
      <c r="I108" s="94">
        <v>86.7</v>
      </c>
      <c r="J108" s="94">
        <v>83.4</v>
      </c>
      <c r="K108" s="94">
        <v>82.4</v>
      </c>
      <c r="L108" s="94">
        <v>80.3</v>
      </c>
      <c r="M108" s="94">
        <v>76.5</v>
      </c>
      <c r="N108" s="94">
        <v>79.8</v>
      </c>
      <c r="O108" s="94">
        <v>75</v>
      </c>
      <c r="P108" s="94">
        <v>72.8</v>
      </c>
      <c r="Q108" s="94">
        <v>79.8</v>
      </c>
      <c r="R108" s="94">
        <v>81.2</v>
      </c>
      <c r="S108" s="94">
        <v>81.2</v>
      </c>
      <c r="T108" s="94">
        <v>77</v>
      </c>
      <c r="U108" s="94">
        <v>72</v>
      </c>
      <c r="V108" s="94">
        <v>70</v>
      </c>
      <c r="W108" s="94">
        <v>70</v>
      </c>
      <c r="X108" s="94">
        <v>70</v>
      </c>
      <c r="Y108" s="94">
        <v>70</v>
      </c>
      <c r="Z108" s="94">
        <v>50</v>
      </c>
      <c r="AA108" s="94">
        <v>50</v>
      </c>
      <c r="AB108" s="94">
        <v>72.900000000000006</v>
      </c>
      <c r="AC108" s="94">
        <v>72.900000000000006</v>
      </c>
      <c r="AD108" s="94">
        <v>77.900000000000006</v>
      </c>
      <c r="AE108" s="94">
        <v>82</v>
      </c>
      <c r="AF108" s="94">
        <v>89.5</v>
      </c>
      <c r="AG108" s="108"/>
      <c r="AH108" s="48">
        <f t="shared" si="9"/>
        <v>98.5</v>
      </c>
      <c r="AI108" s="49">
        <f t="shared" si="10"/>
        <v>50</v>
      </c>
    </row>
    <row r="109" spans="1:37" ht="15.75" thickBot="1" x14ac:dyDescent="0.3">
      <c r="A109" s="109" t="s">
        <v>113</v>
      </c>
      <c r="B109" s="94">
        <v>101</v>
      </c>
      <c r="C109" s="94">
        <v>98.1</v>
      </c>
      <c r="D109" s="94">
        <v>103</v>
      </c>
      <c r="E109" s="94">
        <v>105.7</v>
      </c>
      <c r="F109" s="94">
        <v>106.5</v>
      </c>
      <c r="G109" s="94">
        <v>102</v>
      </c>
      <c r="H109" s="94">
        <v>102</v>
      </c>
      <c r="I109" s="94">
        <v>102.3</v>
      </c>
      <c r="J109" s="94">
        <v>94</v>
      </c>
      <c r="K109" s="94">
        <v>81.8</v>
      </c>
      <c r="L109" s="94">
        <v>66.2</v>
      </c>
      <c r="M109" s="94">
        <v>68.3</v>
      </c>
      <c r="N109" s="94">
        <v>95</v>
      </c>
      <c r="O109" s="94">
        <v>91.9</v>
      </c>
      <c r="P109" s="94">
        <v>102.3</v>
      </c>
      <c r="Q109" s="94">
        <v>105.5</v>
      </c>
      <c r="R109" s="94">
        <v>101</v>
      </c>
      <c r="S109" s="94">
        <v>104</v>
      </c>
      <c r="T109" s="94">
        <v>102</v>
      </c>
      <c r="U109" s="94">
        <v>110</v>
      </c>
      <c r="V109" s="94">
        <v>98</v>
      </c>
      <c r="W109" s="94">
        <v>90</v>
      </c>
      <c r="X109" s="94">
        <v>80</v>
      </c>
      <c r="Y109" s="94">
        <v>77</v>
      </c>
      <c r="Z109" s="94">
        <v>10</v>
      </c>
      <c r="AA109" s="94">
        <v>10</v>
      </c>
      <c r="AB109" s="94">
        <v>89.2</v>
      </c>
      <c r="AC109" s="94">
        <v>89.2</v>
      </c>
      <c r="AD109" s="94">
        <v>88.6</v>
      </c>
      <c r="AE109" s="94">
        <v>107</v>
      </c>
      <c r="AF109" s="94">
        <v>94</v>
      </c>
      <c r="AG109" s="108"/>
      <c r="AH109" s="48">
        <f t="shared" si="9"/>
        <v>110</v>
      </c>
      <c r="AI109" s="49">
        <f t="shared" si="10"/>
        <v>10</v>
      </c>
    </row>
    <row r="110" spans="1:37" ht="15.75" thickBot="1" x14ac:dyDescent="0.3">
      <c r="A110" s="110" t="s">
        <v>248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23">SUM(B111:B215)</f>
        <v>0</v>
      </c>
      <c r="C216" s="125">
        <f t="shared" si="23"/>
        <v>0</v>
      </c>
      <c r="D216" s="125">
        <f t="shared" si="23"/>
        <v>0</v>
      </c>
      <c r="E216" s="125">
        <f t="shared" si="23"/>
        <v>0</v>
      </c>
      <c r="F216" s="125">
        <f t="shared" si="23"/>
        <v>0</v>
      </c>
      <c r="G216" s="125">
        <f t="shared" si="23"/>
        <v>0</v>
      </c>
      <c r="H216" s="125">
        <f t="shared" si="23"/>
        <v>0</v>
      </c>
      <c r="I216" s="125">
        <f t="shared" si="23"/>
        <v>0</v>
      </c>
      <c r="J216" s="125">
        <f t="shared" si="23"/>
        <v>0</v>
      </c>
      <c r="K216" s="125">
        <f t="shared" si="23"/>
        <v>0</v>
      </c>
      <c r="L216" s="125">
        <f t="shared" si="23"/>
        <v>0</v>
      </c>
      <c r="M216" s="125">
        <f t="shared" si="23"/>
        <v>0</v>
      </c>
      <c r="N216" s="125">
        <f t="shared" si="23"/>
        <v>0</v>
      </c>
      <c r="O216" s="125">
        <f t="shared" si="23"/>
        <v>0</v>
      </c>
      <c r="P216" s="125">
        <f t="shared" si="23"/>
        <v>0</v>
      </c>
      <c r="Q216" s="125">
        <f t="shared" si="23"/>
        <v>0</v>
      </c>
      <c r="R216" s="125">
        <f t="shared" si="23"/>
        <v>0</v>
      </c>
      <c r="S216" s="125">
        <f t="shared" si="23"/>
        <v>0</v>
      </c>
      <c r="T216" s="125">
        <f t="shared" si="23"/>
        <v>0</v>
      </c>
      <c r="U216" s="125">
        <f t="shared" si="23"/>
        <v>0</v>
      </c>
      <c r="V216" s="125">
        <f t="shared" si="23"/>
        <v>0</v>
      </c>
      <c r="W216" s="125">
        <f t="shared" si="23"/>
        <v>0</v>
      </c>
      <c r="X216" s="125">
        <f t="shared" si="23"/>
        <v>0</v>
      </c>
      <c r="Y216" s="125">
        <f t="shared" si="23"/>
        <v>0</v>
      </c>
      <c r="Z216" s="125">
        <f t="shared" si="23"/>
        <v>0</v>
      </c>
      <c r="AA216" s="125">
        <f t="shared" si="23"/>
        <v>0</v>
      </c>
      <c r="AB216" s="125">
        <f t="shared" si="23"/>
        <v>0</v>
      </c>
      <c r="AC216" s="125">
        <f t="shared" si="23"/>
        <v>0</v>
      </c>
      <c r="AD216" s="125">
        <f t="shared" si="23"/>
        <v>0</v>
      </c>
      <c r="AE216" s="125">
        <f t="shared" si="23"/>
        <v>0</v>
      </c>
      <c r="AF216" s="126">
        <f t="shared" si="23"/>
        <v>0</v>
      </c>
      <c r="AG216" s="127">
        <f t="shared" si="23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24">AF218</f>
        <v>0</v>
      </c>
      <c r="C218" s="129">
        <v>0.3</v>
      </c>
      <c r="D218" s="129">
        <f t="shared" ref="D218:P223" si="25">C218</f>
        <v>0.3</v>
      </c>
      <c r="E218" s="129">
        <f t="shared" si="25"/>
        <v>0.3</v>
      </c>
      <c r="F218" s="129">
        <f t="shared" si="25"/>
        <v>0.3</v>
      </c>
      <c r="G218" s="129">
        <f t="shared" si="25"/>
        <v>0.3</v>
      </c>
      <c r="H218" s="129">
        <f t="shared" si="25"/>
        <v>0.3</v>
      </c>
      <c r="I218" s="129">
        <f t="shared" si="25"/>
        <v>0.3</v>
      </c>
      <c r="J218" s="129">
        <f t="shared" si="25"/>
        <v>0.3</v>
      </c>
      <c r="K218" s="129">
        <f t="shared" si="25"/>
        <v>0.3</v>
      </c>
      <c r="L218" s="129">
        <f t="shared" si="25"/>
        <v>0.3</v>
      </c>
      <c r="M218" s="129">
        <f t="shared" si="25"/>
        <v>0.3</v>
      </c>
      <c r="N218" s="129">
        <f t="shared" si="25"/>
        <v>0.3</v>
      </c>
      <c r="O218" s="129">
        <f t="shared" si="25"/>
        <v>0.3</v>
      </c>
      <c r="P218" s="129">
        <f t="shared" si="25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24"/>
        <v>0</v>
      </c>
      <c r="C219" s="117">
        <v>0.4</v>
      </c>
      <c r="D219" s="117">
        <f t="shared" si="25"/>
        <v>0.4</v>
      </c>
      <c r="E219" s="117">
        <f t="shared" si="25"/>
        <v>0.4</v>
      </c>
      <c r="F219" s="117">
        <f t="shared" si="25"/>
        <v>0.4</v>
      </c>
      <c r="G219" s="117">
        <f t="shared" si="25"/>
        <v>0.4</v>
      </c>
      <c r="H219" s="117">
        <f t="shared" si="25"/>
        <v>0.4</v>
      </c>
      <c r="I219" s="117">
        <f t="shared" si="25"/>
        <v>0.4</v>
      </c>
      <c r="J219" s="117">
        <f t="shared" si="25"/>
        <v>0.4</v>
      </c>
      <c r="K219" s="117">
        <f t="shared" si="25"/>
        <v>0.4</v>
      </c>
      <c r="L219" s="117">
        <f t="shared" si="25"/>
        <v>0.4</v>
      </c>
      <c r="M219" s="117">
        <f t="shared" si="25"/>
        <v>0.4</v>
      </c>
      <c r="N219" s="117">
        <f t="shared" si="25"/>
        <v>0.4</v>
      </c>
      <c r="O219" s="117">
        <f t="shared" si="25"/>
        <v>0.4</v>
      </c>
      <c r="P219" s="117">
        <f t="shared" si="25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24"/>
        <v>0</v>
      </c>
      <c r="C220" s="117">
        <v>1.5</v>
      </c>
      <c r="D220" s="117">
        <f t="shared" si="25"/>
        <v>1.5</v>
      </c>
      <c r="E220" s="117">
        <f t="shared" si="25"/>
        <v>1.5</v>
      </c>
      <c r="F220" s="117">
        <f t="shared" si="25"/>
        <v>1.5</v>
      </c>
      <c r="G220" s="117">
        <f t="shared" si="25"/>
        <v>1.5</v>
      </c>
      <c r="H220" s="117">
        <f t="shared" si="25"/>
        <v>1.5</v>
      </c>
      <c r="I220" s="117">
        <f t="shared" si="25"/>
        <v>1.5</v>
      </c>
      <c r="J220" s="117">
        <f t="shared" si="25"/>
        <v>1.5</v>
      </c>
      <c r="K220" s="117">
        <f t="shared" si="25"/>
        <v>1.5</v>
      </c>
      <c r="L220" s="117">
        <f t="shared" si="25"/>
        <v>1.5</v>
      </c>
      <c r="M220" s="117">
        <f t="shared" si="25"/>
        <v>1.5</v>
      </c>
      <c r="N220" s="117">
        <f t="shared" si="25"/>
        <v>1.5</v>
      </c>
      <c r="O220" s="117">
        <f t="shared" si="25"/>
        <v>1.5</v>
      </c>
      <c r="P220" s="117">
        <f t="shared" si="25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24"/>
        <v>0</v>
      </c>
      <c r="C221" s="117">
        <v>0.3</v>
      </c>
      <c r="D221" s="117">
        <f t="shared" si="25"/>
        <v>0.3</v>
      </c>
      <c r="E221" s="117">
        <f t="shared" si="25"/>
        <v>0.3</v>
      </c>
      <c r="F221" s="117">
        <f t="shared" si="25"/>
        <v>0.3</v>
      </c>
      <c r="G221" s="117">
        <f t="shared" si="25"/>
        <v>0.3</v>
      </c>
      <c r="H221" s="117">
        <f t="shared" si="25"/>
        <v>0.3</v>
      </c>
      <c r="I221" s="117">
        <f t="shared" si="25"/>
        <v>0.3</v>
      </c>
      <c r="J221" s="117">
        <f t="shared" si="25"/>
        <v>0.3</v>
      </c>
      <c r="K221" s="117">
        <f t="shared" si="25"/>
        <v>0.3</v>
      </c>
      <c r="L221" s="117">
        <f t="shared" si="25"/>
        <v>0.3</v>
      </c>
      <c r="M221" s="117">
        <f t="shared" si="25"/>
        <v>0.3</v>
      </c>
      <c r="N221" s="117">
        <f t="shared" si="25"/>
        <v>0.3</v>
      </c>
      <c r="O221" s="117">
        <f t="shared" si="25"/>
        <v>0.3</v>
      </c>
      <c r="P221" s="117">
        <f t="shared" si="25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24"/>
        <v>0</v>
      </c>
      <c r="C222" s="117">
        <v>0.4</v>
      </c>
      <c r="D222" s="117">
        <f t="shared" si="25"/>
        <v>0.4</v>
      </c>
      <c r="E222" s="117">
        <f t="shared" si="25"/>
        <v>0.4</v>
      </c>
      <c r="F222" s="117">
        <f t="shared" si="25"/>
        <v>0.4</v>
      </c>
      <c r="G222" s="117">
        <f t="shared" si="25"/>
        <v>0.4</v>
      </c>
      <c r="H222" s="117">
        <f t="shared" si="25"/>
        <v>0.4</v>
      </c>
      <c r="I222" s="117">
        <f t="shared" si="25"/>
        <v>0.4</v>
      </c>
      <c r="J222" s="117">
        <f t="shared" si="25"/>
        <v>0.4</v>
      </c>
      <c r="K222" s="117">
        <f t="shared" si="25"/>
        <v>0.4</v>
      </c>
      <c r="L222" s="117">
        <f t="shared" si="25"/>
        <v>0.4</v>
      </c>
      <c r="M222" s="117">
        <f t="shared" si="25"/>
        <v>0.4</v>
      </c>
      <c r="N222" s="117">
        <f t="shared" si="25"/>
        <v>0.4</v>
      </c>
      <c r="O222" s="117">
        <f t="shared" si="25"/>
        <v>0.4</v>
      </c>
      <c r="P222" s="117">
        <f t="shared" si="25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24"/>
        <v>0</v>
      </c>
      <c r="C223" s="121">
        <v>0.64</v>
      </c>
      <c r="D223" s="121">
        <f t="shared" si="25"/>
        <v>0.64</v>
      </c>
      <c r="E223" s="121">
        <f t="shared" si="25"/>
        <v>0.64</v>
      </c>
      <c r="F223" s="121">
        <f t="shared" si="25"/>
        <v>0.64</v>
      </c>
      <c r="G223" s="121">
        <f t="shared" si="25"/>
        <v>0.64</v>
      </c>
      <c r="H223" s="121">
        <f t="shared" si="25"/>
        <v>0.64</v>
      </c>
      <c r="I223" s="121">
        <f t="shared" si="25"/>
        <v>0.64</v>
      </c>
      <c r="J223" s="121">
        <f t="shared" si="25"/>
        <v>0.64</v>
      </c>
      <c r="K223" s="121">
        <f t="shared" si="25"/>
        <v>0.64</v>
      </c>
      <c r="L223" s="121">
        <f t="shared" si="25"/>
        <v>0.64</v>
      </c>
      <c r="M223" s="121">
        <f t="shared" si="25"/>
        <v>0.64</v>
      </c>
      <c r="N223" s="121">
        <f t="shared" si="25"/>
        <v>0.64</v>
      </c>
      <c r="O223" s="121">
        <f t="shared" si="25"/>
        <v>0.64</v>
      </c>
      <c r="P223" s="121">
        <f t="shared" si="25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6">SUM(B218:B223)</f>
        <v>0</v>
      </c>
      <c r="C224" s="125">
        <f t="shared" si="26"/>
        <v>3.54</v>
      </c>
      <c r="D224" s="125">
        <f t="shared" si="26"/>
        <v>3.54</v>
      </c>
      <c r="E224" s="125">
        <f t="shared" si="26"/>
        <v>3.54</v>
      </c>
      <c r="F224" s="125">
        <f t="shared" si="26"/>
        <v>3.54</v>
      </c>
      <c r="G224" s="125">
        <f t="shared" si="26"/>
        <v>3.54</v>
      </c>
      <c r="H224" s="125">
        <f t="shared" si="26"/>
        <v>3.54</v>
      </c>
      <c r="I224" s="125">
        <f t="shared" si="26"/>
        <v>3.54</v>
      </c>
      <c r="J224" s="125">
        <f t="shared" si="26"/>
        <v>3.54</v>
      </c>
      <c r="K224" s="125">
        <f t="shared" si="26"/>
        <v>3.54</v>
      </c>
      <c r="L224" s="125">
        <f t="shared" si="26"/>
        <v>3.54</v>
      </c>
      <c r="M224" s="125">
        <f t="shared" si="26"/>
        <v>3.54</v>
      </c>
      <c r="N224" s="125">
        <f t="shared" si="26"/>
        <v>3.54</v>
      </c>
      <c r="O224" s="125">
        <f t="shared" si="26"/>
        <v>3.54</v>
      </c>
      <c r="P224" s="125">
        <f t="shared" si="26"/>
        <v>3.54</v>
      </c>
      <c r="Q224" s="125">
        <f t="shared" si="26"/>
        <v>0</v>
      </c>
      <c r="R224" s="125">
        <f t="shared" si="26"/>
        <v>0</v>
      </c>
      <c r="S224" s="125">
        <f t="shared" si="26"/>
        <v>0</v>
      </c>
      <c r="T224" s="125">
        <f t="shared" si="26"/>
        <v>0</v>
      </c>
      <c r="U224" s="125">
        <f t="shared" si="26"/>
        <v>0</v>
      </c>
      <c r="V224" s="125">
        <f t="shared" si="26"/>
        <v>0</v>
      </c>
      <c r="W224" s="125">
        <f t="shared" si="26"/>
        <v>0</v>
      </c>
      <c r="X224" s="125">
        <f t="shared" si="26"/>
        <v>0</v>
      </c>
      <c r="Y224" s="125">
        <f t="shared" si="26"/>
        <v>0</v>
      </c>
      <c r="Z224" s="125">
        <f t="shared" si="26"/>
        <v>0</v>
      </c>
      <c r="AA224" s="125">
        <f t="shared" si="26"/>
        <v>0</v>
      </c>
      <c r="AB224" s="125">
        <f t="shared" si="26"/>
        <v>0</v>
      </c>
      <c r="AC224" s="125">
        <f t="shared" si="26"/>
        <v>0</v>
      </c>
      <c r="AD224" s="125">
        <f t="shared" si="26"/>
        <v>0</v>
      </c>
      <c r="AE224" s="125">
        <f t="shared" si="26"/>
        <v>0</v>
      </c>
      <c r="AF224" s="125">
        <f t="shared" si="26"/>
        <v>0</v>
      </c>
      <c r="AG224" s="134">
        <f t="shared" si="26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1647.6399999999999</v>
      </c>
      <c r="C233" s="150">
        <f>INDEX(G9:N9,1,MATCH(MAX(G81:N81),G81:N81,0))</f>
        <v>0.3125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22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2079/06/22)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2079/06/22)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27">B81</f>
        <v>1296.04</v>
      </c>
      <c r="U238" s="159">
        <f t="shared" si="27"/>
        <v>1292.3400000000001</v>
      </c>
      <c r="V238" s="159">
        <f t="shared" si="27"/>
        <v>1330.8400000000001</v>
      </c>
      <c r="W238" s="159">
        <f t="shared" si="27"/>
        <v>1285.04</v>
      </c>
      <c r="X238" s="159">
        <f t="shared" si="27"/>
        <v>1289.44</v>
      </c>
      <c r="Y238" s="159">
        <f t="shared" si="27"/>
        <v>1338.04</v>
      </c>
      <c r="Z238" s="159">
        <f t="shared" si="27"/>
        <v>1391.6399999999999</v>
      </c>
      <c r="AA238" s="159">
        <f t="shared" si="27"/>
        <v>1447.1399999999999</v>
      </c>
      <c r="AB238" s="159">
        <f t="shared" si="27"/>
        <v>1487.1399999999999</v>
      </c>
      <c r="AC238" s="159">
        <f t="shared" si="27"/>
        <v>1606.44</v>
      </c>
      <c r="AD238" s="159">
        <f t="shared" si="27"/>
        <v>1647.6399999999999</v>
      </c>
      <c r="AE238" s="159">
        <f t="shared" si="27"/>
        <v>1606.34</v>
      </c>
      <c r="AF238" s="159">
        <f t="shared" si="27"/>
        <v>1502.54</v>
      </c>
      <c r="AG238" s="159">
        <f t="shared" si="27"/>
        <v>1474.54</v>
      </c>
      <c r="AH238" s="159">
        <f t="shared" si="27"/>
        <v>1397.6399999999999</v>
      </c>
      <c r="AI238" s="159">
        <f t="shared" si="27"/>
        <v>1533.84</v>
      </c>
      <c r="AJ238" s="159">
        <f t="shared" si="27"/>
        <v>1282.6399999999999</v>
      </c>
      <c r="AK238" s="159">
        <f t="shared" si="27"/>
        <v>1325.04</v>
      </c>
      <c r="AL238" s="159">
        <f t="shared" si="27"/>
        <v>1336.6399999999999</v>
      </c>
      <c r="AM238" s="159">
        <f t="shared" si="27"/>
        <v>1337.6399999999999</v>
      </c>
      <c r="AN238" s="159">
        <f t="shared" si="27"/>
        <v>1374.04</v>
      </c>
      <c r="AO238" s="159">
        <f t="shared" si="27"/>
        <v>1434.04</v>
      </c>
      <c r="AP238" s="159">
        <f t="shared" si="27"/>
        <v>1587.04</v>
      </c>
      <c r="AQ238" s="159">
        <f t="shared" si="27"/>
        <v>1577.04</v>
      </c>
      <c r="AR238" s="159">
        <f t="shared" si="27"/>
        <v>1707.04</v>
      </c>
      <c r="AS238" s="159">
        <f t="shared" si="27"/>
        <v>1666.04</v>
      </c>
      <c r="AT238" s="159">
        <f t="shared" si="27"/>
        <v>1502.24</v>
      </c>
      <c r="AU238" s="159">
        <f t="shared" si="27"/>
        <v>1502.24</v>
      </c>
      <c r="AV238" s="159">
        <f t="shared" si="27"/>
        <v>1438.9399999999998</v>
      </c>
      <c r="AW238" s="159">
        <f t="shared" si="27"/>
        <v>1399.9399999999998</v>
      </c>
      <c r="AX238" s="159">
        <f t="shared" si="27"/>
        <v>1687.24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28">C223</f>
        <v>0.64</v>
      </c>
      <c r="C259" s="162">
        <f t="shared" si="28"/>
        <v>0.64</v>
      </c>
      <c r="D259" s="162">
        <f t="shared" si="28"/>
        <v>0.64</v>
      </c>
      <c r="E259" s="162">
        <f t="shared" si="28"/>
        <v>0.64</v>
      </c>
      <c r="F259" s="162">
        <f t="shared" si="28"/>
        <v>0.64</v>
      </c>
      <c r="G259" s="162">
        <f t="shared" si="28"/>
        <v>0.64</v>
      </c>
      <c r="H259" s="162">
        <f t="shared" si="28"/>
        <v>0.64</v>
      </c>
      <c r="I259" s="162">
        <f t="shared" si="28"/>
        <v>0.64</v>
      </c>
      <c r="J259" s="162">
        <f t="shared" si="28"/>
        <v>0.64</v>
      </c>
      <c r="K259" s="162">
        <f t="shared" si="28"/>
        <v>0.64</v>
      </c>
      <c r="L259" s="162">
        <f t="shared" si="28"/>
        <v>0.64</v>
      </c>
      <c r="M259" s="162">
        <f t="shared" si="28"/>
        <v>0.64</v>
      </c>
      <c r="N259" s="162">
        <f t="shared" si="28"/>
        <v>0.64</v>
      </c>
      <c r="O259" s="162">
        <f t="shared" si="28"/>
        <v>0.64</v>
      </c>
      <c r="P259" s="162">
        <f t="shared" si="28"/>
        <v>0</v>
      </c>
      <c r="Q259" s="162">
        <f t="shared" si="28"/>
        <v>0</v>
      </c>
      <c r="R259" s="162">
        <f t="shared" si="28"/>
        <v>0</v>
      </c>
      <c r="S259" s="162">
        <f t="shared" si="28"/>
        <v>0</v>
      </c>
      <c r="T259" s="162">
        <f t="shared" si="28"/>
        <v>0</v>
      </c>
      <c r="U259" s="162">
        <f t="shared" si="28"/>
        <v>0</v>
      </c>
      <c r="V259" s="162">
        <f t="shared" si="28"/>
        <v>0</v>
      </c>
      <c r="W259" s="162">
        <f t="shared" si="28"/>
        <v>0</v>
      </c>
      <c r="X259" s="162">
        <f t="shared" si="28"/>
        <v>0</v>
      </c>
      <c r="Y259" s="162">
        <f t="shared" si="28"/>
        <v>0</v>
      </c>
      <c r="Z259" s="162">
        <f t="shared" si="28"/>
        <v>0</v>
      </c>
      <c r="AA259" s="162">
        <f t="shared" si="28"/>
        <v>0</v>
      </c>
      <c r="AB259" s="162">
        <f t="shared" si="28"/>
        <v>0</v>
      </c>
      <c r="AC259" s="162">
        <f t="shared" si="28"/>
        <v>0</v>
      </c>
      <c r="AD259" s="162">
        <f t="shared" si="28"/>
        <v>0</v>
      </c>
      <c r="AE259" s="162">
        <f t="shared" si="28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29">IF(B227&lt;100,"",B227-520)</f>
        <v/>
      </c>
      <c r="C260" s="163" t="str">
        <f t="shared" si="29"/>
        <v/>
      </c>
      <c r="D260" s="163" t="str">
        <f t="shared" si="29"/>
        <v/>
      </c>
      <c r="E260" s="163" t="str">
        <f t="shared" si="29"/>
        <v/>
      </c>
      <c r="F260" s="163" t="str">
        <f t="shared" si="29"/>
        <v/>
      </c>
      <c r="G260" s="163" t="str">
        <f t="shared" si="29"/>
        <v/>
      </c>
      <c r="H260" s="163" t="str">
        <f t="shared" si="29"/>
        <v/>
      </c>
      <c r="I260" s="163" t="str">
        <f t="shared" si="29"/>
        <v/>
      </c>
      <c r="J260" s="163" t="str">
        <f t="shared" si="29"/>
        <v/>
      </c>
      <c r="K260" s="163" t="str">
        <f t="shared" si="29"/>
        <v/>
      </c>
      <c r="L260" s="163" t="str">
        <f t="shared" si="29"/>
        <v/>
      </c>
      <c r="M260" s="163" t="str">
        <f t="shared" si="29"/>
        <v/>
      </c>
      <c r="N260" s="163" t="str">
        <f t="shared" si="29"/>
        <v/>
      </c>
      <c r="O260" s="163" t="str">
        <f t="shared" si="29"/>
        <v/>
      </c>
      <c r="P260" s="163" t="str">
        <f t="shared" si="29"/>
        <v/>
      </c>
      <c r="Q260" s="163" t="str">
        <f t="shared" si="29"/>
        <v/>
      </c>
      <c r="R260" s="163" t="str">
        <f t="shared" si="29"/>
        <v/>
      </c>
      <c r="S260" s="163" t="str">
        <f t="shared" si="29"/>
        <v/>
      </c>
      <c r="T260" s="163" t="str">
        <f t="shared" si="29"/>
        <v/>
      </c>
      <c r="U260" s="163" t="str">
        <f t="shared" si="29"/>
        <v/>
      </c>
      <c r="V260" s="163" t="str">
        <f t="shared" si="29"/>
        <v/>
      </c>
      <c r="W260" s="163" t="str">
        <f t="shared" si="29"/>
        <v/>
      </c>
      <c r="X260" s="163" t="str">
        <f t="shared" si="29"/>
        <v/>
      </c>
      <c r="Y260" s="163" t="str">
        <f t="shared" si="29"/>
        <v/>
      </c>
      <c r="Z260" s="163" t="str">
        <f t="shared" si="29"/>
        <v/>
      </c>
      <c r="AA260" s="163" t="str">
        <f t="shared" si="29"/>
        <v/>
      </c>
      <c r="AB260" s="163" t="str">
        <f t="shared" si="29"/>
        <v/>
      </c>
      <c r="AC260" s="163" t="str">
        <f t="shared" si="29"/>
        <v/>
      </c>
      <c r="AD260" s="163" t="str">
        <f t="shared" si="29"/>
        <v/>
      </c>
      <c r="AE260" s="163" t="str">
        <f t="shared" si="29"/>
        <v/>
      </c>
      <c r="AF260" s="163" t="str">
        <f t="shared" si="29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30">IF(B228&lt;100,"",B228-620)</f>
        <v/>
      </c>
      <c r="C261" s="163" t="str">
        <f t="shared" si="30"/>
        <v/>
      </c>
      <c r="D261" s="163" t="str">
        <f t="shared" si="30"/>
        <v/>
      </c>
      <c r="E261" s="163" t="str">
        <f t="shared" si="30"/>
        <v/>
      </c>
      <c r="F261" s="163" t="str">
        <f t="shared" si="30"/>
        <v/>
      </c>
      <c r="G261" s="163" t="str">
        <f t="shared" si="30"/>
        <v/>
      </c>
      <c r="H261" s="163" t="str">
        <f t="shared" si="30"/>
        <v/>
      </c>
      <c r="I261" s="163" t="str">
        <f t="shared" si="30"/>
        <v/>
      </c>
      <c r="J261" s="163" t="str">
        <f t="shared" si="30"/>
        <v/>
      </c>
      <c r="K261" s="163" t="str">
        <f t="shared" si="30"/>
        <v/>
      </c>
      <c r="L261" s="163" t="str">
        <f t="shared" si="30"/>
        <v/>
      </c>
      <c r="M261" s="163" t="str">
        <f t="shared" si="30"/>
        <v/>
      </c>
      <c r="N261" s="163" t="str">
        <f t="shared" si="30"/>
        <v/>
      </c>
      <c r="O261" s="163" t="str">
        <f t="shared" si="30"/>
        <v/>
      </c>
      <c r="P261" s="163" t="str">
        <f t="shared" si="30"/>
        <v/>
      </c>
      <c r="Q261" s="163" t="str">
        <f t="shared" si="30"/>
        <v/>
      </c>
      <c r="R261" s="163" t="str">
        <f t="shared" si="30"/>
        <v/>
      </c>
      <c r="S261" s="163" t="str">
        <f t="shared" si="30"/>
        <v/>
      </c>
      <c r="T261" s="163" t="str">
        <f t="shared" si="30"/>
        <v/>
      </c>
      <c r="U261" s="163" t="str">
        <f t="shared" si="30"/>
        <v/>
      </c>
      <c r="V261" s="163" t="str">
        <f t="shared" si="30"/>
        <v/>
      </c>
      <c r="W261" s="163" t="str">
        <f t="shared" si="30"/>
        <v/>
      </c>
      <c r="X261" s="163" t="str">
        <f t="shared" si="30"/>
        <v/>
      </c>
      <c r="Y261" s="163" t="str">
        <f t="shared" si="30"/>
        <v/>
      </c>
      <c r="Z261" s="163" t="str">
        <f t="shared" si="30"/>
        <v/>
      </c>
      <c r="AA261" s="163" t="str">
        <f t="shared" si="30"/>
        <v/>
      </c>
      <c r="AB261" s="163" t="str">
        <f t="shared" si="30"/>
        <v/>
      </c>
      <c r="AC261" s="163" t="str">
        <f t="shared" si="30"/>
        <v/>
      </c>
      <c r="AD261" s="163" t="str">
        <f t="shared" si="30"/>
        <v/>
      </c>
      <c r="AE261" s="163" t="str">
        <f t="shared" si="30"/>
        <v/>
      </c>
      <c r="AF261" s="163" t="str">
        <f t="shared" si="30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1">IF(B229&lt;100,"",B229-330)</f>
        <v/>
      </c>
      <c r="C262" s="163" t="str">
        <f t="shared" si="31"/>
        <v/>
      </c>
      <c r="D262" s="163" t="str">
        <f t="shared" si="31"/>
        <v/>
      </c>
      <c r="E262" s="163" t="str">
        <f t="shared" si="31"/>
        <v/>
      </c>
      <c r="F262" s="163" t="str">
        <f t="shared" si="31"/>
        <v/>
      </c>
      <c r="G262" s="163" t="str">
        <f t="shared" si="31"/>
        <v/>
      </c>
      <c r="H262" s="163" t="str">
        <f t="shared" si="31"/>
        <v/>
      </c>
      <c r="I262" s="163" t="str">
        <f t="shared" si="31"/>
        <v/>
      </c>
      <c r="J262" s="163" t="str">
        <f t="shared" si="31"/>
        <v/>
      </c>
      <c r="K262" s="163" t="str">
        <f t="shared" si="31"/>
        <v/>
      </c>
      <c r="L262" s="163" t="str">
        <f t="shared" si="31"/>
        <v/>
      </c>
      <c r="M262" s="163" t="str">
        <f t="shared" si="31"/>
        <v/>
      </c>
      <c r="N262" s="163" t="str">
        <f t="shared" si="31"/>
        <v/>
      </c>
      <c r="O262" s="163" t="str">
        <f t="shared" si="31"/>
        <v/>
      </c>
      <c r="P262" s="163" t="str">
        <f t="shared" si="31"/>
        <v/>
      </c>
      <c r="Q262" s="163" t="str">
        <f t="shared" si="31"/>
        <v/>
      </c>
      <c r="R262" s="163" t="str">
        <f t="shared" si="31"/>
        <v/>
      </c>
      <c r="S262" s="163" t="str">
        <f t="shared" si="31"/>
        <v/>
      </c>
      <c r="T262" s="163" t="str">
        <f t="shared" si="31"/>
        <v/>
      </c>
      <c r="U262" s="163" t="str">
        <f t="shared" si="31"/>
        <v/>
      </c>
      <c r="V262" s="163" t="str">
        <f t="shared" si="31"/>
        <v/>
      </c>
      <c r="W262" s="163" t="str">
        <f t="shared" si="31"/>
        <v/>
      </c>
      <c r="X262" s="163" t="str">
        <f t="shared" si="31"/>
        <v/>
      </c>
      <c r="Y262" s="163" t="str">
        <f t="shared" si="31"/>
        <v/>
      </c>
      <c r="Z262" s="163" t="str">
        <f t="shared" si="31"/>
        <v/>
      </c>
      <c r="AA262" s="163" t="str">
        <f t="shared" si="31"/>
        <v/>
      </c>
      <c r="AB262" s="163" t="str">
        <f t="shared" si="31"/>
        <v/>
      </c>
      <c r="AC262" s="163" t="str">
        <f t="shared" si="31"/>
        <v/>
      </c>
      <c r="AD262" s="163" t="str">
        <f t="shared" si="31"/>
        <v/>
      </c>
      <c r="AE262" s="163" t="str">
        <f t="shared" si="31"/>
        <v/>
      </c>
      <c r="AF262" s="163" t="str">
        <f t="shared" si="31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2">IF(B230&lt;100,"",B230-1500)</f>
        <v/>
      </c>
      <c r="C263" s="163" t="str">
        <f t="shared" si="32"/>
        <v/>
      </c>
      <c r="D263" s="163" t="str">
        <f t="shared" si="32"/>
        <v/>
      </c>
      <c r="E263" s="163" t="str">
        <f t="shared" si="32"/>
        <v/>
      </c>
      <c r="F263" s="163" t="str">
        <f t="shared" si="32"/>
        <v/>
      </c>
      <c r="G263" s="163" t="str">
        <f t="shared" si="32"/>
        <v/>
      </c>
      <c r="H263" s="163" t="str">
        <f t="shared" si="32"/>
        <v/>
      </c>
      <c r="I263" s="163" t="str">
        <f t="shared" si="32"/>
        <v/>
      </c>
      <c r="J263" s="163" t="str">
        <f t="shared" si="32"/>
        <v/>
      </c>
      <c r="K263" s="163" t="str">
        <f t="shared" si="32"/>
        <v/>
      </c>
      <c r="L263" s="163" t="str">
        <f t="shared" si="32"/>
        <v/>
      </c>
      <c r="M263" s="163" t="str">
        <f t="shared" si="32"/>
        <v/>
      </c>
      <c r="N263" s="163" t="str">
        <f t="shared" si="32"/>
        <v/>
      </c>
      <c r="O263" s="163" t="str">
        <f t="shared" si="32"/>
        <v/>
      </c>
      <c r="P263" s="163" t="str">
        <f t="shared" si="32"/>
        <v/>
      </c>
      <c r="Q263" s="163" t="str">
        <f t="shared" si="32"/>
        <v/>
      </c>
      <c r="R263" s="163" t="str">
        <f t="shared" si="32"/>
        <v/>
      </c>
      <c r="S263" s="163" t="str">
        <f t="shared" si="32"/>
        <v/>
      </c>
      <c r="T263" s="163" t="str">
        <f t="shared" si="32"/>
        <v/>
      </c>
      <c r="U263" s="163" t="str">
        <f t="shared" si="32"/>
        <v/>
      </c>
      <c r="V263" s="163" t="str">
        <f t="shared" si="32"/>
        <v/>
      </c>
      <c r="W263" s="163" t="str">
        <f t="shared" si="32"/>
        <v/>
      </c>
      <c r="X263" s="163" t="str">
        <f t="shared" si="32"/>
        <v/>
      </c>
      <c r="Y263" s="163" t="str">
        <f t="shared" si="32"/>
        <v/>
      </c>
      <c r="Z263" s="163" t="str">
        <f t="shared" si="32"/>
        <v/>
      </c>
      <c r="AA263" s="163" t="str">
        <f t="shared" si="32"/>
        <v/>
      </c>
      <c r="AB263" s="163" t="str">
        <f t="shared" si="32"/>
        <v/>
      </c>
      <c r="AC263" s="163" t="str">
        <f t="shared" si="32"/>
        <v/>
      </c>
      <c r="AD263" s="163" t="str">
        <f t="shared" si="32"/>
        <v/>
      </c>
      <c r="AE263" s="163" t="str">
        <f t="shared" si="32"/>
        <v/>
      </c>
      <c r="AF263" s="163" t="str">
        <f t="shared" si="32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V11:AF11 B16:AF16 B20:AF23">
    <cfRule type="expression" dxfId="4715" priority="239">
      <formula>B$9&gt;=20/24</formula>
    </cfRule>
    <cfRule type="expression" dxfId="4714" priority="240">
      <formula>AND(B$9&gt;=14/24,B$9&lt;20/24)</formula>
    </cfRule>
    <cfRule type="expression" dxfId="4713" priority="241">
      <formula>AND(B$9&gt;=8/24,B$9&lt;14/24)</formula>
    </cfRule>
    <cfRule type="expression" dxfId="4712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4711" priority="234">
      <formula>S$9&gt;=20/24</formula>
    </cfRule>
    <cfRule type="expression" dxfId="4710" priority="235">
      <formula>AND(S$9&gt;=14/24,S$9&lt;20/24)</formula>
    </cfRule>
    <cfRule type="expression" dxfId="4709" priority="236">
      <formula>AND(S$9&gt;=8/24,S$9&lt;14/24)</formula>
    </cfRule>
    <cfRule type="expression" dxfId="4708" priority="237">
      <formula>S$9&lt;8/24</formula>
    </cfRule>
  </conditionalFormatting>
  <conditionalFormatting sqref="AG57 R11:W11 B12:W16 B18:AF18 B37:AF37 B20:AF23 X11:AF16 S39:AF39">
    <cfRule type="expression" dxfId="4707" priority="233">
      <formula>B11&gt;$AG11</formula>
    </cfRule>
  </conditionalFormatting>
  <conditionalFormatting sqref="A91:A101 A11:A14 A51:A78 A87:A89 A194:A224 A38:A49 A110:A181 A34:A35 A83:A85 A80:A81 A103:A105 A31:A32 A18:A29 A16">
    <cfRule type="expression" dxfId="4706" priority="232">
      <formula>$AH11=0</formula>
    </cfRule>
  </conditionalFormatting>
  <conditionalFormatting sqref="A106">
    <cfRule type="expression" dxfId="4705" priority="231">
      <formula>$AH106=0</formula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4704" priority="229">
      <formula>$AH37=0</formula>
    </cfRule>
  </conditionalFormatting>
  <conditionalFormatting sqref="A90">
    <cfRule type="expression" dxfId="4703" priority="228">
      <formula>$AH90=0</formula>
    </cfRule>
  </conditionalFormatting>
  <conditionalFormatting sqref="A15">
    <cfRule type="expression" dxfId="4702" priority="227">
      <formula>$AH15=0</formula>
    </cfRule>
  </conditionalFormatting>
  <conditionalFormatting sqref="A188:A193">
    <cfRule type="expression" dxfId="4701" priority="226">
      <formula>$AH188=0</formula>
    </cfRule>
  </conditionalFormatting>
  <conditionalFormatting sqref="A182:A187">
    <cfRule type="expression" dxfId="4700" priority="225">
      <formula>$AH182=0</formula>
    </cfRule>
  </conditionalFormatting>
  <conditionalFormatting sqref="A50">
    <cfRule type="expression" dxfId="4699" priority="224">
      <formula>$AH50=0</formula>
    </cfRule>
  </conditionalFormatting>
  <conditionalFormatting sqref="A86">
    <cfRule type="expression" dxfId="4698" priority="223">
      <formula>$AH86=0</formula>
    </cfRule>
  </conditionalFormatting>
  <conditionalFormatting sqref="C91:AF91">
    <cfRule type="expression" dxfId="4697" priority="219">
      <formula>C$9&gt;=20/24</formula>
    </cfRule>
    <cfRule type="expression" dxfId="4696" priority="220">
      <formula>AND(C$9&gt;=14/24,C$9&lt;20/24)</formula>
    </cfRule>
    <cfRule type="expression" dxfId="4695" priority="221">
      <formula>AND(C$9&gt;=8/24,C$9&lt;14/24)</formula>
    </cfRule>
    <cfRule type="expression" dxfId="4694" priority="222">
      <formula>C$9&lt;8/24</formula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693" priority="245">
      <formula>C$9&gt;=20/24</formula>
    </cfRule>
    <cfRule type="expression" dxfId="4692" priority="246">
      <formula>AND(C$9&gt;=14/24,C$9&lt;20/24)</formula>
    </cfRule>
    <cfRule type="expression" dxfId="4691" priority="247">
      <formula>AND(C$9&gt;=8/24,C$9&lt;14/24)</formula>
    </cfRule>
    <cfRule type="expression" dxfId="4690" priority="248">
      <formula>C$9&lt;8/24</formula>
    </cfRule>
  </conditionalFormatting>
  <conditionalFormatting sqref="A225">
    <cfRule type="expression" dxfId="4689" priority="249">
      <formula>$AH225=0</formula>
    </cfRule>
  </conditionalFormatting>
  <conditionalFormatting sqref="AG237">
    <cfRule type="expression" dxfId="4688" priority="250">
      <formula>B$9&gt;=20/24</formula>
    </cfRule>
    <cfRule type="expression" dxfId="4687" priority="251">
      <formula>AND(B$9&gt;=14/24,B$9&lt;20/24)</formula>
    </cfRule>
    <cfRule type="expression" dxfId="4686" priority="252">
      <formula>AND(B$9&gt;=8/24,B$9&lt;14/24)</formula>
    </cfRule>
    <cfRule type="expression" dxfId="4685" priority="253">
      <formula>B$9&lt;8/24</formula>
    </cfRule>
  </conditionalFormatting>
  <conditionalFormatting sqref="S8">
    <cfRule type="expression" dxfId="4684" priority="214">
      <formula>U$9&gt;=20/24</formula>
    </cfRule>
    <cfRule type="expression" dxfId="4683" priority="215">
      <formula>AND(U$9&gt;=14/24,U$9&lt;20/24)</formula>
    </cfRule>
    <cfRule type="expression" dxfId="4682" priority="216">
      <formula>AND(U$9&gt;=8/24,U$9&lt;14/24)</formula>
    </cfRule>
    <cfRule type="expression" dxfId="4681" priority="217">
      <formula>U$9&lt;8/24</formula>
    </cfRule>
  </conditionalFormatting>
  <conditionalFormatting sqref="AB8">
    <cfRule type="expression" dxfId="4680" priority="210">
      <formula>AD$9&gt;=20/24</formula>
    </cfRule>
    <cfRule type="expression" dxfId="4679" priority="211">
      <formula>AND(AD$9&gt;=14/24,AD$9&lt;20/24)</formula>
    </cfRule>
    <cfRule type="expression" dxfId="4678" priority="212">
      <formula>AND(AD$9&gt;=8/24,AD$9&lt;14/24)</formula>
    </cfRule>
    <cfRule type="expression" dxfId="4677" priority="213">
      <formula>AD$9&lt;8/24</formula>
    </cfRule>
  </conditionalFormatting>
  <conditionalFormatting sqref="AH237:AX237">
    <cfRule type="expression" dxfId="4676" priority="254">
      <formula>AG$9&gt;=20/24</formula>
    </cfRule>
    <cfRule type="expression" dxfId="4675" priority="255">
      <formula>AND(AG$9&gt;=14/24,AG$9&lt;20/24)</formula>
    </cfRule>
    <cfRule type="expression" dxfId="4674" priority="256">
      <formula>AND(AG$9&gt;=8/24,AG$9&lt;14/24)</formula>
    </cfRule>
    <cfRule type="expression" dxfId="4673" priority="257">
      <formula>AG$9&lt;8/24</formula>
    </cfRule>
  </conditionalFormatting>
  <conditionalFormatting sqref="T237">
    <cfRule type="expression" dxfId="4672" priority="258">
      <formula>AX$9&gt;=20/24</formula>
    </cfRule>
    <cfRule type="expression" dxfId="4671" priority="259">
      <formula>AND(AX$9&gt;=14/24,AX$9&lt;20/24)</formula>
    </cfRule>
    <cfRule type="expression" dxfId="4670" priority="260">
      <formula>AND(AX$9&gt;=8/24,AX$9&lt;14/24)</formula>
    </cfRule>
    <cfRule type="expression" dxfId="4669" priority="261">
      <formula>AX$9&lt;8/24</formula>
    </cfRule>
  </conditionalFormatting>
  <conditionalFormatting sqref="A107:A108">
    <cfRule type="expression" dxfId="4668" priority="209">
      <formula>$AH107=0</formula>
    </cfRule>
  </conditionalFormatting>
  <conditionalFormatting sqref="AF46:AF47 E46:O47 E63:AF63">
    <cfRule type="expression" dxfId="4667" priority="205">
      <formula>E$9&gt;=20/24</formula>
    </cfRule>
    <cfRule type="expression" dxfId="4666" priority="206">
      <formula>AND(E$9&gt;=14/24,E$9&lt;20/24)</formula>
    </cfRule>
    <cfRule type="expression" dxfId="4665" priority="207">
      <formula>AND(E$9&gt;=8/24,E$9&lt;14/24)</formula>
    </cfRule>
    <cfRule type="expression" dxfId="4664" priority="208">
      <formula>E$9&lt;8/24</formula>
    </cfRule>
  </conditionalFormatting>
  <conditionalFormatting sqref="E45:O45 S45:AF45">
    <cfRule type="expression" dxfId="4663" priority="201">
      <formula>E$9&gt;=20/24</formula>
    </cfRule>
    <cfRule type="expression" dxfId="4662" priority="202">
      <formula>AND(E$9&gt;=14/24,E$9&lt;20/24)</formula>
    </cfRule>
    <cfRule type="expression" dxfId="4661" priority="203">
      <formula>AND(E$9&gt;=8/24,E$9&lt;14/24)</formula>
    </cfRule>
    <cfRule type="expression" dxfId="4660" priority="204">
      <formula>E$9&lt;8/24</formula>
    </cfRule>
  </conditionalFormatting>
  <conditionalFormatting sqref="AF45:AF47 E45:O47 S45:AE45">
    <cfRule type="expression" dxfId="4659" priority="200">
      <formula>E45&gt;$AG45</formula>
    </cfRule>
  </conditionalFormatting>
  <conditionalFormatting sqref="C88:AF88 C75:AF78 S59:AF61 L39:R39 R11:U14 D92:AF98 V38:AF38 V18:AF18 V12:AF14 E64:AF65">
    <cfRule type="expression" dxfId="4658" priority="196">
      <formula>C$9&gt;=20/24</formula>
    </cfRule>
    <cfRule type="expression" dxfId="4657" priority="197">
      <formula>AND(C$9&gt;=14/24,C$9&lt;20/24)</formula>
    </cfRule>
    <cfRule type="expression" dxfId="4656" priority="198">
      <formula>AND(C$9&gt;=8/24,C$9&lt;14/24)</formula>
    </cfRule>
    <cfRule type="expression" dxfId="4655" priority="199">
      <formula>C$9&lt;8/24</formula>
    </cfRule>
  </conditionalFormatting>
  <conditionalFormatting sqref="AF48:AF49 S59:AF61 E48:O48 L39:R39 R11:U11 C57:AF57 V38:AF38">
    <cfRule type="expression" dxfId="4654" priority="191">
      <formula>C11&gt;$AG11</formula>
    </cfRule>
  </conditionalFormatting>
  <conditionalFormatting sqref="V15:AF15">
    <cfRule type="expression" dxfId="4653" priority="183">
      <formula>V$9&gt;=20/24</formula>
    </cfRule>
    <cfRule type="expression" dxfId="4652" priority="184">
      <formula>AND(V$9&gt;=14/24,V$9&lt;20/24)</formula>
    </cfRule>
    <cfRule type="expression" dxfId="4651" priority="185">
      <formula>AND(V$9&gt;=8/24,V$9&lt;14/24)</formula>
    </cfRule>
    <cfRule type="expression" dxfId="4650" priority="186">
      <formula>V$9&lt;8/24</formula>
    </cfRule>
  </conditionalFormatting>
  <conditionalFormatting sqref="AF50:AF56">
    <cfRule type="expression" dxfId="4649" priority="174">
      <formula>AF$9&gt;=20/24</formula>
    </cfRule>
    <cfRule type="expression" dxfId="4648" priority="175">
      <formula>AND(AF$9&gt;=14/24,AF$9&lt;20/24)</formula>
    </cfRule>
    <cfRule type="expression" dxfId="4647" priority="176">
      <formula>AND(AF$9&gt;=8/24,AF$9&lt;14/24)</formula>
    </cfRule>
    <cfRule type="expression" dxfId="4646" priority="177">
      <formula>AF$9&lt;8/24</formula>
    </cfRule>
  </conditionalFormatting>
  <conditionalFormatting sqref="AF50:AF56">
    <cfRule type="expression" dxfId="4645" priority="173">
      <formula>AF50&gt;$AG50</formula>
    </cfRule>
  </conditionalFormatting>
  <conditionalFormatting sqref="P45:R48 S46:AE48">
    <cfRule type="expression" dxfId="4644" priority="169">
      <formula>P$9&gt;=20/24</formula>
    </cfRule>
    <cfRule type="expression" dxfId="4643" priority="170">
      <formula>AND(P$9&gt;=14/24,P$9&lt;20/24)</formula>
    </cfRule>
    <cfRule type="expression" dxfId="4642" priority="171">
      <formula>AND(P$9&gt;=8/24,P$9&lt;14/24)</formula>
    </cfRule>
    <cfRule type="expression" dxfId="4641" priority="172">
      <formula>P$9&lt;8/24</formula>
    </cfRule>
  </conditionalFormatting>
  <conditionalFormatting sqref="P45:R48 S46:AE48">
    <cfRule type="expression" dxfId="4640" priority="168">
      <formula>P45&gt;$AG45</formula>
    </cfRule>
  </conditionalFormatting>
  <conditionalFormatting sqref="V19:AF19">
    <cfRule type="expression" dxfId="4639" priority="160">
      <formula>V$9&gt;=20/24</formula>
    </cfRule>
    <cfRule type="expression" dxfId="4638" priority="161">
      <formula>AND(V$9&gt;=14/24,V$9&lt;20/24)</formula>
    </cfRule>
    <cfRule type="expression" dxfId="4637" priority="162">
      <formula>AND(V$9&gt;=8/24,V$9&lt;14/24)</formula>
    </cfRule>
    <cfRule type="expression" dxfId="4636" priority="163">
      <formula>V$9&lt;8/24</formula>
    </cfRule>
  </conditionalFormatting>
  <conditionalFormatting sqref="V19:AF19">
    <cfRule type="expression" dxfId="4635" priority="159">
      <formula>V19&gt;$AG19</formula>
    </cfRule>
  </conditionalFormatting>
  <conditionalFormatting sqref="B101 B80:AF80 B89:AF89 B103:B108 B11:Q11">
    <cfRule type="expression" dxfId="4634" priority="141">
      <formula>B$9&gt;=20/24</formula>
    </cfRule>
    <cfRule type="expression" dxfId="4633" priority="142">
      <formula>AND(B$9&gt;=14/24,B$9&lt;20/24)</formula>
    </cfRule>
    <cfRule type="expression" dxfId="4632" priority="143">
      <formula>AND(B$9&gt;=8/24,B$9&lt;14/24)</formula>
    </cfRule>
    <cfRule type="expression" dxfId="4631" priority="144">
      <formula>B$9&lt;8/24</formula>
    </cfRule>
  </conditionalFormatting>
  <conditionalFormatting sqref="B39:K39">
    <cfRule type="expression" dxfId="4630" priority="137">
      <formula>B$9&gt;=20/24</formula>
    </cfRule>
    <cfRule type="expression" dxfId="4629" priority="138">
      <formula>AND(B$9&gt;=14/24,B$9&lt;20/24)</formula>
    </cfRule>
    <cfRule type="expression" dxfId="4628" priority="139">
      <formula>AND(B$9&gt;=8/24,B$9&lt;14/24)</formula>
    </cfRule>
    <cfRule type="expression" dxfId="4627" priority="140">
      <formula>B$9&lt;8/24</formula>
    </cfRule>
  </conditionalFormatting>
  <conditionalFormatting sqref="B39:K39 B11:Q11">
    <cfRule type="expression" dxfId="4626" priority="136">
      <formula>B11&gt;$AG11</formula>
    </cfRule>
  </conditionalFormatting>
  <conditionalFormatting sqref="B91">
    <cfRule type="expression" dxfId="4625" priority="132">
      <formula>B$9&gt;=20/24</formula>
    </cfRule>
    <cfRule type="expression" dxfId="4624" priority="133">
      <formula>AND(B$9&gt;=14/24,B$9&lt;20/24)</formula>
    </cfRule>
    <cfRule type="expression" dxfId="4623" priority="134">
      <formula>AND(B$9&gt;=8/24,B$9&lt;14/24)</formula>
    </cfRule>
    <cfRule type="expression" dxfId="4622" priority="135">
      <formula>B$9&lt;8/24</formula>
    </cfRule>
  </conditionalFormatting>
  <conditionalFormatting sqref="B46:D47 B63:D63 B38:U38">
    <cfRule type="expression" dxfId="4621" priority="128">
      <formula>B$9&gt;=20/24</formula>
    </cfRule>
    <cfRule type="expression" dxfId="4620" priority="129">
      <formula>AND(B$9&gt;=14/24,B$9&lt;20/24)</formula>
    </cfRule>
    <cfRule type="expression" dxfId="4619" priority="130">
      <formula>AND(B$9&gt;=8/24,B$9&lt;14/24)</formula>
    </cfRule>
    <cfRule type="expression" dxfId="4618" priority="131">
      <formula>B$9&lt;8/24</formula>
    </cfRule>
  </conditionalFormatting>
  <conditionalFormatting sqref="B45:D45">
    <cfRule type="expression" dxfId="4617" priority="124">
      <formula>B$9&gt;=20/24</formula>
    </cfRule>
    <cfRule type="expression" dxfId="4616" priority="125">
      <formula>AND(B$9&gt;=14/24,B$9&lt;20/24)</formula>
    </cfRule>
    <cfRule type="expression" dxfId="4615" priority="126">
      <formula>AND(B$9&gt;=8/24,B$9&lt;14/24)</formula>
    </cfRule>
    <cfRule type="expression" dxfId="4614" priority="127">
      <formula>B$9&lt;8/24</formula>
    </cfRule>
  </conditionalFormatting>
  <conditionalFormatting sqref="B45:D47 B38:U38">
    <cfRule type="expression" dxfId="4613" priority="123">
      <formula>B38&gt;$AG38</formula>
    </cfRule>
  </conditionalFormatting>
  <conditionalFormatting sqref="B59:B62 B75:B79 B81:AF81 B88 C62:AG62 C79:AG79 B90:AF90 B92:C98 C59:R61 B64:D73 B12:Q14 B18:U18 B29:AF29 B31:AF34 B25:AF27 E66:AF73">
    <cfRule type="expression" dxfId="4612" priority="119">
      <formula>B$9&gt;=20/24</formula>
    </cfRule>
    <cfRule type="expression" dxfId="4611" priority="120">
      <formula>AND(B$9&gt;=14/24,B$9&lt;20/24)</formula>
    </cfRule>
    <cfRule type="expression" dxfId="4610" priority="121">
      <formula>AND(B$9&gt;=8/24,B$9&lt;14/24)</formula>
    </cfRule>
    <cfRule type="expression" dxfId="4609" priority="122">
      <formula>B$9&lt;8/24</formula>
    </cfRule>
  </conditionalFormatting>
  <conditionalFormatting sqref="B35:AF35">
    <cfRule type="expression" dxfId="4608" priority="115">
      <formula>B$9&gt;=20/24</formula>
    </cfRule>
    <cfRule type="expression" dxfId="4607" priority="116">
      <formula>AND(B$9&gt;=14/24,B$9&lt;20/24)</formula>
    </cfRule>
    <cfRule type="expression" dxfId="4606" priority="117">
      <formula>AND(B$9&gt;=8/24,B$9&lt;14/24)</formula>
    </cfRule>
    <cfRule type="expression" dxfId="4605" priority="118">
      <formula>B$9&lt;8/24</formula>
    </cfRule>
  </conditionalFormatting>
  <conditionalFormatting sqref="B57:B62 B40:AG40 C58:AG58 C62:AG62 C59:R61 B48:D49 E49:AE49 B31:AF35 B25:AF29">
    <cfRule type="expression" dxfId="4604" priority="114">
      <formula>B25&gt;$AG25</formula>
    </cfRule>
  </conditionalFormatting>
  <conditionalFormatting sqref="B37:AF37">
    <cfRule type="expression" dxfId="4603" priority="110">
      <formula>B$9&gt;=20/24</formula>
    </cfRule>
    <cfRule type="expression" dxfId="4602" priority="111">
      <formula>AND(B$9&gt;=14/24,B$9&lt;20/24)</formula>
    </cfRule>
    <cfRule type="expression" dxfId="4601" priority="112">
      <formula>AND(B$9&gt;=8/24,B$9&lt;14/24)</formula>
    </cfRule>
    <cfRule type="expression" dxfId="4600" priority="113">
      <formula>B$9&lt;8/24</formula>
    </cfRule>
  </conditionalFormatting>
  <conditionalFormatting sqref="B15:U15">
    <cfRule type="expression" dxfId="4599" priority="106">
      <formula>B$9&gt;=20/24</formula>
    </cfRule>
    <cfRule type="expression" dxfId="4598" priority="107">
      <formula>AND(B$9&gt;=14/24,B$9&lt;20/24)</formula>
    </cfRule>
    <cfRule type="expression" dxfId="4597" priority="108">
      <formula>AND(B$9&gt;=8/24,B$9&lt;14/24)</formula>
    </cfRule>
    <cfRule type="expression" dxfId="4596" priority="109">
      <formula>B$9&lt;8/24</formula>
    </cfRule>
  </conditionalFormatting>
  <conditionalFormatting sqref="B36:AF36">
    <cfRule type="expression" dxfId="4595" priority="102">
      <formula>B$9&gt;=20/24</formula>
    </cfRule>
    <cfRule type="expression" dxfId="4594" priority="103">
      <formula>AND(B$9&gt;=14/24,B$9&lt;20/24)</formula>
    </cfRule>
    <cfRule type="expression" dxfId="4593" priority="104">
      <formula>AND(B$9&gt;=8/24,B$9&lt;14/24)</formula>
    </cfRule>
    <cfRule type="expression" dxfId="4592" priority="105">
      <formula>B$9&lt;8/24</formula>
    </cfRule>
  </conditionalFormatting>
  <conditionalFormatting sqref="B36:AF36">
    <cfRule type="expression" dxfId="4591" priority="101">
      <formula>B36&gt;$AG36</formula>
    </cfRule>
  </conditionalFormatting>
  <conditionalFormatting sqref="B50:AE56">
    <cfRule type="expression" dxfId="4590" priority="97">
      <formula>B$9&gt;=20/24</formula>
    </cfRule>
    <cfRule type="expression" dxfId="4589" priority="98">
      <formula>AND(B$9&gt;=14/24,B$9&lt;20/24)</formula>
    </cfRule>
    <cfRule type="expression" dxfId="4588" priority="99">
      <formula>AND(B$9&gt;=8/24,B$9&lt;14/24)</formula>
    </cfRule>
    <cfRule type="expression" dxfId="4587" priority="100">
      <formula>B$9&lt;8/24</formula>
    </cfRule>
  </conditionalFormatting>
  <conditionalFormatting sqref="B50:AE56">
    <cfRule type="expression" dxfId="4586" priority="96">
      <formula>B50&gt;$AG50</formula>
    </cfRule>
  </conditionalFormatting>
  <conditionalFormatting sqref="B28:AF28">
    <cfRule type="expression" dxfId="4585" priority="92">
      <formula>B$9&gt;=20/24</formula>
    </cfRule>
    <cfRule type="expression" dxfId="4584" priority="93">
      <formula>AND(B$9&gt;=14/24,B$9&lt;20/24)</formula>
    </cfRule>
    <cfRule type="expression" dxfId="4583" priority="94">
      <formula>AND(B$9&gt;=8/24,B$9&lt;14/24)</formula>
    </cfRule>
    <cfRule type="expression" dxfId="4582" priority="95">
      <formula>B$9&lt;8/24</formula>
    </cfRule>
  </conditionalFormatting>
  <conditionalFormatting sqref="B19:U19 B24:AF24">
    <cfRule type="expression" dxfId="4581" priority="88">
      <formula>B$9&gt;=20/24</formula>
    </cfRule>
    <cfRule type="expression" dxfId="4580" priority="89">
      <formula>AND(B$9&gt;=14/24,B$9&lt;20/24)</formula>
    </cfRule>
    <cfRule type="expression" dxfId="4579" priority="90">
      <formula>AND(B$9&gt;=8/24,B$9&lt;14/24)</formula>
    </cfRule>
    <cfRule type="expression" dxfId="4578" priority="91">
      <formula>B$9&lt;8/24</formula>
    </cfRule>
  </conditionalFormatting>
  <conditionalFormatting sqref="B19:U19 B24:AF24">
    <cfRule type="expression" dxfId="4577" priority="87">
      <formula>B19&gt;$AG19</formula>
    </cfRule>
  </conditionalFormatting>
  <conditionalFormatting sqref="A36">
    <cfRule type="expression" dxfId="4576" priority="86">
      <formula>$AH36=0</formula>
    </cfRule>
  </conditionalFormatting>
  <conditionalFormatting sqref="B74:AF74">
    <cfRule type="expression" dxfId="4575" priority="82">
      <formula>B$9&gt;=20/24</formula>
    </cfRule>
    <cfRule type="expression" dxfId="4574" priority="83">
      <formula>AND(B$9&gt;=14/24,B$9&lt;20/24)</formula>
    </cfRule>
    <cfRule type="expression" dxfId="4573" priority="84">
      <formula>AND(B$9&gt;=8/24,B$9&lt;14/24)</formula>
    </cfRule>
    <cfRule type="expression" dxfId="4572" priority="85">
      <formula>B$9&lt;8/24</formula>
    </cfRule>
  </conditionalFormatting>
  <conditionalFormatting sqref="B83:AF87">
    <cfRule type="expression" dxfId="4571" priority="78">
      <formula>B$9&gt;=20/24</formula>
    </cfRule>
    <cfRule type="expression" dxfId="4570" priority="79">
      <formula>AND(B$9&gt;=14/24,B$9&lt;20/24)</formula>
    </cfRule>
    <cfRule type="expression" dxfId="4569" priority="80">
      <formula>AND(B$9&gt;=8/24,B$9&lt;14/24)</formula>
    </cfRule>
    <cfRule type="expression" dxfId="4568" priority="81">
      <formula>B$9&lt;8/24</formula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C41:AF43">
    <cfRule type="expression" dxfId="4567" priority="74">
      <formula>C$9&gt;=20/24</formula>
    </cfRule>
    <cfRule type="expression" dxfId="4566" priority="75">
      <formula>AND(C$9&gt;=14/24,C$9&lt;20/24)</formula>
    </cfRule>
    <cfRule type="expression" dxfId="4565" priority="76">
      <formula>AND(C$9&gt;=8/24,C$9&lt;14/24)</formula>
    </cfRule>
    <cfRule type="expression" dxfId="4564" priority="77">
      <formula>C$9&lt;8/24</formula>
    </cfRule>
  </conditionalFormatting>
  <conditionalFormatting sqref="C41:AF43">
    <cfRule type="expression" dxfId="4563" priority="73">
      <formula>C41&gt;$AG41</formula>
    </cfRule>
  </conditionalFormatting>
  <conditionalFormatting sqref="B41:B44 C44:AG44">
    <cfRule type="expression" dxfId="4562" priority="69">
      <formula>B$9&gt;=20/24</formula>
    </cfRule>
    <cfRule type="expression" dxfId="4561" priority="70">
      <formula>AND(B$9&gt;=14/24,B$9&lt;20/24)</formula>
    </cfRule>
    <cfRule type="expression" dxfId="4560" priority="71">
      <formula>AND(B$9&gt;=8/24,B$9&lt;14/24)</formula>
    </cfRule>
    <cfRule type="expression" dxfId="4559" priority="72">
      <formula>B$9&lt;8/24</formula>
    </cfRule>
  </conditionalFormatting>
  <conditionalFormatting sqref="B41:B44 C44:AG44">
    <cfRule type="expression" dxfId="4558" priority="68">
      <formula>B41&gt;$AG41</formula>
    </cfRule>
  </conditionalFormatting>
  <conditionalFormatting sqref="C99:AF99">
    <cfRule type="expression" dxfId="4557" priority="64">
      <formula>C$9&gt;=20/24</formula>
    </cfRule>
    <cfRule type="expression" dxfId="4556" priority="65">
      <formula>AND(C$9&gt;=14/24,C$9&lt;20/24)</formula>
    </cfRule>
    <cfRule type="expression" dxfId="4555" priority="66">
      <formula>AND(C$9&gt;=8/24,C$9&lt;14/24)</formula>
    </cfRule>
    <cfRule type="expression" dxfId="4554" priority="67">
      <formula>C$9&lt;8/24</formula>
    </cfRule>
  </conditionalFormatting>
  <conditionalFormatting sqref="B99">
    <cfRule type="expression" dxfId="4553" priority="60">
      <formula>B$9&gt;=20/24</formula>
    </cfRule>
    <cfRule type="expression" dxfId="4552" priority="61">
      <formula>AND(B$9&gt;=14/24,B$9&lt;20/24)</formula>
    </cfRule>
    <cfRule type="expression" dxfId="4551" priority="62">
      <formula>AND(B$9&gt;=8/24,B$9&lt;14/24)</formula>
    </cfRule>
    <cfRule type="expression" dxfId="4550" priority="63">
      <formula>B$9&lt;8/24</formula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4549" priority="54">
      <formula>$AH33=0</formula>
    </cfRule>
  </conditionalFormatting>
  <conditionalFormatting sqref="A82">
    <cfRule type="expression" dxfId="4548" priority="52">
      <formula>$AH82=0</formula>
    </cfRule>
  </conditionalFormatting>
  <conditionalFormatting sqref="A79">
    <cfRule type="expression" dxfId="4547" priority="53">
      <formula>$AH79=0</formula>
    </cfRule>
  </conditionalFormatting>
  <conditionalFormatting sqref="A109">
    <cfRule type="expression" dxfId="4546" priority="43">
      <formula>$AH109=0</formula>
    </cfRule>
  </conditionalFormatting>
  <conditionalFormatting sqref="C102:AF102">
    <cfRule type="expression" dxfId="4545" priority="39">
      <formula>C$9&gt;=20/24</formula>
    </cfRule>
    <cfRule type="expression" dxfId="4544" priority="40">
      <formula>AND(C$9&gt;=14/24,C$9&lt;20/24)</formula>
    </cfRule>
    <cfRule type="expression" dxfId="4543" priority="41">
      <formula>AND(C$9&gt;=8/24,C$9&lt;14/24)</formula>
    </cfRule>
    <cfRule type="expression" dxfId="4542" priority="42">
      <formula>C$9&lt;8/24</formula>
    </cfRule>
  </conditionalFormatting>
  <conditionalFormatting sqref="A102">
    <cfRule type="expression" dxfId="4541" priority="38">
      <formula>$AH102=0</formula>
    </cfRule>
  </conditionalFormatting>
  <conditionalFormatting sqref="B102">
    <cfRule type="expression" dxfId="4540" priority="34">
      <formula>B$9&gt;=20/24</formula>
    </cfRule>
    <cfRule type="expression" dxfId="4539" priority="35">
      <formula>AND(B$9&gt;=14/24,B$9&lt;20/24)</formula>
    </cfRule>
    <cfRule type="expression" dxfId="4538" priority="36">
      <formula>AND(B$9&gt;=8/24,B$9&lt;14/24)</formula>
    </cfRule>
    <cfRule type="expression" dxfId="4537" priority="37">
      <formula>B$9&lt;8/24</formula>
    </cfRule>
  </conditionalFormatting>
  <conditionalFormatting sqref="B17:AF17">
    <cfRule type="expression" dxfId="4536" priority="27">
      <formula>B17&gt;$AG17</formula>
    </cfRule>
  </conditionalFormatting>
  <conditionalFormatting sqref="A17">
    <cfRule type="expression" dxfId="4535" priority="26">
      <formula>$AH17=0</formula>
    </cfRule>
  </conditionalFormatting>
  <conditionalFormatting sqref="V17:AF17">
    <cfRule type="expression" dxfId="4534" priority="22">
      <formula>V$9&gt;=20/24</formula>
    </cfRule>
    <cfRule type="expression" dxfId="4533" priority="23">
      <formula>AND(V$9&gt;=14/24,V$9&lt;20/24)</formula>
    </cfRule>
    <cfRule type="expression" dxfId="4532" priority="24">
      <formula>AND(V$9&gt;=8/24,V$9&lt;14/24)</formula>
    </cfRule>
    <cfRule type="expression" dxfId="4531" priority="25">
      <formula>V$9&lt;8/24</formula>
    </cfRule>
  </conditionalFormatting>
  <conditionalFormatting sqref="B17:U17">
    <cfRule type="expression" dxfId="4530" priority="18">
      <formula>B$9&gt;=20/24</formula>
    </cfRule>
    <cfRule type="expression" dxfId="4529" priority="19">
      <formula>AND(B$9&gt;=14/24,B$9&lt;20/24)</formula>
    </cfRule>
    <cfRule type="expression" dxfId="4528" priority="20">
      <formula>AND(B$9&gt;=8/24,B$9&lt;14/24)</formula>
    </cfRule>
    <cfRule type="expression" dxfId="4527" priority="21">
      <formula>B$9&lt;8/24</formula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4526" priority="16">
      <formula>$AH30=0</formula>
    </cfRule>
  </conditionalFormatting>
  <conditionalFormatting sqref="B30:AF30">
    <cfRule type="expression" dxfId="4525" priority="2">
      <formula>B$9&gt;=20/24</formula>
    </cfRule>
    <cfRule type="expression" dxfId="4524" priority="3">
      <formula>AND(B$9&gt;=14/24,B$9&lt;20/24)</formula>
    </cfRule>
    <cfRule type="expression" dxfId="4523" priority="4">
      <formula>AND(B$9&gt;=8/24,B$9&lt;14/24)</formula>
    </cfRule>
    <cfRule type="expression" dxfId="4522" priority="5">
      <formula>B$9&lt;8/24</formula>
    </cfRule>
  </conditionalFormatting>
  <conditionalFormatting sqref="B30:AF30">
    <cfRule type="expression" dxfId="4521" priority="1">
      <formula>B30&gt;$AG30</formula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62A26E30-1F29-4518-9696-33EB02C7D79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995FDF28-33BF-45D2-8C61-02BA6282BB9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FCCC7193-A038-4E77-884E-8367C52BF67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43EA9CBE-79D5-415A-AE2B-736DAB78373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8" id="{CC325EF8-4A54-4183-A884-4AE00AB44784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B77A9CC8-8814-4199-807F-5E33585EC64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A8D3217F-8A79-4749-80D1-96AC9532D454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87A3D20E-C6F4-487E-B16B-2343E74F9D5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4" id="{0DD38B96-D7B2-4F3C-87A8-72004A7274C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7214E044-C20D-4581-B7BF-E22895466C4F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525C1BD6-2E3F-4BC2-A2DE-B54CDD018354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5C609425-898C-4CC4-9ABD-C77C8C82CCB2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J270"/>
  <sheetViews>
    <sheetView zoomScale="90" zoomScaleNormal="90" workbookViewId="0">
      <pane xSplit="1" ySplit="10" topLeftCell="B38" activePane="bottomRight" state="frozen"/>
      <selection activeCell="AK109" sqref="AK109"/>
      <selection pane="topRight" activeCell="AK109" sqref="AK109"/>
      <selection pane="bottomLeft" activeCell="AK109" sqref="AK109"/>
      <selection pane="bottomRight" activeCell="AK109" sqref="AK10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8.5703125" style="1" bestFit="1" customWidth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2079/06/23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K4" s="22">
        <f>37+20+10+10</f>
        <v>77</v>
      </c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K5" s="22">
        <f>25+25+12+10+8+5+4+5+10+6+20+8+7+8</f>
        <v>153</v>
      </c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1597MW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Load=1148</v>
      </c>
      <c r="B7" s="35">
        <f t="shared" ref="B7:AF7" si="1">B81</f>
        <v>1687.24</v>
      </c>
      <c r="C7" s="35">
        <f t="shared" si="1"/>
        <v>1192.74</v>
      </c>
      <c r="D7" s="35">
        <f t="shared" si="1"/>
        <v>1147.6399999999999</v>
      </c>
      <c r="E7" s="35">
        <f t="shared" si="1"/>
        <v>1175.94</v>
      </c>
      <c r="F7" s="35">
        <f t="shared" si="1"/>
        <v>1173.54</v>
      </c>
      <c r="G7" s="35">
        <f t="shared" si="1"/>
        <v>1208.54</v>
      </c>
      <c r="H7" s="35">
        <f t="shared" si="1"/>
        <v>1289.94</v>
      </c>
      <c r="I7" s="35">
        <f t="shared" si="1"/>
        <v>1403.34</v>
      </c>
      <c r="J7" s="35">
        <f t="shared" si="1"/>
        <v>1427.04</v>
      </c>
      <c r="K7" s="35">
        <f t="shared" si="1"/>
        <v>1551.04</v>
      </c>
      <c r="L7" s="35">
        <f t="shared" si="1"/>
        <v>1593.7400000000002</v>
      </c>
      <c r="M7" s="35">
        <f t="shared" si="1"/>
        <v>1596.7400000000002</v>
      </c>
      <c r="N7" s="35">
        <f t="shared" si="1"/>
        <v>1522.34</v>
      </c>
      <c r="O7" s="35">
        <f t="shared" si="1"/>
        <v>1490.24</v>
      </c>
      <c r="P7" s="35">
        <f t="shared" si="1"/>
        <v>1362.04</v>
      </c>
      <c r="Q7" s="35">
        <f t="shared" si="1"/>
        <v>1287.24</v>
      </c>
      <c r="R7" s="35">
        <f t="shared" si="1"/>
        <v>1243.3399999999999</v>
      </c>
      <c r="S7" s="35">
        <f t="shared" si="1"/>
        <v>1268.4399999999998</v>
      </c>
      <c r="T7" s="35">
        <f t="shared" si="1"/>
        <v>1289.8399999999999</v>
      </c>
      <c r="U7" s="35">
        <f t="shared" si="1"/>
        <v>1435.7399999999998</v>
      </c>
      <c r="V7" s="35">
        <f t="shared" si="1"/>
        <v>1441.7399999999998</v>
      </c>
      <c r="W7" s="35">
        <f t="shared" si="1"/>
        <v>1550.1399999999999</v>
      </c>
      <c r="X7" s="35">
        <f t="shared" si="1"/>
        <v>1728.1399999999999</v>
      </c>
      <c r="Y7" s="35">
        <f t="shared" si="1"/>
        <v>1723.1399999999999</v>
      </c>
      <c r="Z7" s="35">
        <f t="shared" si="1"/>
        <v>1658.1399999999999</v>
      </c>
      <c r="AA7" s="35">
        <f t="shared" si="1"/>
        <v>1636.94</v>
      </c>
      <c r="AB7" s="35">
        <f t="shared" si="1"/>
        <v>1607.94</v>
      </c>
      <c r="AC7" s="35">
        <f t="shared" si="1"/>
        <v>1428.54</v>
      </c>
      <c r="AD7" s="35">
        <f t="shared" si="1"/>
        <v>1402.84</v>
      </c>
      <c r="AE7" s="35">
        <f t="shared" si="1"/>
        <v>1297.44</v>
      </c>
      <c r="AF7" s="35">
        <f t="shared" si="1"/>
        <v>1266.44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46.9</v>
      </c>
      <c r="C11" s="45">
        <v>46.9</v>
      </c>
      <c r="D11" s="45">
        <v>46.9</v>
      </c>
      <c r="E11" s="45">
        <v>46.1</v>
      </c>
      <c r="F11" s="45">
        <v>46.1</v>
      </c>
      <c r="G11" s="45">
        <v>46.1</v>
      </c>
      <c r="H11" s="45">
        <v>46.1</v>
      </c>
      <c r="I11" s="45">
        <v>46.1</v>
      </c>
      <c r="J11" s="45">
        <v>46.1</v>
      </c>
      <c r="K11" s="45">
        <v>46.1</v>
      </c>
      <c r="L11" s="45">
        <v>46.1</v>
      </c>
      <c r="M11" s="45">
        <v>46.1</v>
      </c>
      <c r="N11" s="45">
        <v>46.1</v>
      </c>
      <c r="O11" s="45">
        <v>46.1</v>
      </c>
      <c r="P11" s="45">
        <v>46</v>
      </c>
      <c r="Q11" s="45">
        <v>45.9</v>
      </c>
      <c r="R11" s="45">
        <v>44.8</v>
      </c>
      <c r="S11" s="45">
        <v>44.8</v>
      </c>
      <c r="T11" s="45">
        <v>42.6</v>
      </c>
      <c r="U11" s="45">
        <v>42.6</v>
      </c>
      <c r="V11" s="45">
        <v>42.6</v>
      </c>
      <c r="W11" s="45">
        <v>42.6</v>
      </c>
      <c r="X11" s="46">
        <v>42.6</v>
      </c>
      <c r="Y11" s="46">
        <v>42.6</v>
      </c>
      <c r="Z11" s="46">
        <v>42.6</v>
      </c>
      <c r="AA11" s="46">
        <v>44.7</v>
      </c>
      <c r="AB11" s="46">
        <v>44.7</v>
      </c>
      <c r="AC11" s="46">
        <v>44.7</v>
      </c>
      <c r="AD11" s="46">
        <v>44.7</v>
      </c>
      <c r="AE11" s="46">
        <v>44.7</v>
      </c>
      <c r="AF11" s="46">
        <v>44.7</v>
      </c>
      <c r="AG11" s="47">
        <v>52.4</v>
      </c>
      <c r="AH11" s="48">
        <f>MAX(B11:AF11)</f>
        <v>46.9</v>
      </c>
      <c r="AI11" s="49">
        <f>MIN(B11:AF11)</f>
        <v>42.6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50.7</v>
      </c>
      <c r="C12" s="45">
        <v>50.7</v>
      </c>
      <c r="D12" s="45">
        <v>50.7</v>
      </c>
      <c r="E12" s="45">
        <v>50.7</v>
      </c>
      <c r="F12" s="45">
        <v>50.7</v>
      </c>
      <c r="G12" s="45">
        <v>50.7</v>
      </c>
      <c r="H12" s="45">
        <v>50.7</v>
      </c>
      <c r="I12" s="45">
        <v>50.7</v>
      </c>
      <c r="J12" s="45">
        <v>50.7</v>
      </c>
      <c r="K12" s="45">
        <v>50.7</v>
      </c>
      <c r="L12" s="45">
        <v>50.7</v>
      </c>
      <c r="M12" s="45">
        <v>50.7</v>
      </c>
      <c r="N12" s="45">
        <v>50.7</v>
      </c>
      <c r="O12" s="45">
        <v>50.7</v>
      </c>
      <c r="P12" s="45">
        <v>50.5</v>
      </c>
      <c r="Q12" s="45">
        <v>50.7</v>
      </c>
      <c r="R12" s="45">
        <v>50.4</v>
      </c>
      <c r="S12" s="45">
        <v>50.4</v>
      </c>
      <c r="T12" s="45">
        <v>50.4</v>
      </c>
      <c r="U12" s="45">
        <v>50.4</v>
      </c>
      <c r="V12" s="45">
        <v>50.4</v>
      </c>
      <c r="W12" s="45">
        <v>50.4</v>
      </c>
      <c r="X12" s="45">
        <v>50.4</v>
      </c>
      <c r="Y12" s="45">
        <v>50.4</v>
      </c>
      <c r="Z12" s="45">
        <v>50.4</v>
      </c>
      <c r="AA12" s="45">
        <v>50.5</v>
      </c>
      <c r="AB12" s="45">
        <v>50.5</v>
      </c>
      <c r="AC12" s="45">
        <v>50.5</v>
      </c>
      <c r="AD12" s="45">
        <v>50.5</v>
      </c>
      <c r="AE12" s="45">
        <v>50.5</v>
      </c>
      <c r="AF12" s="45">
        <v>50.5</v>
      </c>
      <c r="AG12" s="51">
        <v>50</v>
      </c>
      <c r="AH12" s="48">
        <f t="shared" ref="AH12:AH75" si="2">MAX(B12:AF12)</f>
        <v>50.7</v>
      </c>
      <c r="AI12" s="49">
        <f t="shared" ref="AI12:AI75" si="3">MIN(B12:AF12)</f>
        <v>50.4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37</v>
      </c>
      <c r="C13" s="45">
        <v>37</v>
      </c>
      <c r="D13" s="45">
        <v>37</v>
      </c>
      <c r="E13" s="45">
        <v>37</v>
      </c>
      <c r="F13" s="45">
        <v>37</v>
      </c>
      <c r="G13" s="45">
        <v>37</v>
      </c>
      <c r="H13" s="45">
        <v>37</v>
      </c>
      <c r="I13" s="45">
        <v>37</v>
      </c>
      <c r="J13" s="45">
        <v>39.299999999999997</v>
      </c>
      <c r="K13" s="45">
        <v>39.299999999999997</v>
      </c>
      <c r="L13" s="45">
        <v>36.799999999999997</v>
      </c>
      <c r="M13" s="45">
        <v>36.799999999999997</v>
      </c>
      <c r="N13" s="45">
        <v>36.799999999999997</v>
      </c>
      <c r="O13" s="45">
        <v>35.9</v>
      </c>
      <c r="P13" s="45">
        <v>35.299999999999997</v>
      </c>
      <c r="Q13" s="45">
        <v>36.700000000000003</v>
      </c>
      <c r="R13" s="45">
        <v>36.700000000000003</v>
      </c>
      <c r="S13" s="45">
        <v>36.700000000000003</v>
      </c>
      <c r="T13" s="45">
        <v>38.799999999999997</v>
      </c>
      <c r="U13" s="45">
        <v>38.799999999999997</v>
      </c>
      <c r="V13" s="45">
        <v>38.799999999999997</v>
      </c>
      <c r="W13" s="45">
        <v>38.799999999999997</v>
      </c>
      <c r="X13" s="45">
        <v>38.799999999999997</v>
      </c>
      <c r="Y13" s="45">
        <v>38.799999999999997</v>
      </c>
      <c r="Z13" s="45">
        <v>38.799999999999997</v>
      </c>
      <c r="AA13" s="45">
        <v>37.799999999999997</v>
      </c>
      <c r="AB13" s="45">
        <v>37.799999999999997</v>
      </c>
      <c r="AC13" s="45">
        <v>37.799999999999997</v>
      </c>
      <c r="AD13" s="45">
        <v>37.799999999999997</v>
      </c>
      <c r="AE13" s="45">
        <v>37.799999999999997</v>
      </c>
      <c r="AF13" s="45">
        <v>37.799999999999997</v>
      </c>
      <c r="AG13" s="51">
        <v>45</v>
      </c>
      <c r="AH13" s="48">
        <f t="shared" si="2"/>
        <v>39.299999999999997</v>
      </c>
      <c r="AI13" s="49">
        <f t="shared" si="3"/>
        <v>35.299999999999997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20</v>
      </c>
      <c r="C14" s="45">
        <v>20</v>
      </c>
      <c r="D14" s="45">
        <v>20</v>
      </c>
      <c r="E14" s="45">
        <v>21</v>
      </c>
      <c r="F14" s="45">
        <v>21</v>
      </c>
      <c r="G14" s="45">
        <v>21</v>
      </c>
      <c r="H14" s="45">
        <v>21</v>
      </c>
      <c r="I14" s="45">
        <v>27</v>
      </c>
      <c r="J14" s="45">
        <v>27</v>
      </c>
      <c r="K14" s="45">
        <v>27</v>
      </c>
      <c r="L14" s="45">
        <v>29</v>
      </c>
      <c r="M14" s="45">
        <v>29</v>
      </c>
      <c r="N14" s="45">
        <v>29</v>
      </c>
      <c r="O14" s="45">
        <v>27</v>
      </c>
      <c r="P14" s="45">
        <v>23</v>
      </c>
      <c r="Q14" s="45">
        <v>23.5</v>
      </c>
      <c r="R14" s="45">
        <v>23.5</v>
      </c>
      <c r="S14" s="45">
        <v>23.5</v>
      </c>
      <c r="T14" s="45">
        <v>24</v>
      </c>
      <c r="U14" s="45">
        <v>24</v>
      </c>
      <c r="V14" s="45">
        <v>24</v>
      </c>
      <c r="W14" s="45">
        <v>24</v>
      </c>
      <c r="X14" s="45">
        <v>26</v>
      </c>
      <c r="Y14" s="45">
        <v>26</v>
      </c>
      <c r="Z14" s="45">
        <v>28</v>
      </c>
      <c r="AA14" s="45">
        <v>28</v>
      </c>
      <c r="AB14" s="45">
        <v>28</v>
      </c>
      <c r="AC14" s="45">
        <v>28</v>
      </c>
      <c r="AD14" s="45">
        <v>28</v>
      </c>
      <c r="AE14" s="45">
        <v>21</v>
      </c>
      <c r="AF14" s="45">
        <v>21</v>
      </c>
      <c r="AG14" s="51">
        <v>42</v>
      </c>
      <c r="AH14" s="48">
        <f t="shared" si="2"/>
        <v>29</v>
      </c>
      <c r="AI14" s="49">
        <f t="shared" si="3"/>
        <v>20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10</v>
      </c>
      <c r="K15" s="45">
        <v>20</v>
      </c>
      <c r="L15" s="45">
        <v>28.5</v>
      </c>
      <c r="M15" s="45">
        <v>28.5</v>
      </c>
      <c r="N15" s="45">
        <v>20</v>
      </c>
      <c r="O15" s="45">
        <v>10</v>
      </c>
      <c r="P15" s="45">
        <v>19.600000000000001</v>
      </c>
      <c r="Q15" s="45">
        <v>10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5</v>
      </c>
      <c r="X15" s="45">
        <v>25</v>
      </c>
      <c r="Y15" s="45">
        <v>20</v>
      </c>
      <c r="Z15" s="45">
        <v>10</v>
      </c>
      <c r="AA15" s="45">
        <v>10.7</v>
      </c>
      <c r="AB15" s="45">
        <v>10.7</v>
      </c>
      <c r="AC15" s="45">
        <v>10.7</v>
      </c>
      <c r="AD15" s="45">
        <v>0</v>
      </c>
      <c r="AE15" s="45">
        <v>0</v>
      </c>
      <c r="AF15" s="45">
        <v>0</v>
      </c>
      <c r="AG15" s="52">
        <v>30</v>
      </c>
      <c r="AH15" s="48">
        <f t="shared" si="2"/>
        <v>28.5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21.5</v>
      </c>
      <c r="C16" s="45">
        <v>21.5</v>
      </c>
      <c r="D16" s="45">
        <v>21.5</v>
      </c>
      <c r="E16" s="45">
        <v>21.6</v>
      </c>
      <c r="F16" s="45">
        <v>21.6</v>
      </c>
      <c r="G16" s="45">
        <v>21.6</v>
      </c>
      <c r="H16" s="45">
        <v>21.6</v>
      </c>
      <c r="I16" s="45">
        <v>21.6</v>
      </c>
      <c r="J16" s="45">
        <v>21.6</v>
      </c>
      <c r="K16" s="45">
        <v>21.6</v>
      </c>
      <c r="L16" s="45">
        <v>21.6</v>
      </c>
      <c r="M16" s="45">
        <v>21.6</v>
      </c>
      <c r="N16" s="45">
        <v>21.6</v>
      </c>
      <c r="O16" s="45">
        <v>21.6</v>
      </c>
      <c r="P16" s="45">
        <v>21.6</v>
      </c>
      <c r="Q16" s="45">
        <v>20.5</v>
      </c>
      <c r="R16" s="45">
        <v>20</v>
      </c>
      <c r="S16" s="45">
        <v>20</v>
      </c>
      <c r="T16" s="45">
        <v>20</v>
      </c>
      <c r="U16" s="45">
        <v>20</v>
      </c>
      <c r="V16" s="45">
        <v>20</v>
      </c>
      <c r="W16" s="45">
        <v>20</v>
      </c>
      <c r="X16" s="45">
        <v>21</v>
      </c>
      <c r="Y16" s="45">
        <v>21</v>
      </c>
      <c r="Z16" s="45">
        <v>21</v>
      </c>
      <c r="AA16" s="45">
        <v>21.4</v>
      </c>
      <c r="AB16" s="45">
        <v>21.4</v>
      </c>
      <c r="AC16" s="45">
        <v>21.4</v>
      </c>
      <c r="AD16" s="45">
        <v>21.4</v>
      </c>
      <c r="AE16" s="45">
        <v>21.4</v>
      </c>
      <c r="AF16" s="45">
        <v>21.4</v>
      </c>
      <c r="AG16" s="51">
        <v>24.2</v>
      </c>
      <c r="AH16" s="48">
        <f t="shared" si="2"/>
        <v>21.6</v>
      </c>
      <c r="AI16" s="49">
        <f t="shared" si="3"/>
        <v>20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9</v>
      </c>
      <c r="K17" s="45">
        <v>15</v>
      </c>
      <c r="L17" s="45">
        <v>27</v>
      </c>
      <c r="M17" s="45">
        <v>27</v>
      </c>
      <c r="N17" s="45">
        <v>20</v>
      </c>
      <c r="O17" s="45">
        <v>20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27</v>
      </c>
      <c r="Y17" s="45">
        <v>27</v>
      </c>
      <c r="Z17" s="45">
        <v>10</v>
      </c>
      <c r="AA17" s="45">
        <v>10</v>
      </c>
      <c r="AB17" s="45">
        <v>10</v>
      </c>
      <c r="AC17" s="45">
        <v>10</v>
      </c>
      <c r="AD17" s="45">
        <v>0</v>
      </c>
      <c r="AE17" s="45">
        <v>0</v>
      </c>
      <c r="AF17" s="45">
        <v>0</v>
      </c>
      <c r="AG17" s="52">
        <v>30</v>
      </c>
      <c r="AH17" s="48">
        <f t="shared" si="2"/>
        <v>27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23.6</v>
      </c>
      <c r="C18" s="45">
        <v>23.6</v>
      </c>
      <c r="D18" s="45">
        <v>23.6</v>
      </c>
      <c r="E18" s="45">
        <v>20.7</v>
      </c>
      <c r="F18" s="45">
        <v>20.7</v>
      </c>
      <c r="G18" s="45">
        <v>20.7</v>
      </c>
      <c r="H18" s="45">
        <v>20.7</v>
      </c>
      <c r="I18" s="45">
        <v>20.7</v>
      </c>
      <c r="J18" s="45">
        <v>20.7</v>
      </c>
      <c r="K18" s="45">
        <v>20.7</v>
      </c>
      <c r="L18" s="45">
        <v>20.7</v>
      </c>
      <c r="M18" s="45">
        <v>20.7</v>
      </c>
      <c r="N18" s="45">
        <v>20.7</v>
      </c>
      <c r="O18" s="45">
        <v>20.7</v>
      </c>
      <c r="P18" s="45">
        <v>23</v>
      </c>
      <c r="Q18" s="45">
        <v>23</v>
      </c>
      <c r="R18" s="45">
        <v>22.7</v>
      </c>
      <c r="S18" s="45">
        <v>22.7</v>
      </c>
      <c r="T18" s="45">
        <v>22.7</v>
      </c>
      <c r="U18" s="45">
        <v>18.600000000000001</v>
      </c>
      <c r="V18" s="45">
        <v>18.600000000000001</v>
      </c>
      <c r="W18" s="45">
        <v>24</v>
      </c>
      <c r="X18" s="45">
        <v>25</v>
      </c>
      <c r="Y18" s="45">
        <v>25</v>
      </c>
      <c r="Z18" s="45">
        <v>25</v>
      </c>
      <c r="AA18" s="45">
        <v>25</v>
      </c>
      <c r="AB18" s="45">
        <v>25</v>
      </c>
      <c r="AC18" s="45">
        <v>25</v>
      </c>
      <c r="AD18" s="45">
        <v>20</v>
      </c>
      <c r="AE18" s="45">
        <v>20</v>
      </c>
      <c r="AF18" s="45">
        <v>20</v>
      </c>
      <c r="AG18" s="51">
        <v>25</v>
      </c>
      <c r="AH18" s="48">
        <f t="shared" si="2"/>
        <v>25</v>
      </c>
      <c r="AI18" s="49">
        <f t="shared" si="3"/>
        <v>18.600000000000001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18</v>
      </c>
      <c r="C19" s="45">
        <v>18</v>
      </c>
      <c r="D19" s="45">
        <v>18</v>
      </c>
      <c r="E19" s="45">
        <v>18</v>
      </c>
      <c r="F19" s="45">
        <v>18</v>
      </c>
      <c r="G19" s="45">
        <v>18</v>
      </c>
      <c r="H19" s="45">
        <v>18</v>
      </c>
      <c r="I19" s="45">
        <v>18</v>
      </c>
      <c r="J19" s="45">
        <v>18</v>
      </c>
      <c r="K19" s="45">
        <v>18</v>
      </c>
      <c r="L19" s="45">
        <v>18</v>
      </c>
      <c r="M19" s="45">
        <v>18</v>
      </c>
      <c r="N19" s="45">
        <v>18</v>
      </c>
      <c r="O19" s="45">
        <v>18</v>
      </c>
      <c r="P19" s="45">
        <v>18</v>
      </c>
      <c r="Q19" s="45">
        <v>18</v>
      </c>
      <c r="R19" s="45">
        <v>18</v>
      </c>
      <c r="S19" s="45">
        <v>18</v>
      </c>
      <c r="T19" s="45">
        <v>18</v>
      </c>
      <c r="U19" s="45">
        <v>18</v>
      </c>
      <c r="V19" s="45">
        <v>18</v>
      </c>
      <c r="W19" s="45">
        <v>18</v>
      </c>
      <c r="X19" s="45">
        <v>18</v>
      </c>
      <c r="Y19" s="45">
        <v>18</v>
      </c>
      <c r="Z19" s="45">
        <v>18</v>
      </c>
      <c r="AA19" s="45">
        <v>18</v>
      </c>
      <c r="AB19" s="45">
        <v>18</v>
      </c>
      <c r="AC19" s="45">
        <v>5</v>
      </c>
      <c r="AD19" s="45">
        <v>5</v>
      </c>
      <c r="AE19" s="45">
        <v>5</v>
      </c>
      <c r="AF19" s="45">
        <v>5</v>
      </c>
      <c r="AG19" s="51">
        <v>25</v>
      </c>
      <c r="AH19" s="48">
        <f t="shared" si="2"/>
        <v>18</v>
      </c>
      <c r="AI19" s="49">
        <f t="shared" si="3"/>
        <v>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18</v>
      </c>
      <c r="C20" s="45">
        <v>18</v>
      </c>
      <c r="D20" s="45">
        <v>18</v>
      </c>
      <c r="E20" s="45">
        <v>10</v>
      </c>
      <c r="F20" s="45">
        <v>10</v>
      </c>
      <c r="G20" s="45">
        <v>10</v>
      </c>
      <c r="H20" s="45">
        <v>10</v>
      </c>
      <c r="I20" s="45">
        <v>18</v>
      </c>
      <c r="J20" s="45">
        <v>18</v>
      </c>
      <c r="K20" s="45">
        <v>18</v>
      </c>
      <c r="L20" s="45">
        <v>18</v>
      </c>
      <c r="M20" s="45">
        <v>18</v>
      </c>
      <c r="N20" s="45">
        <v>18</v>
      </c>
      <c r="O20" s="45">
        <v>18</v>
      </c>
      <c r="P20" s="45">
        <v>18</v>
      </c>
      <c r="Q20" s="45">
        <v>18</v>
      </c>
      <c r="R20" s="45">
        <v>18</v>
      </c>
      <c r="S20" s="45">
        <v>18</v>
      </c>
      <c r="T20" s="45">
        <v>18</v>
      </c>
      <c r="U20" s="45">
        <v>18</v>
      </c>
      <c r="V20" s="45">
        <v>18</v>
      </c>
      <c r="W20" s="45">
        <v>18</v>
      </c>
      <c r="X20" s="45">
        <v>18</v>
      </c>
      <c r="Y20" s="45">
        <v>18</v>
      </c>
      <c r="Z20" s="45">
        <v>18</v>
      </c>
      <c r="AA20" s="45">
        <v>18</v>
      </c>
      <c r="AB20" s="45">
        <v>18</v>
      </c>
      <c r="AC20" s="45">
        <v>18</v>
      </c>
      <c r="AD20" s="45">
        <v>18</v>
      </c>
      <c r="AE20" s="45">
        <v>18</v>
      </c>
      <c r="AF20" s="45">
        <v>18</v>
      </c>
      <c r="AG20" s="51">
        <v>25</v>
      </c>
      <c r="AH20" s="48">
        <f t="shared" si="2"/>
        <v>18</v>
      </c>
      <c r="AI20" s="49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19.600000000000001</v>
      </c>
      <c r="C21" s="45">
        <v>19.600000000000001</v>
      </c>
      <c r="D21" s="45">
        <v>19.600000000000001</v>
      </c>
      <c r="E21" s="45">
        <v>19</v>
      </c>
      <c r="F21" s="45">
        <v>19</v>
      </c>
      <c r="G21" s="45">
        <v>19</v>
      </c>
      <c r="H21" s="45">
        <v>19</v>
      </c>
      <c r="I21" s="45">
        <v>19</v>
      </c>
      <c r="J21" s="45">
        <v>19</v>
      </c>
      <c r="K21" s="45">
        <v>19</v>
      </c>
      <c r="L21" s="45">
        <v>19</v>
      </c>
      <c r="M21" s="45">
        <v>19</v>
      </c>
      <c r="N21" s="45">
        <v>19</v>
      </c>
      <c r="O21" s="45">
        <v>19</v>
      </c>
      <c r="P21" s="45">
        <v>19</v>
      </c>
      <c r="Q21" s="45">
        <v>19</v>
      </c>
      <c r="R21" s="45">
        <v>19</v>
      </c>
      <c r="S21" s="45">
        <v>19</v>
      </c>
      <c r="T21" s="45">
        <v>19</v>
      </c>
      <c r="U21" s="45">
        <v>19</v>
      </c>
      <c r="V21" s="45">
        <v>19</v>
      </c>
      <c r="W21" s="45">
        <v>19</v>
      </c>
      <c r="X21" s="45">
        <v>19</v>
      </c>
      <c r="Y21" s="45">
        <v>19</v>
      </c>
      <c r="Z21" s="45">
        <v>19</v>
      </c>
      <c r="AA21" s="45">
        <v>19</v>
      </c>
      <c r="AB21" s="45">
        <v>19</v>
      </c>
      <c r="AC21" s="45">
        <v>19</v>
      </c>
      <c r="AD21" s="45">
        <v>19</v>
      </c>
      <c r="AE21" s="45">
        <v>19</v>
      </c>
      <c r="AF21" s="45">
        <v>19</v>
      </c>
      <c r="AG21" s="51">
        <v>23.5</v>
      </c>
      <c r="AH21" s="48">
        <f t="shared" si="2"/>
        <v>19.600000000000001</v>
      </c>
      <c r="AI21" s="49">
        <f t="shared" si="3"/>
        <v>19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12</v>
      </c>
      <c r="C22" s="45">
        <v>12</v>
      </c>
      <c r="D22" s="45">
        <v>12</v>
      </c>
      <c r="E22" s="45">
        <v>12</v>
      </c>
      <c r="F22" s="45">
        <v>12</v>
      </c>
      <c r="G22" s="45">
        <v>12</v>
      </c>
      <c r="H22" s="45">
        <v>12</v>
      </c>
      <c r="I22" s="45">
        <v>12</v>
      </c>
      <c r="J22" s="45">
        <v>12</v>
      </c>
      <c r="K22" s="45">
        <v>12</v>
      </c>
      <c r="L22" s="45">
        <v>12</v>
      </c>
      <c r="M22" s="45">
        <v>12</v>
      </c>
      <c r="N22" s="45">
        <v>12</v>
      </c>
      <c r="O22" s="45">
        <v>12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51">
        <v>22.2</v>
      </c>
      <c r="AH22" s="48">
        <f t="shared" si="2"/>
        <v>12</v>
      </c>
      <c r="AI22" s="49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18</v>
      </c>
      <c r="C23" s="45">
        <v>18</v>
      </c>
      <c r="D23" s="45">
        <v>18</v>
      </c>
      <c r="E23" s="45">
        <v>18</v>
      </c>
      <c r="F23" s="45">
        <v>18</v>
      </c>
      <c r="G23" s="45">
        <v>18</v>
      </c>
      <c r="H23" s="45">
        <v>18</v>
      </c>
      <c r="I23" s="45">
        <v>18</v>
      </c>
      <c r="J23" s="45">
        <v>18</v>
      </c>
      <c r="K23" s="45">
        <v>18</v>
      </c>
      <c r="L23" s="45">
        <v>18</v>
      </c>
      <c r="M23" s="45">
        <v>18</v>
      </c>
      <c r="N23" s="45">
        <v>18</v>
      </c>
      <c r="O23" s="45">
        <v>18</v>
      </c>
      <c r="P23" s="45">
        <v>18</v>
      </c>
      <c r="Q23" s="45">
        <v>18</v>
      </c>
      <c r="R23" s="45">
        <v>18</v>
      </c>
      <c r="S23" s="45">
        <v>18</v>
      </c>
      <c r="T23" s="45">
        <v>18</v>
      </c>
      <c r="U23" s="45">
        <v>18</v>
      </c>
      <c r="V23" s="45">
        <v>18</v>
      </c>
      <c r="W23" s="45">
        <v>18</v>
      </c>
      <c r="X23" s="45">
        <v>18</v>
      </c>
      <c r="Y23" s="45">
        <v>18</v>
      </c>
      <c r="Z23" s="45">
        <v>18</v>
      </c>
      <c r="AA23" s="45">
        <v>18</v>
      </c>
      <c r="AB23" s="45">
        <v>18</v>
      </c>
      <c r="AC23" s="45">
        <v>18</v>
      </c>
      <c r="AD23" s="45">
        <v>18</v>
      </c>
      <c r="AE23" s="45">
        <v>18</v>
      </c>
      <c r="AF23" s="45">
        <v>18</v>
      </c>
      <c r="AG23" s="51">
        <v>22.1</v>
      </c>
      <c r="AH23" s="48">
        <f t="shared" si="2"/>
        <v>18</v>
      </c>
      <c r="AI23" s="49">
        <f t="shared" si="3"/>
        <v>18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14</v>
      </c>
      <c r="C24" s="45">
        <v>14</v>
      </c>
      <c r="D24" s="45">
        <v>14</v>
      </c>
      <c r="E24" s="45">
        <v>14</v>
      </c>
      <c r="F24" s="45">
        <v>14</v>
      </c>
      <c r="G24" s="45">
        <v>14</v>
      </c>
      <c r="H24" s="45">
        <v>14</v>
      </c>
      <c r="I24" s="45">
        <v>14</v>
      </c>
      <c r="J24" s="45">
        <v>14</v>
      </c>
      <c r="K24" s="45">
        <v>14</v>
      </c>
      <c r="L24" s="45">
        <v>14</v>
      </c>
      <c r="M24" s="45">
        <v>14</v>
      </c>
      <c r="N24" s="45">
        <v>14</v>
      </c>
      <c r="O24" s="45">
        <v>14</v>
      </c>
      <c r="P24" s="45">
        <v>14</v>
      </c>
      <c r="Q24" s="45">
        <v>14</v>
      </c>
      <c r="R24" s="45">
        <v>14</v>
      </c>
      <c r="S24" s="45">
        <v>14</v>
      </c>
      <c r="T24" s="45">
        <v>14</v>
      </c>
      <c r="U24" s="45">
        <v>14</v>
      </c>
      <c r="V24" s="45">
        <v>14</v>
      </c>
      <c r="W24" s="45">
        <v>14</v>
      </c>
      <c r="X24" s="45">
        <v>14</v>
      </c>
      <c r="Y24" s="45">
        <v>14</v>
      </c>
      <c r="Z24" s="45">
        <v>14</v>
      </c>
      <c r="AA24" s="45">
        <v>14</v>
      </c>
      <c r="AB24" s="45">
        <v>14</v>
      </c>
      <c r="AC24" s="45">
        <v>14</v>
      </c>
      <c r="AD24" s="45">
        <v>14</v>
      </c>
      <c r="AE24" s="45">
        <v>14</v>
      </c>
      <c r="AF24" s="45">
        <v>14</v>
      </c>
      <c r="AG24" s="51">
        <v>22</v>
      </c>
      <c r="AH24" s="48">
        <f t="shared" si="2"/>
        <v>14</v>
      </c>
      <c r="AI24" s="49">
        <f t="shared" si="3"/>
        <v>14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15</v>
      </c>
      <c r="C25" s="45">
        <v>15</v>
      </c>
      <c r="D25" s="45">
        <v>15</v>
      </c>
      <c r="E25" s="45">
        <v>18</v>
      </c>
      <c r="F25" s="45">
        <v>18</v>
      </c>
      <c r="G25" s="45">
        <v>18</v>
      </c>
      <c r="H25" s="45">
        <v>18</v>
      </c>
      <c r="I25" s="45">
        <v>18</v>
      </c>
      <c r="J25" s="45">
        <v>18</v>
      </c>
      <c r="K25" s="45">
        <v>18</v>
      </c>
      <c r="L25" s="45">
        <v>18</v>
      </c>
      <c r="M25" s="45">
        <v>18</v>
      </c>
      <c r="N25" s="45">
        <v>18</v>
      </c>
      <c r="O25" s="45">
        <v>18</v>
      </c>
      <c r="P25" s="45">
        <v>15</v>
      </c>
      <c r="Q25" s="45">
        <v>15</v>
      </c>
      <c r="R25" s="45">
        <v>15</v>
      </c>
      <c r="S25" s="45">
        <v>15</v>
      </c>
      <c r="T25" s="45">
        <v>15</v>
      </c>
      <c r="U25" s="45">
        <v>15</v>
      </c>
      <c r="V25" s="45">
        <v>15</v>
      </c>
      <c r="W25" s="45">
        <v>15</v>
      </c>
      <c r="X25" s="45">
        <v>15</v>
      </c>
      <c r="Y25" s="45">
        <v>15</v>
      </c>
      <c r="Z25" s="45">
        <v>15</v>
      </c>
      <c r="AA25" s="45">
        <v>15</v>
      </c>
      <c r="AB25" s="45">
        <v>15</v>
      </c>
      <c r="AC25" s="45">
        <v>15</v>
      </c>
      <c r="AD25" s="45">
        <v>15</v>
      </c>
      <c r="AE25" s="45">
        <v>15</v>
      </c>
      <c r="AF25" s="45">
        <v>15</v>
      </c>
      <c r="AG25" s="51">
        <v>22</v>
      </c>
      <c r="AH25" s="48">
        <f t="shared" si="2"/>
        <v>18</v>
      </c>
      <c r="AI25" s="49">
        <f t="shared" si="3"/>
        <v>15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10</v>
      </c>
      <c r="L26" s="45">
        <v>10</v>
      </c>
      <c r="M26" s="45">
        <v>10</v>
      </c>
      <c r="N26" s="45">
        <v>10</v>
      </c>
      <c r="O26" s="45">
        <v>10</v>
      </c>
      <c r="P26" s="45">
        <v>5</v>
      </c>
      <c r="Q26" s="45">
        <v>5</v>
      </c>
      <c r="R26" s="45">
        <v>5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10</v>
      </c>
      <c r="Y26" s="45">
        <v>10</v>
      </c>
      <c r="Z26" s="45">
        <v>4</v>
      </c>
      <c r="AA26" s="45">
        <v>4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11</v>
      </c>
      <c r="C27" s="45">
        <v>11</v>
      </c>
      <c r="D27" s="45">
        <v>11</v>
      </c>
      <c r="E27" s="45">
        <v>11</v>
      </c>
      <c r="F27" s="45">
        <v>11</v>
      </c>
      <c r="G27" s="45">
        <v>11</v>
      </c>
      <c r="H27" s="45">
        <v>11</v>
      </c>
      <c r="I27" s="45">
        <v>11</v>
      </c>
      <c r="J27" s="45">
        <v>11</v>
      </c>
      <c r="K27" s="45">
        <v>11</v>
      </c>
      <c r="L27" s="45">
        <v>11</v>
      </c>
      <c r="M27" s="45">
        <v>11</v>
      </c>
      <c r="N27" s="45">
        <v>11</v>
      </c>
      <c r="O27" s="45">
        <v>11</v>
      </c>
      <c r="P27" s="45">
        <v>11</v>
      </c>
      <c r="Q27" s="45">
        <v>11</v>
      </c>
      <c r="R27" s="45">
        <v>11</v>
      </c>
      <c r="S27" s="45">
        <v>11</v>
      </c>
      <c r="T27" s="45">
        <v>11</v>
      </c>
      <c r="U27" s="45">
        <v>11</v>
      </c>
      <c r="V27" s="45">
        <v>11</v>
      </c>
      <c r="W27" s="45">
        <v>11</v>
      </c>
      <c r="X27" s="45">
        <v>11</v>
      </c>
      <c r="Y27" s="45">
        <v>11</v>
      </c>
      <c r="Z27" s="45">
        <v>11</v>
      </c>
      <c r="AA27" s="45">
        <v>11</v>
      </c>
      <c r="AB27" s="45">
        <v>11</v>
      </c>
      <c r="AC27" s="45">
        <v>11</v>
      </c>
      <c r="AD27" s="45">
        <v>11</v>
      </c>
      <c r="AE27" s="45">
        <v>11</v>
      </c>
      <c r="AF27" s="45">
        <v>11</v>
      </c>
      <c r="AG27" s="51">
        <v>14.9</v>
      </c>
      <c r="AH27" s="48">
        <f t="shared" si="2"/>
        <v>11</v>
      </c>
      <c r="AI27" s="49">
        <f t="shared" si="3"/>
        <v>11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3.5</v>
      </c>
      <c r="C28" s="45">
        <v>3.5</v>
      </c>
      <c r="D28" s="45">
        <v>3.5</v>
      </c>
      <c r="E28" s="45">
        <v>3.5</v>
      </c>
      <c r="F28" s="45">
        <v>3.5</v>
      </c>
      <c r="G28" s="45">
        <v>3.5</v>
      </c>
      <c r="H28" s="45">
        <v>3.5</v>
      </c>
      <c r="I28" s="45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>
        <v>3.5</v>
      </c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45">
        <v>3.5</v>
      </c>
      <c r="Y28" s="45">
        <v>3.5</v>
      </c>
      <c r="Z28" s="45">
        <v>3.5</v>
      </c>
      <c r="AA28" s="45">
        <v>3.5</v>
      </c>
      <c r="AB28" s="45">
        <v>3.5</v>
      </c>
      <c r="AC28" s="45">
        <v>3.5</v>
      </c>
      <c r="AD28" s="45">
        <v>3.5</v>
      </c>
      <c r="AE28" s="45">
        <v>3.5</v>
      </c>
      <c r="AF28" s="45">
        <v>3.5</v>
      </c>
      <c r="AG28" s="51">
        <v>13.6</v>
      </c>
      <c r="AH28" s="48">
        <f t="shared" si="2"/>
        <v>3.5</v>
      </c>
      <c r="AI28" s="49">
        <f t="shared" si="3"/>
        <v>3.5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9</v>
      </c>
      <c r="C29" s="45">
        <v>9</v>
      </c>
      <c r="D29" s="45">
        <v>9</v>
      </c>
      <c r="E29" s="45">
        <v>9</v>
      </c>
      <c r="F29" s="45">
        <v>9</v>
      </c>
      <c r="G29" s="45">
        <v>9</v>
      </c>
      <c r="H29" s="45">
        <v>9</v>
      </c>
      <c r="I29" s="45">
        <v>9</v>
      </c>
      <c r="J29" s="45">
        <v>9</v>
      </c>
      <c r="K29" s="45">
        <v>9</v>
      </c>
      <c r="L29" s="45">
        <v>9</v>
      </c>
      <c r="M29" s="45">
        <v>9</v>
      </c>
      <c r="N29" s="45">
        <v>9</v>
      </c>
      <c r="O29" s="45">
        <v>9</v>
      </c>
      <c r="P29" s="45">
        <v>9</v>
      </c>
      <c r="Q29" s="45">
        <v>9</v>
      </c>
      <c r="R29" s="45">
        <v>9</v>
      </c>
      <c r="S29" s="45">
        <v>9</v>
      </c>
      <c r="T29" s="45">
        <v>9</v>
      </c>
      <c r="U29" s="45">
        <v>9</v>
      </c>
      <c r="V29" s="45">
        <v>9</v>
      </c>
      <c r="W29" s="45">
        <v>9</v>
      </c>
      <c r="X29" s="45">
        <v>9</v>
      </c>
      <c r="Y29" s="45">
        <v>9</v>
      </c>
      <c r="Z29" s="45">
        <v>9</v>
      </c>
      <c r="AA29" s="45">
        <v>9</v>
      </c>
      <c r="AB29" s="45">
        <v>9</v>
      </c>
      <c r="AC29" s="45">
        <v>9</v>
      </c>
      <c r="AD29" s="45">
        <v>9</v>
      </c>
      <c r="AE29" s="45">
        <v>9</v>
      </c>
      <c r="AF29" s="45">
        <v>9</v>
      </c>
      <c r="AG29" s="51">
        <v>13</v>
      </c>
      <c r="AH29" s="48">
        <f t="shared" si="2"/>
        <v>9</v>
      </c>
      <c r="AI29" s="49">
        <f t="shared" si="3"/>
        <v>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5</v>
      </c>
      <c r="K30" s="45">
        <v>5</v>
      </c>
      <c r="L30" s="45">
        <v>12</v>
      </c>
      <c r="M30" s="45">
        <v>12</v>
      </c>
      <c r="N30" s="45">
        <v>12</v>
      </c>
      <c r="O30" s="45">
        <v>12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12</v>
      </c>
      <c r="Y30" s="45">
        <v>12</v>
      </c>
      <c r="Z30" s="45">
        <v>4</v>
      </c>
      <c r="AA30" s="45">
        <v>4</v>
      </c>
      <c r="AB30" s="45">
        <v>4</v>
      </c>
      <c r="AC30" s="45">
        <v>4</v>
      </c>
      <c r="AD30" s="45">
        <v>4</v>
      </c>
      <c r="AE30" s="45">
        <v>4</v>
      </c>
      <c r="AF30" s="45">
        <v>4</v>
      </c>
      <c r="AG30" s="51">
        <v>12</v>
      </c>
      <c r="AH30" s="48">
        <f t="shared" si="2"/>
        <v>12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12</v>
      </c>
      <c r="C31" s="45">
        <v>12</v>
      </c>
      <c r="D31" s="45">
        <v>12</v>
      </c>
      <c r="E31" s="45">
        <v>12</v>
      </c>
      <c r="F31" s="45">
        <v>12</v>
      </c>
      <c r="G31" s="45">
        <v>12</v>
      </c>
      <c r="H31" s="45">
        <v>12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2"/>
        <v>12</v>
      </c>
      <c r="AI31" s="49">
        <f t="shared" si="3"/>
        <v>12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8</v>
      </c>
      <c r="Y32" s="45">
        <v>8</v>
      </c>
      <c r="Z32" s="45">
        <v>8</v>
      </c>
      <c r="AA32" s="45">
        <v>8</v>
      </c>
      <c r="AB32" s="45">
        <v>8</v>
      </c>
      <c r="AC32" s="45">
        <v>8</v>
      </c>
      <c r="AD32" s="45">
        <v>8</v>
      </c>
      <c r="AE32" s="45">
        <v>8</v>
      </c>
      <c r="AF32" s="45">
        <v>8</v>
      </c>
      <c r="AG32" s="51">
        <v>12</v>
      </c>
      <c r="AH32" s="48">
        <f t="shared" si="2"/>
        <v>8</v>
      </c>
      <c r="AI32" s="49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8</v>
      </c>
      <c r="C33" s="45">
        <v>8</v>
      </c>
      <c r="D33" s="45">
        <v>8</v>
      </c>
      <c r="E33" s="45">
        <v>8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3">
        <v>22</v>
      </c>
      <c r="AH33" s="48">
        <f t="shared" si="2"/>
        <v>8</v>
      </c>
      <c r="AI33" s="49">
        <f t="shared" si="3"/>
        <v>8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10</v>
      </c>
      <c r="C34" s="45">
        <v>10</v>
      </c>
      <c r="D34" s="45">
        <v>10</v>
      </c>
      <c r="E34" s="45">
        <v>10</v>
      </c>
      <c r="F34" s="45">
        <v>10</v>
      </c>
      <c r="G34" s="45">
        <v>10</v>
      </c>
      <c r="H34" s="45">
        <v>10</v>
      </c>
      <c r="I34" s="45">
        <v>10</v>
      </c>
      <c r="J34" s="45">
        <v>10</v>
      </c>
      <c r="K34" s="45">
        <v>10</v>
      </c>
      <c r="L34" s="45">
        <v>10</v>
      </c>
      <c r="M34" s="45">
        <v>10</v>
      </c>
      <c r="N34" s="45">
        <v>10</v>
      </c>
      <c r="O34" s="45">
        <v>10</v>
      </c>
      <c r="P34" s="45">
        <v>10</v>
      </c>
      <c r="Q34" s="45">
        <v>10</v>
      </c>
      <c r="R34" s="45">
        <v>10</v>
      </c>
      <c r="S34" s="45">
        <v>10</v>
      </c>
      <c r="T34" s="45">
        <v>10</v>
      </c>
      <c r="U34" s="45">
        <v>10</v>
      </c>
      <c r="V34" s="45">
        <v>10</v>
      </c>
      <c r="W34" s="45">
        <v>10</v>
      </c>
      <c r="X34" s="45">
        <v>10</v>
      </c>
      <c r="Y34" s="45">
        <v>10</v>
      </c>
      <c r="Z34" s="45">
        <v>10</v>
      </c>
      <c r="AA34" s="45">
        <v>10</v>
      </c>
      <c r="AB34" s="45">
        <v>10</v>
      </c>
      <c r="AC34" s="45">
        <v>10</v>
      </c>
      <c r="AD34" s="45">
        <v>10</v>
      </c>
      <c r="AE34" s="45">
        <v>10</v>
      </c>
      <c r="AF34" s="45">
        <v>10</v>
      </c>
      <c r="AG34" s="52">
        <v>11.88</v>
      </c>
      <c r="AH34" s="48">
        <f t="shared" si="2"/>
        <v>10</v>
      </c>
      <c r="AI34" s="49">
        <f t="shared" si="3"/>
        <v>10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9</v>
      </c>
      <c r="C35" s="45">
        <v>9</v>
      </c>
      <c r="D35" s="45">
        <v>9</v>
      </c>
      <c r="E35" s="45">
        <v>9</v>
      </c>
      <c r="F35" s="45">
        <v>9</v>
      </c>
      <c r="G35" s="45">
        <v>9</v>
      </c>
      <c r="H35" s="45">
        <v>9</v>
      </c>
      <c r="I35" s="45">
        <v>9</v>
      </c>
      <c r="J35" s="45">
        <v>9</v>
      </c>
      <c r="K35" s="45">
        <v>9</v>
      </c>
      <c r="L35" s="45">
        <v>9</v>
      </c>
      <c r="M35" s="45">
        <v>9</v>
      </c>
      <c r="N35" s="45">
        <v>9</v>
      </c>
      <c r="O35" s="45">
        <v>9</v>
      </c>
      <c r="P35" s="45">
        <v>9</v>
      </c>
      <c r="Q35" s="45">
        <v>9</v>
      </c>
      <c r="R35" s="45">
        <v>9</v>
      </c>
      <c r="S35" s="45">
        <v>9</v>
      </c>
      <c r="T35" s="45">
        <v>9</v>
      </c>
      <c r="U35" s="45">
        <v>9</v>
      </c>
      <c r="V35" s="45">
        <v>9</v>
      </c>
      <c r="W35" s="45">
        <v>9</v>
      </c>
      <c r="X35" s="45">
        <v>9</v>
      </c>
      <c r="Y35" s="45">
        <v>9</v>
      </c>
      <c r="Z35" s="45">
        <v>9</v>
      </c>
      <c r="AA35" s="45">
        <v>9</v>
      </c>
      <c r="AB35" s="45">
        <v>9</v>
      </c>
      <c r="AC35" s="45">
        <v>9</v>
      </c>
      <c r="AD35" s="45">
        <v>9</v>
      </c>
      <c r="AE35" s="45">
        <v>9</v>
      </c>
      <c r="AF35" s="45">
        <v>9</v>
      </c>
      <c r="AG35" s="55">
        <v>11</v>
      </c>
      <c r="AH35" s="48">
        <f t="shared" si="2"/>
        <v>9</v>
      </c>
      <c r="AI35" s="49">
        <f t="shared" si="3"/>
        <v>9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5">
        <v>10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2</v>
      </c>
      <c r="T37" s="45">
        <v>2</v>
      </c>
      <c r="U37" s="45">
        <v>2</v>
      </c>
      <c r="V37" s="45">
        <v>2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2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280</v>
      </c>
      <c r="C38" s="57">
        <v>280</v>
      </c>
      <c r="D38" s="57">
        <v>280</v>
      </c>
      <c r="E38" s="57">
        <v>280</v>
      </c>
      <c r="F38" s="57">
        <v>280</v>
      </c>
      <c r="G38" s="57">
        <v>280</v>
      </c>
      <c r="H38" s="57">
        <v>280</v>
      </c>
      <c r="I38" s="57">
        <v>280</v>
      </c>
      <c r="J38" s="57">
        <v>280</v>
      </c>
      <c r="K38" s="57">
        <v>300</v>
      </c>
      <c r="L38" s="57">
        <v>280</v>
      </c>
      <c r="M38" s="57">
        <v>280</v>
      </c>
      <c r="N38" s="57">
        <v>280</v>
      </c>
      <c r="O38" s="57">
        <v>280</v>
      </c>
      <c r="P38" s="57">
        <v>280</v>
      </c>
      <c r="Q38" s="57">
        <v>280</v>
      </c>
      <c r="R38" s="57">
        <v>280</v>
      </c>
      <c r="S38" s="57">
        <v>280</v>
      </c>
      <c r="T38" s="57">
        <v>280</v>
      </c>
      <c r="U38" s="57">
        <v>280</v>
      </c>
      <c r="V38" s="57">
        <v>280</v>
      </c>
      <c r="W38" s="57">
        <v>280</v>
      </c>
      <c r="X38" s="57">
        <v>300</v>
      </c>
      <c r="Y38" s="57">
        <v>300</v>
      </c>
      <c r="Z38" s="57">
        <v>300</v>
      </c>
      <c r="AA38" s="57">
        <v>300</v>
      </c>
      <c r="AB38" s="57">
        <v>300</v>
      </c>
      <c r="AC38" s="57">
        <v>300</v>
      </c>
      <c r="AD38" s="57">
        <v>300</v>
      </c>
      <c r="AE38" s="57">
        <v>300</v>
      </c>
      <c r="AF38" s="57">
        <v>300</v>
      </c>
      <c r="AG38" s="55">
        <v>85</v>
      </c>
      <c r="AH38" s="48">
        <f t="shared" si="2"/>
        <v>300</v>
      </c>
      <c r="AI38" s="49">
        <f t="shared" si="3"/>
        <v>280</v>
      </c>
      <c r="AK38" s="50"/>
    </row>
    <row r="39" spans="1:88" ht="15.75" thickBot="1" x14ac:dyDescent="0.3">
      <c r="A39" s="58" t="s">
        <v>47</v>
      </c>
      <c r="B39" s="59">
        <v>125.9</v>
      </c>
      <c r="C39" s="59">
        <v>125.9</v>
      </c>
      <c r="D39" s="59">
        <f>57.4+70.2</f>
        <v>127.6</v>
      </c>
      <c r="E39" s="59">
        <f>70.4+57.7</f>
        <v>128.10000000000002</v>
      </c>
      <c r="F39" s="59">
        <f>71+57.3</f>
        <v>128.30000000000001</v>
      </c>
      <c r="G39" s="59">
        <f>69.8+56.9</f>
        <v>126.69999999999999</v>
      </c>
      <c r="H39" s="59">
        <f>69.3+55.9</f>
        <v>125.19999999999999</v>
      </c>
      <c r="I39" s="59">
        <f>69.1+56.4</f>
        <v>125.5</v>
      </c>
      <c r="J39" s="59">
        <f>71.4+56.1</f>
        <v>127.5</v>
      </c>
      <c r="K39" s="59">
        <f>70.9+55.4</f>
        <v>126.30000000000001</v>
      </c>
      <c r="L39" s="57">
        <f>69.6+55.4</f>
        <v>125</v>
      </c>
      <c r="M39" s="57">
        <f>69.6+55.4</f>
        <v>125</v>
      </c>
      <c r="N39" s="57">
        <f>69.6+55.4</f>
        <v>125</v>
      </c>
      <c r="O39" s="57">
        <f t="shared" ref="O39" si="4">69.6+55.4</f>
        <v>125</v>
      </c>
      <c r="P39" s="57">
        <f>55+71.3</f>
        <v>126.3</v>
      </c>
      <c r="Q39" s="57">
        <f>54.8+70.5</f>
        <v>125.3</v>
      </c>
      <c r="R39" s="57">
        <f>54.4+70.4</f>
        <v>124.80000000000001</v>
      </c>
      <c r="S39" s="57">
        <f>54.4+70.4</f>
        <v>124.80000000000001</v>
      </c>
      <c r="T39" s="57">
        <f>54.4+70.4</f>
        <v>124.80000000000001</v>
      </c>
      <c r="U39" s="57">
        <f>42.4+42</f>
        <v>84.4</v>
      </c>
      <c r="V39" s="57">
        <f>59.8+59.2</f>
        <v>119</v>
      </c>
      <c r="W39" s="59">
        <f>62.1+58.2</f>
        <v>120.30000000000001</v>
      </c>
      <c r="X39" s="59">
        <v>120.30000000000001</v>
      </c>
      <c r="Y39" s="59">
        <f>53.7+60</f>
        <v>113.7</v>
      </c>
      <c r="Z39" s="59">
        <f>53.7+64</f>
        <v>117.7</v>
      </c>
      <c r="AA39" s="59">
        <v>118</v>
      </c>
      <c r="AB39" s="59">
        <v>119</v>
      </c>
      <c r="AC39" s="59">
        <v>119</v>
      </c>
      <c r="AD39" s="59">
        <v>119</v>
      </c>
      <c r="AE39" s="59">
        <v>124</v>
      </c>
      <c r="AF39" s="59">
        <v>124</v>
      </c>
      <c r="AG39" s="55">
        <v>240</v>
      </c>
      <c r="AH39" s="48">
        <f t="shared" si="2"/>
        <v>128.30000000000001</v>
      </c>
      <c r="AI39" s="49">
        <f t="shared" si="3"/>
        <v>84.4</v>
      </c>
      <c r="AK39" s="50"/>
    </row>
    <row r="40" spans="1:88" ht="15.75" thickBot="1" x14ac:dyDescent="0.3">
      <c r="A40" s="60" t="s">
        <v>48</v>
      </c>
      <c r="B40" s="61">
        <v>688.8</v>
      </c>
      <c r="C40" s="61">
        <f t="shared" ref="C40:AG40" si="5">SUM(C11:C38)</f>
        <v>663.8</v>
      </c>
      <c r="D40" s="61">
        <f t="shared" si="5"/>
        <v>663.8</v>
      </c>
      <c r="E40" s="61">
        <f t="shared" si="5"/>
        <v>655.6</v>
      </c>
      <c r="F40" s="61">
        <f t="shared" si="5"/>
        <v>655.6</v>
      </c>
      <c r="G40" s="61">
        <f t="shared" si="5"/>
        <v>655.6</v>
      </c>
      <c r="H40" s="61">
        <f t="shared" si="5"/>
        <v>655.6</v>
      </c>
      <c r="I40" s="61">
        <f t="shared" si="5"/>
        <v>669.6</v>
      </c>
      <c r="J40" s="61">
        <f t="shared" si="5"/>
        <v>695.9</v>
      </c>
      <c r="K40" s="61">
        <f t="shared" si="5"/>
        <v>741.9</v>
      </c>
      <c r="L40" s="61">
        <f t="shared" si="5"/>
        <v>748.90000000000009</v>
      </c>
      <c r="M40" s="61">
        <f t="shared" si="5"/>
        <v>748.90000000000009</v>
      </c>
      <c r="N40" s="61">
        <f t="shared" si="5"/>
        <v>733.4</v>
      </c>
      <c r="O40" s="61">
        <f t="shared" si="5"/>
        <v>720.5</v>
      </c>
      <c r="P40" s="61">
        <f t="shared" si="5"/>
        <v>675.5</v>
      </c>
      <c r="Q40" s="61">
        <f t="shared" si="5"/>
        <v>666.8</v>
      </c>
      <c r="R40" s="61">
        <f t="shared" si="5"/>
        <v>654.59999999999991</v>
      </c>
      <c r="S40" s="61">
        <f t="shared" si="5"/>
        <v>651.59999999999991</v>
      </c>
      <c r="T40" s="61">
        <f t="shared" si="5"/>
        <v>652</v>
      </c>
      <c r="U40" s="61">
        <f t="shared" si="5"/>
        <v>647.9</v>
      </c>
      <c r="V40" s="61">
        <f t="shared" si="5"/>
        <v>647.9</v>
      </c>
      <c r="W40" s="61">
        <f t="shared" si="5"/>
        <v>656.3</v>
      </c>
      <c r="X40" s="61">
        <f t="shared" si="5"/>
        <v>757.3</v>
      </c>
      <c r="Y40" s="61">
        <f t="shared" si="5"/>
        <v>752.3</v>
      </c>
      <c r="Z40" s="61">
        <f t="shared" si="5"/>
        <v>713.3</v>
      </c>
      <c r="AA40" s="61">
        <f t="shared" si="5"/>
        <v>715.6</v>
      </c>
      <c r="AB40" s="61">
        <f t="shared" si="5"/>
        <v>711.6</v>
      </c>
      <c r="AC40" s="61">
        <f t="shared" si="5"/>
        <v>698.6</v>
      </c>
      <c r="AD40" s="61">
        <f t="shared" si="5"/>
        <v>672.9</v>
      </c>
      <c r="AE40" s="61">
        <f t="shared" si="5"/>
        <v>665.9</v>
      </c>
      <c r="AF40" s="61">
        <f t="shared" si="5"/>
        <v>665.9</v>
      </c>
      <c r="AG40" s="62">
        <f t="shared" si="5"/>
        <v>707.78000000000009</v>
      </c>
      <c r="AH40" s="48">
        <f t="shared" si="2"/>
        <v>757.3</v>
      </c>
      <c r="AI40" s="49">
        <f t="shared" si="3"/>
        <v>647.9</v>
      </c>
      <c r="AK40" s="50"/>
    </row>
    <row r="41" spans="1:88" x14ac:dyDescent="0.25">
      <c r="A41" s="63" t="s">
        <v>49</v>
      </c>
      <c r="B41" s="45">
        <v>250</v>
      </c>
      <c r="C41" s="45">
        <v>165</v>
      </c>
      <c r="D41" s="45">
        <v>135</v>
      </c>
      <c r="E41" s="45">
        <v>120</v>
      </c>
      <c r="F41" s="45">
        <v>105</v>
      </c>
      <c r="G41" s="45">
        <v>125</v>
      </c>
      <c r="H41" s="45">
        <v>140</v>
      </c>
      <c r="I41" s="45">
        <v>225</v>
      </c>
      <c r="J41" s="45">
        <v>225</v>
      </c>
      <c r="K41" s="45">
        <v>300</v>
      </c>
      <c r="L41" s="45">
        <v>330</v>
      </c>
      <c r="M41" s="45">
        <v>330</v>
      </c>
      <c r="N41" s="45">
        <v>270</v>
      </c>
      <c r="O41" s="45">
        <v>250</v>
      </c>
      <c r="P41" s="45">
        <v>180</v>
      </c>
      <c r="Q41" s="45">
        <v>120</v>
      </c>
      <c r="R41" s="45">
        <v>80</v>
      </c>
      <c r="S41" s="45">
        <v>110</v>
      </c>
      <c r="T41" s="45">
        <v>130</v>
      </c>
      <c r="U41" s="45">
        <v>280</v>
      </c>
      <c r="V41" s="45">
        <v>280</v>
      </c>
      <c r="W41" s="45">
        <v>380</v>
      </c>
      <c r="X41" s="45">
        <v>456</v>
      </c>
      <c r="Y41" s="45">
        <v>456</v>
      </c>
      <c r="Z41" s="45">
        <v>430</v>
      </c>
      <c r="AA41" s="45">
        <v>405</v>
      </c>
      <c r="AB41" s="45">
        <v>380</v>
      </c>
      <c r="AC41" s="45">
        <v>230</v>
      </c>
      <c r="AD41" s="45">
        <v>230</v>
      </c>
      <c r="AE41" s="45">
        <v>190</v>
      </c>
      <c r="AF41" s="45">
        <v>190</v>
      </c>
      <c r="AG41" s="52">
        <v>456</v>
      </c>
      <c r="AH41" s="48">
        <f t="shared" si="2"/>
        <v>456</v>
      </c>
      <c r="AI41" s="49">
        <f t="shared" si="3"/>
        <v>80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22.4</v>
      </c>
      <c r="C43" s="67">
        <v>22.4</v>
      </c>
      <c r="D43" s="67">
        <v>22.4</v>
      </c>
      <c r="E43" s="67">
        <v>22.5</v>
      </c>
      <c r="F43" s="67">
        <v>22.4</v>
      </c>
      <c r="G43" s="67">
        <v>22.4</v>
      </c>
      <c r="H43" s="67">
        <v>22.4</v>
      </c>
      <c r="I43" s="67">
        <v>22.4</v>
      </c>
      <c r="J43" s="67">
        <v>22.4</v>
      </c>
      <c r="K43" s="67">
        <v>22.4</v>
      </c>
      <c r="L43" s="67">
        <v>22.4</v>
      </c>
      <c r="M43" s="67">
        <v>22.4</v>
      </c>
      <c r="N43" s="67">
        <v>22.2</v>
      </c>
      <c r="O43" s="67">
        <v>22</v>
      </c>
      <c r="P43" s="67">
        <v>22</v>
      </c>
      <c r="Q43" s="67">
        <v>22</v>
      </c>
      <c r="R43" s="67">
        <v>22</v>
      </c>
      <c r="S43" s="67">
        <v>22</v>
      </c>
      <c r="T43" s="67">
        <v>22</v>
      </c>
      <c r="U43" s="67">
        <v>22</v>
      </c>
      <c r="V43" s="67">
        <v>22</v>
      </c>
      <c r="W43" s="67">
        <v>22</v>
      </c>
      <c r="X43" s="67">
        <v>22</v>
      </c>
      <c r="Y43" s="67">
        <v>22</v>
      </c>
      <c r="Z43" s="67">
        <v>22</v>
      </c>
      <c r="AA43" s="67">
        <v>22.4</v>
      </c>
      <c r="AB43" s="67">
        <v>22.4</v>
      </c>
      <c r="AC43" s="67">
        <v>22.4</v>
      </c>
      <c r="AD43" s="67">
        <v>22.4</v>
      </c>
      <c r="AE43" s="67">
        <v>22.4</v>
      </c>
      <c r="AF43" s="67">
        <v>22.4</v>
      </c>
      <c r="AG43" s="68">
        <v>22.1</v>
      </c>
      <c r="AH43" s="48">
        <f t="shared" si="2"/>
        <v>22.5</v>
      </c>
      <c r="AI43" s="49">
        <f t="shared" si="3"/>
        <v>22</v>
      </c>
      <c r="AK43" s="50"/>
    </row>
    <row r="44" spans="1:88" ht="15.75" thickBot="1" x14ac:dyDescent="0.3">
      <c r="A44" s="69" t="s">
        <v>52</v>
      </c>
      <c r="B44" s="61">
        <f t="shared" ref="B44:AG44" si="6">SUM(B41:B43)</f>
        <v>332.4</v>
      </c>
      <c r="C44" s="61">
        <f t="shared" si="6"/>
        <v>247.4</v>
      </c>
      <c r="D44" s="61">
        <f t="shared" si="6"/>
        <v>217.4</v>
      </c>
      <c r="E44" s="61">
        <f t="shared" si="6"/>
        <v>202.5</v>
      </c>
      <c r="F44" s="61">
        <f t="shared" si="6"/>
        <v>187.4</v>
      </c>
      <c r="G44" s="61">
        <f t="shared" si="6"/>
        <v>207.4</v>
      </c>
      <c r="H44" s="61">
        <f t="shared" si="6"/>
        <v>222.4</v>
      </c>
      <c r="I44" s="61">
        <f t="shared" si="6"/>
        <v>307.39999999999998</v>
      </c>
      <c r="J44" s="61">
        <f t="shared" si="6"/>
        <v>307.39999999999998</v>
      </c>
      <c r="K44" s="61">
        <f t="shared" si="6"/>
        <v>382.4</v>
      </c>
      <c r="L44" s="61">
        <f t="shared" si="6"/>
        <v>412.4</v>
      </c>
      <c r="M44" s="61">
        <f t="shared" si="6"/>
        <v>412.4</v>
      </c>
      <c r="N44" s="61">
        <f t="shared" si="6"/>
        <v>352.2</v>
      </c>
      <c r="O44" s="61">
        <f t="shared" si="6"/>
        <v>332</v>
      </c>
      <c r="P44" s="61">
        <f t="shared" si="6"/>
        <v>262</v>
      </c>
      <c r="Q44" s="61">
        <f t="shared" si="6"/>
        <v>202</v>
      </c>
      <c r="R44" s="61">
        <f t="shared" si="6"/>
        <v>162</v>
      </c>
      <c r="S44" s="61">
        <f t="shared" si="6"/>
        <v>192</v>
      </c>
      <c r="T44" s="61">
        <f t="shared" si="6"/>
        <v>212</v>
      </c>
      <c r="U44" s="61">
        <f t="shared" si="6"/>
        <v>362</v>
      </c>
      <c r="V44" s="61">
        <f t="shared" si="6"/>
        <v>362</v>
      </c>
      <c r="W44" s="61">
        <f t="shared" si="6"/>
        <v>462</v>
      </c>
      <c r="X44" s="61">
        <f t="shared" si="6"/>
        <v>538</v>
      </c>
      <c r="Y44" s="61">
        <f t="shared" si="6"/>
        <v>538</v>
      </c>
      <c r="Z44" s="61">
        <f t="shared" si="6"/>
        <v>512</v>
      </c>
      <c r="AA44" s="61">
        <f t="shared" si="6"/>
        <v>487.4</v>
      </c>
      <c r="AB44" s="61">
        <f t="shared" si="6"/>
        <v>462.4</v>
      </c>
      <c r="AC44" s="61">
        <f t="shared" si="6"/>
        <v>312.39999999999998</v>
      </c>
      <c r="AD44" s="61">
        <f t="shared" si="6"/>
        <v>312.39999999999998</v>
      </c>
      <c r="AE44" s="61">
        <f t="shared" si="6"/>
        <v>272.39999999999998</v>
      </c>
      <c r="AF44" s="61">
        <f t="shared" si="6"/>
        <v>272.39999999999998</v>
      </c>
      <c r="AG44" s="62">
        <f t="shared" si="6"/>
        <v>538.1</v>
      </c>
      <c r="AH44" s="48">
        <f t="shared" si="2"/>
        <v>538</v>
      </c>
      <c r="AI44" s="49">
        <f t="shared" si="3"/>
        <v>162</v>
      </c>
      <c r="AK44" s="50"/>
    </row>
    <row r="45" spans="1:88" x14ac:dyDescent="0.25">
      <c r="A45" s="44" t="s">
        <v>53</v>
      </c>
      <c r="B45" s="45">
        <v>111.3</v>
      </c>
      <c r="C45" s="45">
        <v>100</v>
      </c>
      <c r="D45" s="45">
        <v>97</v>
      </c>
      <c r="E45" s="45">
        <v>122</v>
      </c>
      <c r="F45" s="45">
        <v>134.30000000000001</v>
      </c>
      <c r="G45" s="45">
        <v>130.4</v>
      </c>
      <c r="H45" s="45">
        <v>144.1</v>
      </c>
      <c r="I45" s="45">
        <v>143.30000000000001</v>
      </c>
      <c r="J45" s="45">
        <v>143.5</v>
      </c>
      <c r="K45" s="45">
        <v>143.6</v>
      </c>
      <c r="L45" s="45">
        <v>143.5</v>
      </c>
      <c r="M45" s="45">
        <v>143.5</v>
      </c>
      <c r="N45" s="45">
        <v>143.5</v>
      </c>
      <c r="O45" s="45">
        <v>143.5</v>
      </c>
      <c r="P45" s="45">
        <v>143.6</v>
      </c>
      <c r="Q45" s="45">
        <v>143.30000000000001</v>
      </c>
      <c r="R45" s="45">
        <v>143.5</v>
      </c>
      <c r="S45" s="45">
        <v>143.5</v>
      </c>
      <c r="T45" s="45">
        <v>143.5</v>
      </c>
      <c r="U45" s="45">
        <v>143.5</v>
      </c>
      <c r="V45" s="45">
        <v>143.5</v>
      </c>
      <c r="W45" s="45">
        <v>143.5</v>
      </c>
      <c r="X45" s="45">
        <v>143.5</v>
      </c>
      <c r="Y45" s="45">
        <v>143.5</v>
      </c>
      <c r="Z45" s="45">
        <v>143.5</v>
      </c>
      <c r="AA45" s="45">
        <v>144.6</v>
      </c>
      <c r="AB45" s="45">
        <v>144.6</v>
      </c>
      <c r="AC45" s="45">
        <v>144.19999999999999</v>
      </c>
      <c r="AD45" s="45">
        <v>144.19999999999999</v>
      </c>
      <c r="AE45" s="45">
        <v>121</v>
      </c>
      <c r="AF45" s="45">
        <v>111</v>
      </c>
      <c r="AG45" s="52">
        <v>144</v>
      </c>
      <c r="AH45" s="48">
        <f t="shared" si="2"/>
        <v>144.6</v>
      </c>
      <c r="AI45" s="49">
        <f t="shared" si="3"/>
        <v>97</v>
      </c>
      <c r="AK45" s="50"/>
    </row>
    <row r="46" spans="1:88" x14ac:dyDescent="0.25">
      <c r="A46" s="54" t="s">
        <v>54</v>
      </c>
      <c r="B46" s="65">
        <v>48.9</v>
      </c>
      <c r="C46" s="65">
        <v>50.1</v>
      </c>
      <c r="D46" s="65">
        <v>43.8</v>
      </c>
      <c r="E46" s="65">
        <v>59.8</v>
      </c>
      <c r="F46" s="65">
        <v>60</v>
      </c>
      <c r="G46" s="65">
        <v>62</v>
      </c>
      <c r="H46" s="65">
        <v>71.5</v>
      </c>
      <c r="I46" s="65">
        <v>71.099999999999994</v>
      </c>
      <c r="J46" s="65">
        <v>70.8</v>
      </c>
      <c r="K46" s="65">
        <v>72.7</v>
      </c>
      <c r="L46" s="65">
        <v>72.7</v>
      </c>
      <c r="M46" s="65">
        <v>72.7</v>
      </c>
      <c r="N46" s="45">
        <v>72.5</v>
      </c>
      <c r="O46" s="45">
        <v>72.5</v>
      </c>
      <c r="P46" s="45">
        <v>70</v>
      </c>
      <c r="Q46" s="45">
        <v>71.7</v>
      </c>
      <c r="R46" s="45">
        <v>73.2</v>
      </c>
      <c r="S46" s="45">
        <v>73.2</v>
      </c>
      <c r="T46" s="45">
        <v>73.2</v>
      </c>
      <c r="U46" s="45">
        <v>73.2</v>
      </c>
      <c r="V46" s="45">
        <v>73.2</v>
      </c>
      <c r="W46" s="45">
        <v>73.2</v>
      </c>
      <c r="X46" s="65">
        <v>73.2</v>
      </c>
      <c r="Y46" s="65">
        <v>73.2</v>
      </c>
      <c r="Z46" s="65">
        <v>73.2</v>
      </c>
      <c r="AA46" s="65">
        <v>73.2</v>
      </c>
      <c r="AB46" s="65">
        <v>73.2</v>
      </c>
      <c r="AC46" s="65">
        <v>73.2</v>
      </c>
      <c r="AD46" s="65">
        <v>73.2</v>
      </c>
      <c r="AE46" s="65">
        <v>70</v>
      </c>
      <c r="AF46" s="65">
        <v>60</v>
      </c>
      <c r="AG46" s="55">
        <v>70</v>
      </c>
      <c r="AH46" s="48">
        <f t="shared" si="2"/>
        <v>73.2</v>
      </c>
      <c r="AI46" s="49">
        <f t="shared" si="3"/>
        <v>43.8</v>
      </c>
      <c r="AK46" s="50"/>
    </row>
    <row r="47" spans="1:88" x14ac:dyDescent="0.25">
      <c r="A47" s="54" t="s">
        <v>55</v>
      </c>
      <c r="B47" s="65">
        <v>50.8</v>
      </c>
      <c r="C47" s="65">
        <v>51</v>
      </c>
      <c r="D47" s="65">
        <v>50.8</v>
      </c>
      <c r="E47" s="65">
        <v>61.2</v>
      </c>
      <c r="F47" s="65">
        <v>61.1</v>
      </c>
      <c r="G47" s="65">
        <v>62</v>
      </c>
      <c r="H47" s="65">
        <v>70</v>
      </c>
      <c r="I47" s="65">
        <v>70</v>
      </c>
      <c r="J47" s="65">
        <v>69.5</v>
      </c>
      <c r="K47" s="65">
        <v>70.5</v>
      </c>
      <c r="L47" s="65">
        <v>70.099999999999994</v>
      </c>
      <c r="M47" s="65">
        <v>70.099999999999994</v>
      </c>
      <c r="N47" s="45">
        <v>71.5</v>
      </c>
      <c r="O47" s="45">
        <v>71.5</v>
      </c>
      <c r="P47" s="45">
        <v>70.599999999999994</v>
      </c>
      <c r="Q47" s="45">
        <v>70.099999999999994</v>
      </c>
      <c r="R47" s="45">
        <v>70.599999999999994</v>
      </c>
      <c r="S47" s="45">
        <v>70.599999999999994</v>
      </c>
      <c r="T47" s="45">
        <v>70.599999999999994</v>
      </c>
      <c r="U47" s="45">
        <v>70.599999999999994</v>
      </c>
      <c r="V47" s="45">
        <v>70.599999999999994</v>
      </c>
      <c r="W47" s="45">
        <v>70.599999999999994</v>
      </c>
      <c r="X47" s="65">
        <v>70.599999999999994</v>
      </c>
      <c r="Y47" s="65">
        <v>70.599999999999994</v>
      </c>
      <c r="Z47" s="65">
        <v>70.599999999999994</v>
      </c>
      <c r="AA47" s="65">
        <v>70.599999999999994</v>
      </c>
      <c r="AB47" s="65">
        <v>70.599999999999994</v>
      </c>
      <c r="AC47" s="65">
        <v>70.599999999999994</v>
      </c>
      <c r="AD47" s="65">
        <v>70.599999999999994</v>
      </c>
      <c r="AE47" s="65">
        <v>62</v>
      </c>
      <c r="AF47" s="65">
        <v>62</v>
      </c>
      <c r="AG47" s="55">
        <v>69</v>
      </c>
      <c r="AH47" s="48">
        <f t="shared" si="2"/>
        <v>71.5</v>
      </c>
      <c r="AI47" s="49">
        <f t="shared" si="3"/>
        <v>50.8</v>
      </c>
      <c r="AK47" s="50"/>
    </row>
    <row r="48" spans="1:88" x14ac:dyDescent="0.25">
      <c r="A48" s="54" t="s">
        <v>56</v>
      </c>
      <c r="B48" s="57">
        <v>30.5</v>
      </c>
      <c r="C48" s="57">
        <v>30.5</v>
      </c>
      <c r="D48" s="57">
        <v>23.7</v>
      </c>
      <c r="E48" s="57">
        <v>23.7</v>
      </c>
      <c r="F48" s="57">
        <v>24</v>
      </c>
      <c r="G48" s="57">
        <v>40</v>
      </c>
      <c r="H48" s="57">
        <v>60.2</v>
      </c>
      <c r="I48" s="57">
        <v>60.2</v>
      </c>
      <c r="J48" s="57">
        <v>58.2</v>
      </c>
      <c r="K48" s="57">
        <v>58.2</v>
      </c>
      <c r="L48" s="57">
        <v>60.4</v>
      </c>
      <c r="M48" s="57">
        <v>60.4</v>
      </c>
      <c r="N48" s="45">
        <v>60.4</v>
      </c>
      <c r="O48" s="45">
        <v>60.4</v>
      </c>
      <c r="P48" s="45">
        <v>60.4</v>
      </c>
      <c r="Q48" s="45">
        <v>60.4</v>
      </c>
      <c r="R48" s="45">
        <v>60.4</v>
      </c>
      <c r="S48" s="45">
        <v>60.4</v>
      </c>
      <c r="T48" s="45">
        <v>60.4</v>
      </c>
      <c r="U48" s="45">
        <v>60.4</v>
      </c>
      <c r="V48" s="45">
        <v>60.4</v>
      </c>
      <c r="W48" s="45">
        <v>60.4</v>
      </c>
      <c r="X48" s="65">
        <v>60.4</v>
      </c>
      <c r="Y48" s="65">
        <v>60.4</v>
      </c>
      <c r="Z48" s="65">
        <v>60.4</v>
      </c>
      <c r="AA48" s="65">
        <v>60.4</v>
      </c>
      <c r="AB48" s="65">
        <v>60.4</v>
      </c>
      <c r="AC48" s="65">
        <v>60.4</v>
      </c>
      <c r="AD48" s="65">
        <v>60.4</v>
      </c>
      <c r="AE48" s="57">
        <v>51</v>
      </c>
      <c r="AF48" s="57">
        <v>40</v>
      </c>
      <c r="AG48" s="55">
        <v>60</v>
      </c>
      <c r="AH48" s="48">
        <f t="shared" si="2"/>
        <v>60.4</v>
      </c>
      <c r="AI48" s="49">
        <f t="shared" si="3"/>
        <v>23.7</v>
      </c>
      <c r="AK48" s="50"/>
    </row>
    <row r="49" spans="1:41" x14ac:dyDescent="0.25">
      <c r="A49" s="54" t="s">
        <v>57</v>
      </c>
      <c r="B49" s="57">
        <v>0</v>
      </c>
      <c r="C49" s="57">
        <v>0</v>
      </c>
      <c r="D49" s="57">
        <v>0</v>
      </c>
      <c r="E49" s="57">
        <v>0</v>
      </c>
      <c r="F49" s="57">
        <v>0</v>
      </c>
      <c r="G49" s="57">
        <v>0</v>
      </c>
      <c r="H49" s="57">
        <v>15</v>
      </c>
      <c r="I49" s="57">
        <v>26</v>
      </c>
      <c r="J49" s="57">
        <v>26</v>
      </c>
      <c r="K49" s="57">
        <v>26</v>
      </c>
      <c r="L49" s="57">
        <v>30</v>
      </c>
      <c r="M49" s="57">
        <v>30</v>
      </c>
      <c r="N49" s="45">
        <v>30</v>
      </c>
      <c r="O49" s="45">
        <v>30</v>
      </c>
      <c r="P49" s="45">
        <v>15</v>
      </c>
      <c r="Q49" s="45">
        <v>15</v>
      </c>
      <c r="R49" s="45">
        <v>15</v>
      </c>
      <c r="S49" s="45">
        <v>15</v>
      </c>
      <c r="T49" s="45">
        <v>15</v>
      </c>
      <c r="U49" s="45">
        <v>15</v>
      </c>
      <c r="V49" s="45">
        <v>15</v>
      </c>
      <c r="W49" s="45">
        <v>15</v>
      </c>
      <c r="X49" s="65">
        <v>30</v>
      </c>
      <c r="Y49" s="65">
        <v>30</v>
      </c>
      <c r="Z49" s="65">
        <v>30</v>
      </c>
      <c r="AA49" s="65">
        <v>30</v>
      </c>
      <c r="AB49" s="65">
        <v>30</v>
      </c>
      <c r="AC49" s="65">
        <v>14</v>
      </c>
      <c r="AD49" s="65">
        <v>14</v>
      </c>
      <c r="AE49" s="57">
        <v>0</v>
      </c>
      <c r="AF49" s="57">
        <v>0</v>
      </c>
      <c r="AG49" s="55">
        <v>30</v>
      </c>
      <c r="AH49" s="48">
        <f t="shared" si="2"/>
        <v>30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3</v>
      </c>
      <c r="N50" s="65">
        <v>5</v>
      </c>
      <c r="O50" s="65">
        <v>6</v>
      </c>
      <c r="P50" s="65">
        <v>8</v>
      </c>
      <c r="Q50" s="65">
        <v>10</v>
      </c>
      <c r="R50" s="45">
        <v>15</v>
      </c>
      <c r="S50" s="45">
        <v>15</v>
      </c>
      <c r="T50" s="45">
        <v>15</v>
      </c>
      <c r="U50" s="45">
        <v>15</v>
      </c>
      <c r="V50" s="45">
        <v>15</v>
      </c>
      <c r="W50" s="45">
        <v>15</v>
      </c>
      <c r="X50" s="45">
        <v>0</v>
      </c>
      <c r="Y50" s="45">
        <v>0</v>
      </c>
      <c r="Z50" s="45">
        <v>0</v>
      </c>
      <c r="AA50" s="45">
        <v>0</v>
      </c>
      <c r="AB50" s="45">
        <v>0</v>
      </c>
      <c r="AC50" s="45">
        <v>0</v>
      </c>
      <c r="AD50" s="45">
        <v>0</v>
      </c>
      <c r="AE50" s="45">
        <v>0</v>
      </c>
      <c r="AF50" s="45">
        <v>0</v>
      </c>
      <c r="AG50" s="55">
        <v>25</v>
      </c>
      <c r="AH50" s="48">
        <f t="shared" si="2"/>
        <v>15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14.7</v>
      </c>
      <c r="C51" s="65">
        <v>14.7</v>
      </c>
      <c r="D51" s="65">
        <v>14.7</v>
      </c>
      <c r="E51" s="65">
        <v>14.7</v>
      </c>
      <c r="F51" s="65">
        <v>14.7</v>
      </c>
      <c r="G51" s="65">
        <v>14.7</v>
      </c>
      <c r="H51" s="65">
        <v>14.7</v>
      </c>
      <c r="I51" s="65">
        <v>14.6</v>
      </c>
      <c r="J51" s="65">
        <v>14.6</v>
      </c>
      <c r="K51" s="65">
        <v>14.6</v>
      </c>
      <c r="L51" s="65">
        <v>14.6</v>
      </c>
      <c r="M51" s="65">
        <v>14.6</v>
      </c>
      <c r="N51" s="65">
        <v>14.5</v>
      </c>
      <c r="O51" s="65">
        <v>14.5</v>
      </c>
      <c r="P51" s="65">
        <v>14.8</v>
      </c>
      <c r="Q51" s="65">
        <v>9.1</v>
      </c>
      <c r="R51" s="45">
        <v>11.8</v>
      </c>
      <c r="S51" s="45">
        <v>14.4</v>
      </c>
      <c r="T51" s="45">
        <v>14.4</v>
      </c>
      <c r="U51" s="45">
        <v>14.4</v>
      </c>
      <c r="V51" s="45">
        <v>14.4</v>
      </c>
      <c r="W51" s="45">
        <v>14.4</v>
      </c>
      <c r="X51" s="45">
        <v>14.4</v>
      </c>
      <c r="Y51" s="45">
        <v>14.4</v>
      </c>
      <c r="Z51" s="45">
        <v>14.4</v>
      </c>
      <c r="AA51" s="45">
        <v>14.4</v>
      </c>
      <c r="AB51" s="45">
        <v>14.4</v>
      </c>
      <c r="AC51" s="45">
        <v>14.4</v>
      </c>
      <c r="AD51" s="45">
        <v>14.4</v>
      </c>
      <c r="AE51" s="45">
        <v>14.4</v>
      </c>
      <c r="AF51" s="45">
        <v>14.4</v>
      </c>
      <c r="AG51" s="55">
        <v>24</v>
      </c>
      <c r="AH51" s="48">
        <f t="shared" si="2"/>
        <v>14.8</v>
      </c>
      <c r="AI51" s="49">
        <f t="shared" si="3"/>
        <v>9.1</v>
      </c>
      <c r="AK51" s="50"/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11.7</v>
      </c>
      <c r="C53" s="65">
        <v>11.7</v>
      </c>
      <c r="D53" s="65">
        <v>11.7</v>
      </c>
      <c r="E53" s="65">
        <v>11.7</v>
      </c>
      <c r="F53" s="65">
        <v>11.7</v>
      </c>
      <c r="G53" s="65">
        <v>11.7</v>
      </c>
      <c r="H53" s="65">
        <v>11.7</v>
      </c>
      <c r="I53" s="65">
        <v>10.9</v>
      </c>
      <c r="J53" s="65">
        <v>10.9</v>
      </c>
      <c r="K53" s="65">
        <v>10.9</v>
      </c>
      <c r="L53" s="65">
        <v>10.9</v>
      </c>
      <c r="M53" s="65">
        <v>10.9</v>
      </c>
      <c r="N53" s="65">
        <v>11.2</v>
      </c>
      <c r="O53" s="65">
        <v>11.2</v>
      </c>
      <c r="P53" s="65">
        <v>11.7</v>
      </c>
      <c r="Q53" s="65">
        <v>8.3000000000000007</v>
      </c>
      <c r="R53" s="65">
        <v>6.8</v>
      </c>
      <c r="S53" s="65">
        <v>9.4</v>
      </c>
      <c r="T53" s="65">
        <v>10.4</v>
      </c>
      <c r="U53" s="65">
        <v>10.4</v>
      </c>
      <c r="V53" s="65">
        <v>10.4</v>
      </c>
      <c r="W53" s="65">
        <v>10.4</v>
      </c>
      <c r="X53" s="65">
        <v>10.4</v>
      </c>
      <c r="Y53" s="65">
        <v>10.4</v>
      </c>
      <c r="Z53" s="65">
        <v>10.4</v>
      </c>
      <c r="AA53" s="65">
        <v>10.4</v>
      </c>
      <c r="AB53" s="65">
        <v>10.4</v>
      </c>
      <c r="AC53" s="65">
        <v>10.4</v>
      </c>
      <c r="AD53" s="65">
        <v>10.4</v>
      </c>
      <c r="AE53" s="65">
        <v>10.4</v>
      </c>
      <c r="AF53" s="65">
        <v>10.4</v>
      </c>
      <c r="AG53" s="55">
        <v>14.1</v>
      </c>
      <c r="AH53" s="48">
        <f t="shared" si="2"/>
        <v>11.7</v>
      </c>
      <c r="AI53" s="49">
        <f t="shared" si="3"/>
        <v>6.8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7.1</v>
      </c>
      <c r="C54" s="65">
        <v>7.1</v>
      </c>
      <c r="D54" s="65">
        <v>8.3000000000000007</v>
      </c>
      <c r="E54" s="65">
        <v>8.3000000000000007</v>
      </c>
      <c r="F54" s="65">
        <v>8.3000000000000007</v>
      </c>
      <c r="G54" s="65">
        <v>8.3000000000000007</v>
      </c>
      <c r="H54" s="65">
        <v>8.3000000000000007</v>
      </c>
      <c r="I54" s="65">
        <v>13.8</v>
      </c>
      <c r="J54" s="65">
        <v>13.8</v>
      </c>
      <c r="K54" s="65">
        <v>13.8</v>
      </c>
      <c r="L54" s="65">
        <v>13.8</v>
      </c>
      <c r="M54" s="65">
        <v>13.8</v>
      </c>
      <c r="N54" s="65">
        <v>11.7</v>
      </c>
      <c r="O54" s="65">
        <v>11.7</v>
      </c>
      <c r="P54" s="65">
        <v>11.7</v>
      </c>
      <c r="Q54" s="65">
        <v>11.8</v>
      </c>
      <c r="R54" s="65">
        <v>11.7</v>
      </c>
      <c r="S54" s="65">
        <v>7</v>
      </c>
      <c r="T54" s="65">
        <v>7</v>
      </c>
      <c r="U54" s="65">
        <v>7</v>
      </c>
      <c r="V54" s="65">
        <v>13</v>
      </c>
      <c r="W54" s="65">
        <v>13</v>
      </c>
      <c r="X54" s="65">
        <v>14</v>
      </c>
      <c r="Y54" s="65">
        <v>14</v>
      </c>
      <c r="Z54" s="65">
        <v>14</v>
      </c>
      <c r="AA54" s="65">
        <v>14</v>
      </c>
      <c r="AB54" s="65">
        <v>14</v>
      </c>
      <c r="AC54" s="65">
        <v>14</v>
      </c>
      <c r="AD54" s="65">
        <v>14</v>
      </c>
      <c r="AE54" s="65">
        <v>14</v>
      </c>
      <c r="AF54" s="65">
        <v>14</v>
      </c>
      <c r="AG54" s="55">
        <v>14</v>
      </c>
      <c r="AH54" s="48">
        <f t="shared" si="2"/>
        <v>14</v>
      </c>
      <c r="AI54" s="49">
        <f t="shared" si="3"/>
        <v>7</v>
      </c>
      <c r="AK54" s="50"/>
    </row>
    <row r="55" spans="1:41" x14ac:dyDescent="0.25">
      <c r="A55" s="54" t="s">
        <v>63</v>
      </c>
      <c r="B55" s="65">
        <v>6.7</v>
      </c>
      <c r="C55" s="65">
        <v>6.7</v>
      </c>
      <c r="D55" s="65">
        <v>6.7</v>
      </c>
      <c r="E55" s="65">
        <v>6.7</v>
      </c>
      <c r="F55" s="65">
        <v>6.7</v>
      </c>
      <c r="G55" s="65">
        <v>6.7</v>
      </c>
      <c r="H55" s="65">
        <v>6.7</v>
      </c>
      <c r="I55" s="65">
        <v>6.7</v>
      </c>
      <c r="J55" s="65">
        <v>6.7</v>
      </c>
      <c r="K55" s="65">
        <v>6.7</v>
      </c>
      <c r="L55" s="65">
        <v>6.7</v>
      </c>
      <c r="M55" s="65">
        <v>6.7</v>
      </c>
      <c r="N55" s="65">
        <v>6.7</v>
      </c>
      <c r="O55" s="65">
        <v>6.7</v>
      </c>
      <c r="P55" s="65">
        <v>9</v>
      </c>
      <c r="Q55" s="65">
        <v>9</v>
      </c>
      <c r="R55" s="65">
        <v>9</v>
      </c>
      <c r="S55" s="65">
        <v>6.6</v>
      </c>
      <c r="T55" s="65">
        <v>6.6</v>
      </c>
      <c r="U55" s="65">
        <v>6.6</v>
      </c>
      <c r="V55" s="65">
        <v>6.6</v>
      </c>
      <c r="W55" s="65">
        <v>6.6</v>
      </c>
      <c r="X55" s="65">
        <v>6.6</v>
      </c>
      <c r="Y55" s="65">
        <v>6.6</v>
      </c>
      <c r="Z55" s="65">
        <v>6.6</v>
      </c>
      <c r="AA55" s="65">
        <v>6.6</v>
      </c>
      <c r="AB55" s="65">
        <v>6.6</v>
      </c>
      <c r="AC55" s="65">
        <v>6.6</v>
      </c>
      <c r="AD55" s="65">
        <v>6.6</v>
      </c>
      <c r="AE55" s="65">
        <v>6.6</v>
      </c>
      <c r="AF55" s="65">
        <v>6.6</v>
      </c>
      <c r="AG55" s="55">
        <v>10.050000000000001</v>
      </c>
      <c r="AH55" s="48">
        <f t="shared" si="2"/>
        <v>9</v>
      </c>
      <c r="AI55" s="49">
        <f t="shared" si="3"/>
        <v>6.6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v>291.44</v>
      </c>
      <c r="C58" s="61">
        <f t="shared" ref="C58:AG58" si="7">SUM(C45:C57)</f>
        <v>281.54000000000002</v>
      </c>
      <c r="D58" s="61">
        <f t="shared" si="7"/>
        <v>266.44</v>
      </c>
      <c r="E58" s="61">
        <f t="shared" si="7"/>
        <v>317.83999999999997</v>
      </c>
      <c r="F58" s="61">
        <f t="shared" si="7"/>
        <v>330.53999999999996</v>
      </c>
      <c r="G58" s="61">
        <f t="shared" si="7"/>
        <v>345.53999999999996</v>
      </c>
      <c r="H58" s="61">
        <f t="shared" si="7"/>
        <v>411.94</v>
      </c>
      <c r="I58" s="61">
        <f t="shared" si="7"/>
        <v>426.34</v>
      </c>
      <c r="J58" s="61">
        <f t="shared" si="7"/>
        <v>423.74</v>
      </c>
      <c r="K58" s="61">
        <f t="shared" si="7"/>
        <v>426.74</v>
      </c>
      <c r="L58" s="61">
        <f t="shared" si="7"/>
        <v>432.43999999999994</v>
      </c>
      <c r="M58" s="61">
        <f t="shared" si="7"/>
        <v>435.43999999999994</v>
      </c>
      <c r="N58" s="61">
        <f t="shared" si="7"/>
        <v>436.73999999999995</v>
      </c>
      <c r="O58" s="61">
        <f t="shared" si="7"/>
        <v>437.73999999999995</v>
      </c>
      <c r="P58" s="61">
        <f t="shared" si="7"/>
        <v>424.53999999999996</v>
      </c>
      <c r="Q58" s="61">
        <f t="shared" si="7"/>
        <v>418.44000000000005</v>
      </c>
      <c r="R58" s="61">
        <f t="shared" si="7"/>
        <v>426.73999999999995</v>
      </c>
      <c r="S58" s="61">
        <f t="shared" si="7"/>
        <v>424.83999999999992</v>
      </c>
      <c r="T58" s="61">
        <f t="shared" si="7"/>
        <v>425.83999999999992</v>
      </c>
      <c r="U58" s="61">
        <f t="shared" si="7"/>
        <v>425.83999999999992</v>
      </c>
      <c r="V58" s="61">
        <f t="shared" si="7"/>
        <v>431.83999999999992</v>
      </c>
      <c r="W58" s="61">
        <f t="shared" si="7"/>
        <v>431.83999999999992</v>
      </c>
      <c r="X58" s="61">
        <f t="shared" si="7"/>
        <v>432.83999999999992</v>
      </c>
      <c r="Y58" s="61">
        <f t="shared" si="7"/>
        <v>432.83999999999992</v>
      </c>
      <c r="Z58" s="61">
        <f t="shared" si="7"/>
        <v>432.83999999999992</v>
      </c>
      <c r="AA58" s="61">
        <f t="shared" si="7"/>
        <v>433.93999999999994</v>
      </c>
      <c r="AB58" s="61">
        <f t="shared" si="7"/>
        <v>433.93999999999994</v>
      </c>
      <c r="AC58" s="61">
        <f t="shared" si="7"/>
        <v>417.53999999999996</v>
      </c>
      <c r="AD58" s="61">
        <f t="shared" si="7"/>
        <v>417.53999999999996</v>
      </c>
      <c r="AE58" s="61">
        <f t="shared" si="7"/>
        <v>359.14</v>
      </c>
      <c r="AF58" s="61">
        <f t="shared" si="7"/>
        <v>328.14</v>
      </c>
      <c r="AG58" s="62">
        <f t="shared" si="7"/>
        <v>489.91</v>
      </c>
      <c r="AH58" s="48">
        <f t="shared" si="2"/>
        <v>437.73999999999995</v>
      </c>
      <c r="AI58" s="49">
        <f t="shared" si="3"/>
        <v>266.44</v>
      </c>
      <c r="AK58" s="50"/>
    </row>
    <row r="59" spans="1:41" x14ac:dyDescent="0.25">
      <c r="A59" s="44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v>0</v>
      </c>
      <c r="C62" s="61">
        <f t="shared" ref="C62:AG62" si="8">SUM(C59:C61)</f>
        <v>0</v>
      </c>
      <c r="D62" s="61">
        <f t="shared" si="8"/>
        <v>0</v>
      </c>
      <c r="E62" s="61">
        <f t="shared" si="8"/>
        <v>0</v>
      </c>
      <c r="F62" s="61">
        <f t="shared" si="8"/>
        <v>0</v>
      </c>
      <c r="G62" s="61">
        <f t="shared" si="8"/>
        <v>0</v>
      </c>
      <c r="H62" s="61">
        <f t="shared" si="8"/>
        <v>0</v>
      </c>
      <c r="I62" s="61">
        <f t="shared" si="8"/>
        <v>0</v>
      </c>
      <c r="J62" s="61">
        <f t="shared" si="8"/>
        <v>0</v>
      </c>
      <c r="K62" s="61">
        <f t="shared" si="8"/>
        <v>0</v>
      </c>
      <c r="L62" s="61">
        <f t="shared" si="8"/>
        <v>0</v>
      </c>
      <c r="M62" s="61">
        <f t="shared" si="8"/>
        <v>0</v>
      </c>
      <c r="N62" s="61">
        <f t="shared" si="8"/>
        <v>0</v>
      </c>
      <c r="O62" s="61">
        <f t="shared" si="8"/>
        <v>0</v>
      </c>
      <c r="P62" s="61">
        <f t="shared" si="8"/>
        <v>0</v>
      </c>
      <c r="Q62" s="61">
        <f t="shared" si="8"/>
        <v>0</v>
      </c>
      <c r="R62" s="61">
        <f t="shared" si="8"/>
        <v>0</v>
      </c>
      <c r="S62" s="61">
        <f t="shared" si="8"/>
        <v>0</v>
      </c>
      <c r="T62" s="61">
        <f t="shared" si="8"/>
        <v>0</v>
      </c>
      <c r="U62" s="61">
        <f t="shared" si="8"/>
        <v>0</v>
      </c>
      <c r="V62" s="61">
        <f t="shared" si="8"/>
        <v>0</v>
      </c>
      <c r="W62" s="61">
        <f t="shared" si="8"/>
        <v>0</v>
      </c>
      <c r="X62" s="61">
        <f t="shared" si="8"/>
        <v>0</v>
      </c>
      <c r="Y62" s="61">
        <f t="shared" si="8"/>
        <v>0</v>
      </c>
      <c r="Z62" s="61">
        <f t="shared" si="8"/>
        <v>0</v>
      </c>
      <c r="AA62" s="61">
        <f t="shared" si="8"/>
        <v>0</v>
      </c>
      <c r="AB62" s="61">
        <f t="shared" si="8"/>
        <v>0</v>
      </c>
      <c r="AC62" s="61">
        <f t="shared" si="8"/>
        <v>0</v>
      </c>
      <c r="AD62" s="61">
        <f t="shared" si="8"/>
        <v>0</v>
      </c>
      <c r="AE62" s="61">
        <f t="shared" si="8"/>
        <v>0</v>
      </c>
      <c r="AF62" s="61">
        <f t="shared" si="8"/>
        <v>0</v>
      </c>
      <c r="AG62" s="62">
        <f t="shared" si="8"/>
        <v>106</v>
      </c>
      <c r="AH62" s="48">
        <f t="shared" si="2"/>
        <v>0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-400</v>
      </c>
      <c r="C65" s="65">
        <v>-300</v>
      </c>
      <c r="D65" s="65">
        <v>-277</v>
      </c>
      <c r="E65" s="65">
        <v>-250</v>
      </c>
      <c r="F65" s="65">
        <v>-265</v>
      </c>
      <c r="G65" s="65">
        <v>-252</v>
      </c>
      <c r="H65" s="65">
        <v>-257</v>
      </c>
      <c r="I65" s="65">
        <v>-325</v>
      </c>
      <c r="J65" s="65">
        <v>-310</v>
      </c>
      <c r="K65" s="65">
        <v>-323</v>
      </c>
      <c r="L65" s="65">
        <v>-320</v>
      </c>
      <c r="M65" s="65">
        <v>-331</v>
      </c>
      <c r="N65" s="65">
        <v>-334</v>
      </c>
      <c r="O65" s="65">
        <v>-255.5</v>
      </c>
      <c r="P65" s="65">
        <v>-255.5</v>
      </c>
      <c r="Q65" s="65">
        <v>-262.10000000000002</v>
      </c>
      <c r="R65" s="65">
        <v>-191.6</v>
      </c>
      <c r="S65" s="65">
        <v>-191.6</v>
      </c>
      <c r="T65" s="65">
        <v>-201</v>
      </c>
      <c r="U65" s="65">
        <v>-262</v>
      </c>
      <c r="V65" s="65">
        <v>-216</v>
      </c>
      <c r="W65" s="65">
        <v>-264</v>
      </c>
      <c r="X65" s="65">
        <v>-292</v>
      </c>
      <c r="Y65" s="65">
        <v>-330</v>
      </c>
      <c r="Z65" s="65">
        <v>-374</v>
      </c>
      <c r="AA65" s="65">
        <v>-405</v>
      </c>
      <c r="AB65" s="65">
        <v>-400</v>
      </c>
      <c r="AC65" s="65">
        <v>-306</v>
      </c>
      <c r="AD65" s="65">
        <v>-340</v>
      </c>
      <c r="AE65" s="65">
        <v>-320</v>
      </c>
      <c r="AF65" s="65">
        <v>-330</v>
      </c>
      <c r="AG65" s="75"/>
      <c r="AH65" s="48">
        <f t="shared" si="2"/>
        <v>-191.6</v>
      </c>
      <c r="AI65" s="49">
        <f t="shared" si="3"/>
        <v>-405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76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>
        <v>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6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6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7">
        <v>0</v>
      </c>
      <c r="S70" s="77">
        <v>0</v>
      </c>
      <c r="T70" s="77">
        <v>0</v>
      </c>
      <c r="U70" s="77">
        <v>0</v>
      </c>
      <c r="V70" s="77">
        <v>0</v>
      </c>
      <c r="W70" s="77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7">
        <v>0</v>
      </c>
      <c r="S71" s="77">
        <v>0</v>
      </c>
      <c r="T71" s="77">
        <v>0</v>
      </c>
      <c r="U71" s="77">
        <v>0</v>
      </c>
      <c r="V71" s="77">
        <v>0</v>
      </c>
      <c r="W71" s="77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9">
        <v>0</v>
      </c>
      <c r="C72" s="79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6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9">
        <v>0</v>
      </c>
      <c r="C73" s="79">
        <v>0</v>
      </c>
      <c r="D73" s="79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6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v>0</v>
      </c>
      <c r="C74" s="61">
        <f t="shared" ref="C74:AF74" si="9">SUMIF(C63:C73,"&gt;0")</f>
        <v>0</v>
      </c>
      <c r="D74" s="61">
        <f t="shared" si="9"/>
        <v>0</v>
      </c>
      <c r="E74" s="61">
        <f t="shared" si="9"/>
        <v>0</v>
      </c>
      <c r="F74" s="61">
        <f t="shared" si="9"/>
        <v>0</v>
      </c>
      <c r="G74" s="61">
        <f t="shared" si="9"/>
        <v>0</v>
      </c>
      <c r="H74" s="61">
        <f t="shared" si="9"/>
        <v>0</v>
      </c>
      <c r="I74" s="61">
        <f t="shared" si="9"/>
        <v>0</v>
      </c>
      <c r="J74" s="61">
        <f t="shared" si="9"/>
        <v>0</v>
      </c>
      <c r="K74" s="61">
        <f t="shared" si="9"/>
        <v>0</v>
      </c>
      <c r="L74" s="61">
        <f t="shared" si="9"/>
        <v>0</v>
      </c>
      <c r="M74" s="61">
        <f t="shared" si="9"/>
        <v>0</v>
      </c>
      <c r="N74" s="61">
        <f t="shared" si="9"/>
        <v>0</v>
      </c>
      <c r="O74" s="61">
        <f t="shared" si="9"/>
        <v>0</v>
      </c>
      <c r="P74" s="61">
        <f t="shared" si="9"/>
        <v>0</v>
      </c>
      <c r="Q74" s="61">
        <f t="shared" si="9"/>
        <v>0</v>
      </c>
      <c r="R74" s="61">
        <f t="shared" si="9"/>
        <v>0</v>
      </c>
      <c r="S74" s="61">
        <f t="shared" si="9"/>
        <v>0</v>
      </c>
      <c r="T74" s="61">
        <f t="shared" si="9"/>
        <v>0</v>
      </c>
      <c r="U74" s="61">
        <f t="shared" si="9"/>
        <v>0</v>
      </c>
      <c r="V74" s="61">
        <f t="shared" si="9"/>
        <v>0</v>
      </c>
      <c r="W74" s="61">
        <f t="shared" si="9"/>
        <v>0</v>
      </c>
      <c r="X74" s="61">
        <f t="shared" si="9"/>
        <v>0</v>
      </c>
      <c r="Y74" s="61">
        <f t="shared" si="9"/>
        <v>0</v>
      </c>
      <c r="Z74" s="61">
        <f t="shared" si="9"/>
        <v>0</v>
      </c>
      <c r="AA74" s="61">
        <f t="shared" si="9"/>
        <v>0</v>
      </c>
      <c r="AB74" s="61">
        <f t="shared" si="9"/>
        <v>0</v>
      </c>
      <c r="AC74" s="61">
        <f t="shared" si="9"/>
        <v>0</v>
      </c>
      <c r="AD74" s="61">
        <f t="shared" si="9"/>
        <v>0</v>
      </c>
      <c r="AE74" s="61">
        <f t="shared" si="9"/>
        <v>0</v>
      </c>
      <c r="AF74" s="61">
        <f t="shared" si="9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44" t="s">
        <v>83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5">
        <v>14.4</v>
      </c>
      <c r="AH76" s="48">
        <f t="shared" ref="AH76:AH109" si="10">MAX(B76:AF76)</f>
        <v>0</v>
      </c>
      <c r="AI76" s="49">
        <f t="shared" ref="AI76:AI109" si="11">MIN(B76:AF76)</f>
        <v>0</v>
      </c>
      <c r="AK76" s="50"/>
    </row>
    <row r="77" spans="1:37" ht="15.75" thickBot="1" x14ac:dyDescent="0.3">
      <c r="A77" s="78" t="s">
        <v>85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80">
        <v>2</v>
      </c>
      <c r="AH77" s="48">
        <f t="shared" si="10"/>
        <v>0</v>
      </c>
      <c r="AI77" s="49">
        <f t="shared" si="11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10"/>
        <v>0</v>
      </c>
      <c r="AI78" s="49">
        <f t="shared" si="11"/>
        <v>0</v>
      </c>
    </row>
    <row r="79" spans="1:37" ht="15.75" thickBot="1" x14ac:dyDescent="0.3">
      <c r="A79" s="74" t="s">
        <v>87</v>
      </c>
      <c r="B79" s="83">
        <v>1687.24</v>
      </c>
      <c r="C79" s="83">
        <f t="shared" ref="C79:AG79" si="12">C40+C44+C62+C58+C74+C78</f>
        <v>1192.74</v>
      </c>
      <c r="D79" s="83">
        <f t="shared" si="12"/>
        <v>1147.6399999999999</v>
      </c>
      <c r="E79" s="83">
        <f t="shared" si="12"/>
        <v>1175.94</v>
      </c>
      <c r="F79" s="83">
        <f t="shared" si="12"/>
        <v>1173.54</v>
      </c>
      <c r="G79" s="83">
        <f t="shared" si="12"/>
        <v>1208.54</v>
      </c>
      <c r="H79" s="83">
        <f t="shared" si="12"/>
        <v>1289.94</v>
      </c>
      <c r="I79" s="83">
        <f t="shared" si="12"/>
        <v>1403.34</v>
      </c>
      <c r="J79" s="83">
        <f t="shared" si="12"/>
        <v>1427.04</v>
      </c>
      <c r="K79" s="83">
        <f t="shared" si="12"/>
        <v>1551.04</v>
      </c>
      <c r="L79" s="83">
        <f t="shared" si="12"/>
        <v>1593.7400000000002</v>
      </c>
      <c r="M79" s="83">
        <f t="shared" si="12"/>
        <v>1596.7400000000002</v>
      </c>
      <c r="N79" s="83">
        <f t="shared" si="12"/>
        <v>1522.34</v>
      </c>
      <c r="O79" s="83">
        <f t="shared" si="12"/>
        <v>1490.24</v>
      </c>
      <c r="P79" s="83">
        <f t="shared" si="12"/>
        <v>1362.04</v>
      </c>
      <c r="Q79" s="83">
        <f t="shared" si="12"/>
        <v>1287.24</v>
      </c>
      <c r="R79" s="83">
        <f t="shared" si="12"/>
        <v>1243.3399999999999</v>
      </c>
      <c r="S79" s="83">
        <f t="shared" si="12"/>
        <v>1268.4399999999998</v>
      </c>
      <c r="T79" s="83">
        <f t="shared" si="12"/>
        <v>1289.8399999999999</v>
      </c>
      <c r="U79" s="83">
        <f t="shared" si="12"/>
        <v>1435.7399999999998</v>
      </c>
      <c r="V79" s="83">
        <f t="shared" si="12"/>
        <v>1441.7399999999998</v>
      </c>
      <c r="W79" s="83">
        <f t="shared" si="12"/>
        <v>1550.1399999999999</v>
      </c>
      <c r="X79" s="83">
        <f t="shared" si="12"/>
        <v>1728.1399999999999</v>
      </c>
      <c r="Y79" s="83">
        <f t="shared" si="12"/>
        <v>1723.1399999999999</v>
      </c>
      <c r="Z79" s="83">
        <f t="shared" si="12"/>
        <v>1658.1399999999999</v>
      </c>
      <c r="AA79" s="83">
        <f t="shared" si="12"/>
        <v>1636.94</v>
      </c>
      <c r="AB79" s="83">
        <f t="shared" si="12"/>
        <v>1607.94</v>
      </c>
      <c r="AC79" s="83">
        <f t="shared" si="12"/>
        <v>1428.54</v>
      </c>
      <c r="AD79" s="83">
        <f t="shared" si="12"/>
        <v>1402.84</v>
      </c>
      <c r="AE79" s="83">
        <f t="shared" si="12"/>
        <v>1297.44</v>
      </c>
      <c r="AF79" s="83">
        <f t="shared" si="12"/>
        <v>1266.44</v>
      </c>
      <c r="AG79" s="62">
        <f t="shared" si="12"/>
        <v>1897.1900000000003</v>
      </c>
      <c r="AH79" s="48">
        <f t="shared" si="10"/>
        <v>1728.1399999999999</v>
      </c>
      <c r="AI79" s="49">
        <f t="shared" si="11"/>
        <v>1147.6399999999999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10"/>
        <v>0</v>
      </c>
      <c r="AI80" s="49">
        <f t="shared" si="11"/>
        <v>0</v>
      </c>
    </row>
    <row r="81" spans="1:37" ht="15.75" thickBot="1" x14ac:dyDescent="0.3">
      <c r="A81" s="74" t="s">
        <v>89</v>
      </c>
      <c r="B81" s="83">
        <v>1687.24</v>
      </c>
      <c r="C81" s="83">
        <f t="shared" ref="C81:AF81" si="13">C79+C80</f>
        <v>1192.74</v>
      </c>
      <c r="D81" s="83">
        <f t="shared" si="13"/>
        <v>1147.6399999999999</v>
      </c>
      <c r="E81" s="83">
        <f t="shared" si="13"/>
        <v>1175.94</v>
      </c>
      <c r="F81" s="83">
        <f t="shared" si="13"/>
        <v>1173.54</v>
      </c>
      <c r="G81" s="83">
        <f t="shared" si="13"/>
        <v>1208.54</v>
      </c>
      <c r="H81" s="83">
        <f t="shared" si="13"/>
        <v>1289.94</v>
      </c>
      <c r="I81" s="83">
        <f t="shared" si="13"/>
        <v>1403.34</v>
      </c>
      <c r="J81" s="83">
        <f t="shared" si="13"/>
        <v>1427.04</v>
      </c>
      <c r="K81" s="83">
        <f t="shared" si="13"/>
        <v>1551.04</v>
      </c>
      <c r="L81" s="83">
        <f t="shared" si="13"/>
        <v>1593.7400000000002</v>
      </c>
      <c r="M81" s="83">
        <f t="shared" si="13"/>
        <v>1596.7400000000002</v>
      </c>
      <c r="N81" s="83">
        <f t="shared" si="13"/>
        <v>1522.34</v>
      </c>
      <c r="O81" s="83">
        <f t="shared" si="13"/>
        <v>1490.24</v>
      </c>
      <c r="P81" s="83">
        <f t="shared" si="13"/>
        <v>1362.04</v>
      </c>
      <c r="Q81" s="83">
        <f t="shared" si="13"/>
        <v>1287.24</v>
      </c>
      <c r="R81" s="83">
        <f t="shared" si="13"/>
        <v>1243.3399999999999</v>
      </c>
      <c r="S81" s="83">
        <f t="shared" si="13"/>
        <v>1268.4399999999998</v>
      </c>
      <c r="T81" s="83">
        <f t="shared" si="13"/>
        <v>1289.8399999999999</v>
      </c>
      <c r="U81" s="83">
        <f t="shared" si="13"/>
        <v>1435.7399999999998</v>
      </c>
      <c r="V81" s="83">
        <f t="shared" si="13"/>
        <v>1441.7399999999998</v>
      </c>
      <c r="W81" s="83">
        <f t="shared" si="13"/>
        <v>1550.1399999999999</v>
      </c>
      <c r="X81" s="83">
        <f t="shared" si="13"/>
        <v>1728.1399999999999</v>
      </c>
      <c r="Y81" s="83">
        <f t="shared" si="13"/>
        <v>1723.1399999999999</v>
      </c>
      <c r="Z81" s="83">
        <f t="shared" si="13"/>
        <v>1658.1399999999999</v>
      </c>
      <c r="AA81" s="83">
        <f t="shared" si="13"/>
        <v>1636.94</v>
      </c>
      <c r="AB81" s="83">
        <f t="shared" si="13"/>
        <v>1607.94</v>
      </c>
      <c r="AC81" s="83">
        <f t="shared" si="13"/>
        <v>1428.54</v>
      </c>
      <c r="AD81" s="83">
        <f t="shared" si="13"/>
        <v>1402.84</v>
      </c>
      <c r="AE81" s="83">
        <f t="shared" si="13"/>
        <v>1297.44</v>
      </c>
      <c r="AF81" s="83">
        <f t="shared" si="13"/>
        <v>1266.44</v>
      </c>
      <c r="AG81" s="81">
        <f>AG78+AG74+AG62+AG58+AG40+AG80</f>
        <v>1359.0900000000001</v>
      </c>
      <c r="AH81" s="48">
        <f t="shared" si="10"/>
        <v>1728.1399999999999</v>
      </c>
      <c r="AI81" s="49">
        <f t="shared" si="11"/>
        <v>1147.6399999999999</v>
      </c>
    </row>
    <row r="82" spans="1:37" ht="15.75" thickBot="1" x14ac:dyDescent="0.3">
      <c r="A82" s="74" t="s">
        <v>90</v>
      </c>
      <c r="B82" s="83">
        <v>1302.24</v>
      </c>
      <c r="C82" s="83">
        <f t="shared" ref="C82:AF82" si="14">C81-C89</f>
        <v>892.74</v>
      </c>
      <c r="D82" s="83">
        <f t="shared" si="14"/>
        <v>870.63999999999987</v>
      </c>
      <c r="E82" s="83">
        <f t="shared" si="14"/>
        <v>925.94</v>
      </c>
      <c r="F82" s="83">
        <f t="shared" si="14"/>
        <v>908.54</v>
      </c>
      <c r="G82" s="83">
        <f t="shared" si="14"/>
        <v>956.54</v>
      </c>
      <c r="H82" s="83">
        <f t="shared" si="14"/>
        <v>1032.94</v>
      </c>
      <c r="I82" s="83">
        <f t="shared" si="14"/>
        <v>1078.3399999999999</v>
      </c>
      <c r="J82" s="83">
        <f t="shared" si="14"/>
        <v>1117.04</v>
      </c>
      <c r="K82" s="83">
        <f t="shared" si="14"/>
        <v>1228.04</v>
      </c>
      <c r="L82" s="83">
        <f t="shared" si="14"/>
        <v>1273.7400000000002</v>
      </c>
      <c r="M82" s="83">
        <f t="shared" si="14"/>
        <v>1265.7400000000002</v>
      </c>
      <c r="N82" s="83">
        <f t="shared" si="14"/>
        <v>1188.3399999999999</v>
      </c>
      <c r="O82" s="83">
        <f t="shared" si="14"/>
        <v>1234.74</v>
      </c>
      <c r="P82" s="83">
        <f t="shared" si="14"/>
        <v>1106.54</v>
      </c>
      <c r="Q82" s="83">
        <f t="shared" si="14"/>
        <v>1025.1399999999999</v>
      </c>
      <c r="R82" s="83">
        <f t="shared" si="14"/>
        <v>1051.74</v>
      </c>
      <c r="S82" s="83">
        <f t="shared" si="14"/>
        <v>1076.8399999999999</v>
      </c>
      <c r="T82" s="83">
        <f t="shared" si="14"/>
        <v>1088.8399999999999</v>
      </c>
      <c r="U82" s="83">
        <f t="shared" si="14"/>
        <v>1173.7399999999998</v>
      </c>
      <c r="V82" s="83">
        <f t="shared" si="14"/>
        <v>1225.7399999999998</v>
      </c>
      <c r="W82" s="83">
        <f t="shared" si="14"/>
        <v>1286.1399999999999</v>
      </c>
      <c r="X82" s="83">
        <f t="shared" si="14"/>
        <v>1436.1399999999999</v>
      </c>
      <c r="Y82" s="83">
        <f t="shared" si="14"/>
        <v>1393.1399999999999</v>
      </c>
      <c r="Z82" s="83">
        <f t="shared" si="14"/>
        <v>1284.1399999999999</v>
      </c>
      <c r="AA82" s="83">
        <f t="shared" si="14"/>
        <v>1231.94</v>
      </c>
      <c r="AB82" s="83">
        <f t="shared" si="14"/>
        <v>1207.94</v>
      </c>
      <c r="AC82" s="83">
        <f t="shared" si="14"/>
        <v>1122.54</v>
      </c>
      <c r="AD82" s="83">
        <f t="shared" si="14"/>
        <v>1062.8399999999999</v>
      </c>
      <c r="AE82" s="83">
        <f t="shared" si="14"/>
        <v>977.44</v>
      </c>
      <c r="AF82" s="83">
        <f t="shared" si="14"/>
        <v>936.44</v>
      </c>
      <c r="AG82" s="81"/>
      <c r="AH82" s="48">
        <f t="shared" si="10"/>
        <v>1436.1399999999999</v>
      </c>
      <c r="AI82" s="49">
        <f t="shared" si="11"/>
        <v>870.63999999999987</v>
      </c>
    </row>
    <row r="83" spans="1:37" x14ac:dyDescent="0.25">
      <c r="A83" s="44" t="s">
        <v>74</v>
      </c>
      <c r="B83" s="76">
        <v>0</v>
      </c>
      <c r="C83" s="76">
        <f t="shared" ref="C83:AF83" si="15">IF(C66&lt;0,C66*-1,0)</f>
        <v>0</v>
      </c>
      <c r="D83" s="76">
        <f t="shared" si="15"/>
        <v>0</v>
      </c>
      <c r="E83" s="76">
        <f t="shared" si="15"/>
        <v>0</v>
      </c>
      <c r="F83" s="76">
        <f t="shared" si="15"/>
        <v>0</v>
      </c>
      <c r="G83" s="76">
        <f t="shared" si="15"/>
        <v>0</v>
      </c>
      <c r="H83" s="76">
        <f t="shared" si="15"/>
        <v>0</v>
      </c>
      <c r="I83" s="76">
        <f t="shared" si="15"/>
        <v>0</v>
      </c>
      <c r="J83" s="76">
        <f t="shared" si="15"/>
        <v>0</v>
      </c>
      <c r="K83" s="76">
        <f t="shared" si="15"/>
        <v>0</v>
      </c>
      <c r="L83" s="76">
        <f t="shared" si="15"/>
        <v>0</v>
      </c>
      <c r="M83" s="76">
        <f t="shared" si="15"/>
        <v>0</v>
      </c>
      <c r="N83" s="76">
        <f t="shared" si="15"/>
        <v>0</v>
      </c>
      <c r="O83" s="76">
        <f t="shared" si="15"/>
        <v>0</v>
      </c>
      <c r="P83" s="76">
        <f t="shared" si="15"/>
        <v>0</v>
      </c>
      <c r="Q83" s="76">
        <f t="shared" si="15"/>
        <v>0</v>
      </c>
      <c r="R83" s="76">
        <f t="shared" si="15"/>
        <v>0</v>
      </c>
      <c r="S83" s="76">
        <f t="shared" si="15"/>
        <v>0</v>
      </c>
      <c r="T83" s="76">
        <f t="shared" si="15"/>
        <v>0</v>
      </c>
      <c r="U83" s="76">
        <f t="shared" si="15"/>
        <v>0</v>
      </c>
      <c r="V83" s="76">
        <f t="shared" si="15"/>
        <v>0</v>
      </c>
      <c r="W83" s="76">
        <f t="shared" si="15"/>
        <v>0</v>
      </c>
      <c r="X83" s="76">
        <f t="shared" si="15"/>
        <v>0</v>
      </c>
      <c r="Y83" s="76">
        <f t="shared" si="15"/>
        <v>0</v>
      </c>
      <c r="Z83" s="76">
        <f t="shared" si="15"/>
        <v>0</v>
      </c>
      <c r="AA83" s="76">
        <f t="shared" si="15"/>
        <v>0</v>
      </c>
      <c r="AB83" s="76">
        <f t="shared" si="15"/>
        <v>0</v>
      </c>
      <c r="AC83" s="76">
        <f t="shared" si="15"/>
        <v>0</v>
      </c>
      <c r="AD83" s="76">
        <f t="shared" si="15"/>
        <v>0</v>
      </c>
      <c r="AE83" s="76">
        <f t="shared" si="15"/>
        <v>0</v>
      </c>
      <c r="AF83" s="76">
        <f t="shared" si="15"/>
        <v>0</v>
      </c>
      <c r="AG83" s="52"/>
      <c r="AH83" s="48">
        <f t="shared" si="10"/>
        <v>0</v>
      </c>
      <c r="AI83" s="49">
        <f t="shared" si="11"/>
        <v>0</v>
      </c>
    </row>
    <row r="84" spans="1:37" x14ac:dyDescent="0.25">
      <c r="A84" s="54" t="s">
        <v>72</v>
      </c>
      <c r="B84" s="76">
        <v>0</v>
      </c>
      <c r="C84" s="76">
        <f t="shared" ref="C84:AF84" si="16">IF(C64&lt;0,C64*-1,0)</f>
        <v>0</v>
      </c>
      <c r="D84" s="76">
        <f t="shared" si="16"/>
        <v>0</v>
      </c>
      <c r="E84" s="76">
        <f t="shared" si="16"/>
        <v>0</v>
      </c>
      <c r="F84" s="76">
        <f t="shared" si="16"/>
        <v>0</v>
      </c>
      <c r="G84" s="76">
        <f t="shared" si="16"/>
        <v>0</v>
      </c>
      <c r="H84" s="76">
        <f t="shared" si="16"/>
        <v>0</v>
      </c>
      <c r="I84" s="76">
        <f t="shared" si="16"/>
        <v>0</v>
      </c>
      <c r="J84" s="76">
        <f t="shared" si="16"/>
        <v>0</v>
      </c>
      <c r="K84" s="76">
        <f t="shared" si="16"/>
        <v>0</v>
      </c>
      <c r="L84" s="76">
        <f t="shared" si="16"/>
        <v>0</v>
      </c>
      <c r="M84" s="76">
        <f t="shared" si="16"/>
        <v>0</v>
      </c>
      <c r="N84" s="76">
        <f t="shared" si="16"/>
        <v>0</v>
      </c>
      <c r="O84" s="76">
        <f t="shared" si="16"/>
        <v>0</v>
      </c>
      <c r="P84" s="76">
        <f t="shared" si="16"/>
        <v>0</v>
      </c>
      <c r="Q84" s="76">
        <f t="shared" si="16"/>
        <v>0</v>
      </c>
      <c r="R84" s="76">
        <f t="shared" si="16"/>
        <v>0</v>
      </c>
      <c r="S84" s="76">
        <f t="shared" si="16"/>
        <v>0</v>
      </c>
      <c r="T84" s="76">
        <f t="shared" si="16"/>
        <v>0</v>
      </c>
      <c r="U84" s="76">
        <f t="shared" si="16"/>
        <v>0</v>
      </c>
      <c r="V84" s="76">
        <f t="shared" si="16"/>
        <v>0</v>
      </c>
      <c r="W84" s="76">
        <f t="shared" si="16"/>
        <v>0</v>
      </c>
      <c r="X84" s="76">
        <f t="shared" si="16"/>
        <v>0</v>
      </c>
      <c r="Y84" s="76">
        <f t="shared" si="16"/>
        <v>0</v>
      </c>
      <c r="Z84" s="76">
        <f t="shared" si="16"/>
        <v>0</v>
      </c>
      <c r="AA84" s="76">
        <f t="shared" si="16"/>
        <v>0</v>
      </c>
      <c r="AB84" s="76">
        <f t="shared" si="16"/>
        <v>0</v>
      </c>
      <c r="AC84" s="76">
        <f t="shared" si="16"/>
        <v>0</v>
      </c>
      <c r="AD84" s="76">
        <f t="shared" si="16"/>
        <v>0</v>
      </c>
      <c r="AE84" s="76">
        <f t="shared" si="16"/>
        <v>0</v>
      </c>
      <c r="AF84" s="76">
        <f t="shared" si="16"/>
        <v>0</v>
      </c>
      <c r="AG84" s="55"/>
      <c r="AH84" s="48">
        <f t="shared" si="10"/>
        <v>0</v>
      </c>
      <c r="AI84" s="49">
        <f t="shared" si="11"/>
        <v>0</v>
      </c>
    </row>
    <row r="85" spans="1:37" x14ac:dyDescent="0.25">
      <c r="A85" s="78" t="s">
        <v>91</v>
      </c>
      <c r="B85" s="76">
        <v>0</v>
      </c>
      <c r="C85" s="76">
        <f t="shared" ref="C85:AF85" si="17">IF(C67&lt;0,C67*-1,0)</f>
        <v>0</v>
      </c>
      <c r="D85" s="76">
        <f t="shared" si="17"/>
        <v>0</v>
      </c>
      <c r="E85" s="76">
        <f t="shared" si="17"/>
        <v>0</v>
      </c>
      <c r="F85" s="76">
        <f t="shared" si="17"/>
        <v>0</v>
      </c>
      <c r="G85" s="76">
        <f t="shared" si="17"/>
        <v>0</v>
      </c>
      <c r="H85" s="76">
        <f t="shared" si="17"/>
        <v>0</v>
      </c>
      <c r="I85" s="76">
        <f t="shared" si="17"/>
        <v>0</v>
      </c>
      <c r="J85" s="76">
        <f t="shared" si="17"/>
        <v>0</v>
      </c>
      <c r="K85" s="76">
        <f t="shared" si="17"/>
        <v>0</v>
      </c>
      <c r="L85" s="76">
        <f t="shared" si="17"/>
        <v>0</v>
      </c>
      <c r="M85" s="76">
        <f t="shared" si="17"/>
        <v>0</v>
      </c>
      <c r="N85" s="76">
        <f t="shared" si="17"/>
        <v>0</v>
      </c>
      <c r="O85" s="76">
        <f t="shared" si="17"/>
        <v>0</v>
      </c>
      <c r="P85" s="76">
        <f t="shared" si="17"/>
        <v>0</v>
      </c>
      <c r="Q85" s="76">
        <f t="shared" si="17"/>
        <v>0</v>
      </c>
      <c r="R85" s="76">
        <f t="shared" si="17"/>
        <v>0</v>
      </c>
      <c r="S85" s="76">
        <f t="shared" si="17"/>
        <v>0</v>
      </c>
      <c r="T85" s="76">
        <f t="shared" si="17"/>
        <v>0</v>
      </c>
      <c r="U85" s="76">
        <f t="shared" si="17"/>
        <v>0</v>
      </c>
      <c r="V85" s="76">
        <f t="shared" si="17"/>
        <v>0</v>
      </c>
      <c r="W85" s="76">
        <f t="shared" si="17"/>
        <v>0</v>
      </c>
      <c r="X85" s="76">
        <f t="shared" si="17"/>
        <v>0</v>
      </c>
      <c r="Y85" s="76">
        <f t="shared" si="17"/>
        <v>0</v>
      </c>
      <c r="Z85" s="76">
        <f t="shared" si="17"/>
        <v>0</v>
      </c>
      <c r="AA85" s="76">
        <f t="shared" si="17"/>
        <v>0</v>
      </c>
      <c r="AB85" s="76">
        <f t="shared" si="17"/>
        <v>0</v>
      </c>
      <c r="AC85" s="76">
        <f t="shared" si="17"/>
        <v>0</v>
      </c>
      <c r="AD85" s="76">
        <f t="shared" si="17"/>
        <v>0</v>
      </c>
      <c r="AE85" s="76">
        <f t="shared" si="17"/>
        <v>0</v>
      </c>
      <c r="AF85" s="76">
        <f t="shared" si="17"/>
        <v>0</v>
      </c>
      <c r="AG85" s="86"/>
      <c r="AH85" s="48">
        <f t="shared" si="10"/>
        <v>0</v>
      </c>
      <c r="AI85" s="49">
        <f t="shared" si="11"/>
        <v>0</v>
      </c>
    </row>
    <row r="86" spans="1:37" x14ac:dyDescent="0.25">
      <c r="A86" s="78" t="s">
        <v>92</v>
      </c>
      <c r="B86" s="76">
        <v>385</v>
      </c>
      <c r="C86" s="76">
        <f t="shared" ref="C86:AF86" si="18">IF(C65&lt;0,C65*-1,0)</f>
        <v>300</v>
      </c>
      <c r="D86" s="76">
        <f t="shared" si="18"/>
        <v>277</v>
      </c>
      <c r="E86" s="76">
        <f t="shared" si="18"/>
        <v>250</v>
      </c>
      <c r="F86" s="76">
        <f t="shared" si="18"/>
        <v>265</v>
      </c>
      <c r="G86" s="76">
        <f t="shared" si="18"/>
        <v>252</v>
      </c>
      <c r="H86" s="76">
        <f t="shared" si="18"/>
        <v>257</v>
      </c>
      <c r="I86" s="76">
        <f t="shared" si="18"/>
        <v>325</v>
      </c>
      <c r="J86" s="76">
        <f t="shared" si="18"/>
        <v>310</v>
      </c>
      <c r="K86" s="76">
        <f t="shared" si="18"/>
        <v>323</v>
      </c>
      <c r="L86" s="76">
        <f t="shared" si="18"/>
        <v>320</v>
      </c>
      <c r="M86" s="76">
        <f t="shared" si="18"/>
        <v>331</v>
      </c>
      <c r="N86" s="76">
        <f t="shared" si="18"/>
        <v>334</v>
      </c>
      <c r="O86" s="76">
        <f t="shared" si="18"/>
        <v>255.5</v>
      </c>
      <c r="P86" s="76">
        <f t="shared" si="18"/>
        <v>255.5</v>
      </c>
      <c r="Q86" s="76">
        <f t="shared" si="18"/>
        <v>262.10000000000002</v>
      </c>
      <c r="R86" s="76">
        <f t="shared" si="18"/>
        <v>191.6</v>
      </c>
      <c r="S86" s="76">
        <f t="shared" si="18"/>
        <v>191.6</v>
      </c>
      <c r="T86" s="76">
        <f t="shared" si="18"/>
        <v>201</v>
      </c>
      <c r="U86" s="76">
        <f t="shared" si="18"/>
        <v>262</v>
      </c>
      <c r="V86" s="76">
        <f t="shared" si="18"/>
        <v>216</v>
      </c>
      <c r="W86" s="76">
        <f t="shared" si="18"/>
        <v>264</v>
      </c>
      <c r="X86" s="76">
        <f t="shared" si="18"/>
        <v>292</v>
      </c>
      <c r="Y86" s="76">
        <f t="shared" si="18"/>
        <v>330</v>
      </c>
      <c r="Z86" s="76">
        <f t="shared" si="18"/>
        <v>374</v>
      </c>
      <c r="AA86" s="76">
        <f t="shared" si="18"/>
        <v>405</v>
      </c>
      <c r="AB86" s="76">
        <f t="shared" si="18"/>
        <v>400</v>
      </c>
      <c r="AC86" s="76">
        <f t="shared" si="18"/>
        <v>306</v>
      </c>
      <c r="AD86" s="76">
        <f t="shared" si="18"/>
        <v>340</v>
      </c>
      <c r="AE86" s="76">
        <f t="shared" si="18"/>
        <v>320</v>
      </c>
      <c r="AF86" s="76">
        <f t="shared" si="18"/>
        <v>330</v>
      </c>
      <c r="AG86" s="86"/>
      <c r="AH86" s="48">
        <f t="shared" si="10"/>
        <v>405</v>
      </c>
      <c r="AI86" s="49">
        <f t="shared" si="11"/>
        <v>191.6</v>
      </c>
    </row>
    <row r="87" spans="1:37" x14ac:dyDescent="0.25">
      <c r="A87" s="78" t="s">
        <v>71</v>
      </c>
      <c r="B87" s="76">
        <v>0</v>
      </c>
      <c r="C87" s="76">
        <f t="shared" ref="C87:AF87" si="19">IF(C63&lt;0,C63*-1,0)</f>
        <v>0</v>
      </c>
      <c r="D87" s="76">
        <f t="shared" si="19"/>
        <v>0</v>
      </c>
      <c r="E87" s="76">
        <f t="shared" si="19"/>
        <v>0</v>
      </c>
      <c r="F87" s="76">
        <f t="shared" si="19"/>
        <v>0</v>
      </c>
      <c r="G87" s="76">
        <f t="shared" si="19"/>
        <v>0</v>
      </c>
      <c r="H87" s="76">
        <f t="shared" si="19"/>
        <v>0</v>
      </c>
      <c r="I87" s="76">
        <f t="shared" si="19"/>
        <v>0</v>
      </c>
      <c r="J87" s="76">
        <f t="shared" si="19"/>
        <v>0</v>
      </c>
      <c r="K87" s="76">
        <f t="shared" si="19"/>
        <v>0</v>
      </c>
      <c r="L87" s="76">
        <f t="shared" si="19"/>
        <v>0</v>
      </c>
      <c r="M87" s="76">
        <f t="shared" si="19"/>
        <v>0</v>
      </c>
      <c r="N87" s="76">
        <f t="shared" si="19"/>
        <v>0</v>
      </c>
      <c r="O87" s="76">
        <f t="shared" si="19"/>
        <v>0</v>
      </c>
      <c r="P87" s="76">
        <f t="shared" si="19"/>
        <v>0</v>
      </c>
      <c r="Q87" s="76">
        <f t="shared" si="19"/>
        <v>0</v>
      </c>
      <c r="R87" s="76">
        <f t="shared" si="19"/>
        <v>0</v>
      </c>
      <c r="S87" s="76">
        <f t="shared" si="19"/>
        <v>0</v>
      </c>
      <c r="T87" s="76">
        <f t="shared" si="19"/>
        <v>0</v>
      </c>
      <c r="U87" s="76">
        <f t="shared" si="19"/>
        <v>0</v>
      </c>
      <c r="V87" s="76">
        <f t="shared" si="19"/>
        <v>0</v>
      </c>
      <c r="W87" s="76">
        <f t="shared" si="19"/>
        <v>0</v>
      </c>
      <c r="X87" s="76">
        <f t="shared" si="19"/>
        <v>0</v>
      </c>
      <c r="Y87" s="76">
        <f t="shared" si="19"/>
        <v>0</v>
      </c>
      <c r="Z87" s="76">
        <f t="shared" si="19"/>
        <v>0</v>
      </c>
      <c r="AA87" s="76">
        <f t="shared" si="19"/>
        <v>0</v>
      </c>
      <c r="AB87" s="76">
        <f t="shared" si="19"/>
        <v>0</v>
      </c>
      <c r="AC87" s="76">
        <f t="shared" si="19"/>
        <v>0</v>
      </c>
      <c r="AD87" s="76">
        <f t="shared" si="19"/>
        <v>0</v>
      </c>
      <c r="AE87" s="76">
        <f t="shared" si="19"/>
        <v>0</v>
      </c>
      <c r="AF87" s="76">
        <f t="shared" si="19"/>
        <v>0</v>
      </c>
      <c r="AG87" s="86"/>
      <c r="AH87" s="48">
        <f t="shared" si="10"/>
        <v>0</v>
      </c>
      <c r="AI87" s="49">
        <f t="shared" si="11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10"/>
        <v>0</v>
      </c>
      <c r="AI88" s="49">
        <f t="shared" si="11"/>
        <v>0</v>
      </c>
    </row>
    <row r="89" spans="1:37" ht="15.75" thickBot="1" x14ac:dyDescent="0.3">
      <c r="A89" s="87" t="s">
        <v>94</v>
      </c>
      <c r="B89" s="61">
        <v>385</v>
      </c>
      <c r="C89" s="61">
        <f t="shared" ref="C89:AF89" si="20">SUM(C83:C88)</f>
        <v>300</v>
      </c>
      <c r="D89" s="61">
        <f t="shared" si="20"/>
        <v>277</v>
      </c>
      <c r="E89" s="61">
        <f t="shared" si="20"/>
        <v>250</v>
      </c>
      <c r="F89" s="61">
        <f t="shared" si="20"/>
        <v>265</v>
      </c>
      <c r="G89" s="61">
        <f t="shared" si="20"/>
        <v>252</v>
      </c>
      <c r="H89" s="61">
        <f t="shared" si="20"/>
        <v>257</v>
      </c>
      <c r="I89" s="61">
        <f t="shared" si="20"/>
        <v>325</v>
      </c>
      <c r="J89" s="61">
        <f t="shared" si="20"/>
        <v>310</v>
      </c>
      <c r="K89" s="61">
        <f t="shared" si="20"/>
        <v>323</v>
      </c>
      <c r="L89" s="61">
        <f t="shared" si="20"/>
        <v>320</v>
      </c>
      <c r="M89" s="61">
        <f t="shared" si="20"/>
        <v>331</v>
      </c>
      <c r="N89" s="61">
        <f t="shared" si="20"/>
        <v>334</v>
      </c>
      <c r="O89" s="61">
        <f t="shared" si="20"/>
        <v>255.5</v>
      </c>
      <c r="P89" s="61">
        <f t="shared" si="20"/>
        <v>255.5</v>
      </c>
      <c r="Q89" s="61">
        <f t="shared" si="20"/>
        <v>262.10000000000002</v>
      </c>
      <c r="R89" s="61">
        <f t="shared" si="20"/>
        <v>191.6</v>
      </c>
      <c r="S89" s="61">
        <f t="shared" si="20"/>
        <v>191.6</v>
      </c>
      <c r="T89" s="61">
        <f t="shared" si="20"/>
        <v>201</v>
      </c>
      <c r="U89" s="61">
        <f t="shared" si="20"/>
        <v>262</v>
      </c>
      <c r="V89" s="61">
        <f t="shared" si="20"/>
        <v>216</v>
      </c>
      <c r="W89" s="61">
        <f t="shared" si="20"/>
        <v>264</v>
      </c>
      <c r="X89" s="61">
        <f t="shared" si="20"/>
        <v>292</v>
      </c>
      <c r="Y89" s="61">
        <f t="shared" si="20"/>
        <v>330</v>
      </c>
      <c r="Z89" s="61">
        <f t="shared" si="20"/>
        <v>374</v>
      </c>
      <c r="AA89" s="61">
        <f t="shared" si="20"/>
        <v>405</v>
      </c>
      <c r="AB89" s="61">
        <f t="shared" si="20"/>
        <v>400</v>
      </c>
      <c r="AC89" s="61">
        <f t="shared" si="20"/>
        <v>306</v>
      </c>
      <c r="AD89" s="61">
        <f t="shared" si="20"/>
        <v>340</v>
      </c>
      <c r="AE89" s="61">
        <f t="shared" si="20"/>
        <v>320</v>
      </c>
      <c r="AF89" s="61">
        <f t="shared" si="20"/>
        <v>330</v>
      </c>
      <c r="AG89" s="81"/>
      <c r="AH89" s="48">
        <f t="shared" si="10"/>
        <v>405</v>
      </c>
      <c r="AI89" s="49">
        <f t="shared" si="11"/>
        <v>191.6</v>
      </c>
      <c r="AK89" s="50"/>
    </row>
    <row r="90" spans="1:37" ht="15.75" thickBot="1" x14ac:dyDescent="0.3">
      <c r="A90" s="74" t="s">
        <v>95</v>
      </c>
      <c r="B90" s="61">
        <v>-385</v>
      </c>
      <c r="C90" s="61">
        <f t="shared" ref="C90:AF90" si="21">C74-C89</f>
        <v>-300</v>
      </c>
      <c r="D90" s="61">
        <f t="shared" si="21"/>
        <v>-277</v>
      </c>
      <c r="E90" s="61">
        <f t="shared" si="21"/>
        <v>-250</v>
      </c>
      <c r="F90" s="61">
        <f t="shared" si="21"/>
        <v>-265</v>
      </c>
      <c r="G90" s="61">
        <f t="shared" si="21"/>
        <v>-252</v>
      </c>
      <c r="H90" s="61">
        <f t="shared" si="21"/>
        <v>-257</v>
      </c>
      <c r="I90" s="61">
        <f t="shared" si="21"/>
        <v>-325</v>
      </c>
      <c r="J90" s="61">
        <f t="shared" si="21"/>
        <v>-310</v>
      </c>
      <c r="K90" s="61">
        <f t="shared" si="21"/>
        <v>-323</v>
      </c>
      <c r="L90" s="61">
        <f t="shared" si="21"/>
        <v>-320</v>
      </c>
      <c r="M90" s="61">
        <f t="shared" si="21"/>
        <v>-331</v>
      </c>
      <c r="N90" s="61">
        <f t="shared" si="21"/>
        <v>-334</v>
      </c>
      <c r="O90" s="61">
        <f t="shared" si="21"/>
        <v>-255.5</v>
      </c>
      <c r="P90" s="61">
        <f t="shared" si="21"/>
        <v>-255.5</v>
      </c>
      <c r="Q90" s="61">
        <f t="shared" si="21"/>
        <v>-262.10000000000002</v>
      </c>
      <c r="R90" s="61">
        <f t="shared" si="21"/>
        <v>-191.6</v>
      </c>
      <c r="S90" s="61">
        <f t="shared" si="21"/>
        <v>-191.6</v>
      </c>
      <c r="T90" s="61">
        <f t="shared" si="21"/>
        <v>-201</v>
      </c>
      <c r="U90" s="61">
        <f t="shared" si="21"/>
        <v>-262</v>
      </c>
      <c r="V90" s="61">
        <f t="shared" si="21"/>
        <v>-216</v>
      </c>
      <c r="W90" s="61">
        <f t="shared" si="21"/>
        <v>-264</v>
      </c>
      <c r="X90" s="61">
        <f t="shared" si="21"/>
        <v>-292</v>
      </c>
      <c r="Y90" s="61">
        <f t="shared" si="21"/>
        <v>-330</v>
      </c>
      <c r="Z90" s="61">
        <f t="shared" si="21"/>
        <v>-374</v>
      </c>
      <c r="AA90" s="61">
        <f t="shared" si="21"/>
        <v>-405</v>
      </c>
      <c r="AB90" s="61">
        <f t="shared" si="21"/>
        <v>-400</v>
      </c>
      <c r="AC90" s="61">
        <f t="shared" si="21"/>
        <v>-306</v>
      </c>
      <c r="AD90" s="61">
        <f t="shared" si="21"/>
        <v>-340</v>
      </c>
      <c r="AE90" s="61">
        <f t="shared" si="21"/>
        <v>-320</v>
      </c>
      <c r="AF90" s="61">
        <f t="shared" si="21"/>
        <v>-330</v>
      </c>
      <c r="AG90" s="81"/>
      <c r="AH90" s="48">
        <f t="shared" si="10"/>
        <v>-191.6</v>
      </c>
      <c r="AI90" s="49">
        <f t="shared" si="11"/>
        <v>-405</v>
      </c>
    </row>
    <row r="91" spans="1:37" x14ac:dyDescent="0.25">
      <c r="A91" s="88" t="s">
        <v>96</v>
      </c>
      <c r="B91" s="89">
        <v>49.99</v>
      </c>
      <c r="C91" s="89">
        <v>49.99</v>
      </c>
      <c r="D91" s="89">
        <v>50.01</v>
      </c>
      <c r="E91" s="89">
        <v>49.991999999999997</v>
      </c>
      <c r="F91" s="89">
        <v>50.000999999999998</v>
      </c>
      <c r="G91" s="89">
        <v>50.023000000000003</v>
      </c>
      <c r="H91" s="89">
        <v>49.942999999999998</v>
      </c>
      <c r="I91" s="89">
        <v>49.997999999999998</v>
      </c>
      <c r="J91" s="89">
        <v>49.978999999999999</v>
      </c>
      <c r="K91" s="89">
        <v>49.997999999999998</v>
      </c>
      <c r="L91" s="89">
        <v>49.978999999999999</v>
      </c>
      <c r="M91" s="89">
        <v>50.021000000000001</v>
      </c>
      <c r="N91" s="89">
        <v>50.073</v>
      </c>
      <c r="O91" s="89">
        <v>50.02</v>
      </c>
      <c r="P91" s="89">
        <v>50.02</v>
      </c>
      <c r="Q91" s="89">
        <v>50.03</v>
      </c>
      <c r="R91" s="89">
        <v>50.04</v>
      </c>
      <c r="S91" s="89">
        <v>50.082000000000001</v>
      </c>
      <c r="T91" s="89">
        <v>50.012</v>
      </c>
      <c r="U91" s="89">
        <v>50.002000000000002</v>
      </c>
      <c r="V91" s="89">
        <v>50.018999999999998</v>
      </c>
      <c r="W91" s="89">
        <v>49.945</v>
      </c>
      <c r="X91" s="89">
        <v>50.021000000000001</v>
      </c>
      <c r="Y91" s="89">
        <v>50.021000000000001</v>
      </c>
      <c r="Z91" s="89">
        <v>50.093000000000004</v>
      </c>
      <c r="AA91" s="89">
        <v>50.058</v>
      </c>
      <c r="AB91" s="89">
        <v>49.98</v>
      </c>
      <c r="AC91" s="89">
        <v>49.98</v>
      </c>
      <c r="AD91" s="89">
        <v>49.94</v>
      </c>
      <c r="AE91" s="89">
        <v>50.09</v>
      </c>
      <c r="AF91" s="89">
        <v>50.01</v>
      </c>
      <c r="AG91" s="90"/>
      <c r="AH91" s="48">
        <f t="shared" si="10"/>
        <v>50.093000000000004</v>
      </c>
      <c r="AI91" s="49">
        <f t="shared" si="11"/>
        <v>49.94</v>
      </c>
    </row>
    <row r="92" spans="1:37" x14ac:dyDescent="0.25">
      <c r="A92" s="91" t="s">
        <v>97</v>
      </c>
      <c r="B92" s="65">
        <v>128.69999999999999</v>
      </c>
      <c r="C92" s="65">
        <v>129.1</v>
      </c>
      <c r="D92" s="65">
        <v>128.6</v>
      </c>
      <c r="E92" s="65">
        <v>128.6</v>
      </c>
      <c r="F92" s="65">
        <v>128.80000000000001</v>
      </c>
      <c r="G92" s="65">
        <v>128.1</v>
      </c>
      <c r="H92" s="65">
        <v>127.7</v>
      </c>
      <c r="I92" s="65">
        <v>126.9</v>
      </c>
      <c r="J92" s="65">
        <v>126.6</v>
      </c>
      <c r="K92" s="65">
        <v>124.8</v>
      </c>
      <c r="L92" s="65">
        <v>123.2</v>
      </c>
      <c r="M92" s="65">
        <v>123.2</v>
      </c>
      <c r="N92" s="65">
        <v>123</v>
      </c>
      <c r="O92" s="65">
        <v>124.2</v>
      </c>
      <c r="P92" s="65">
        <v>124.2</v>
      </c>
      <c r="Q92" s="65">
        <v>124.7</v>
      </c>
      <c r="R92" s="65">
        <v>125.4</v>
      </c>
      <c r="S92" s="65">
        <v>123.2</v>
      </c>
      <c r="T92" s="65">
        <v>122.9</v>
      </c>
      <c r="U92" s="65">
        <v>124.9</v>
      </c>
      <c r="V92" s="65">
        <v>126.4</v>
      </c>
      <c r="W92" s="65">
        <v>126.2</v>
      </c>
      <c r="X92" s="65">
        <v>126</v>
      </c>
      <c r="Y92" s="65">
        <v>126</v>
      </c>
      <c r="Z92" s="65">
        <v>127.7</v>
      </c>
      <c r="AA92" s="65">
        <v>127.8</v>
      </c>
      <c r="AB92" s="65">
        <v>127.9</v>
      </c>
      <c r="AC92" s="65">
        <v>127.9</v>
      </c>
      <c r="AD92" s="65">
        <v>127</v>
      </c>
      <c r="AE92" s="65">
        <v>129</v>
      </c>
      <c r="AF92" s="65">
        <v>129</v>
      </c>
      <c r="AG92" s="92"/>
      <c r="AH92" s="48">
        <f t="shared" si="10"/>
        <v>129.1</v>
      </c>
      <c r="AI92" s="49">
        <f t="shared" si="11"/>
        <v>122.9</v>
      </c>
    </row>
    <row r="93" spans="1:37" x14ac:dyDescent="0.25">
      <c r="A93" s="91" t="s">
        <v>98</v>
      </c>
      <c r="B93" s="65">
        <v>132.19999999999999</v>
      </c>
      <c r="C93" s="65">
        <v>132.69999999999999</v>
      </c>
      <c r="D93" s="65">
        <v>132.30000000000001</v>
      </c>
      <c r="E93" s="65">
        <v>132.30000000000001</v>
      </c>
      <c r="F93" s="65">
        <v>132.4</v>
      </c>
      <c r="G93" s="65">
        <v>132.1</v>
      </c>
      <c r="H93" s="65">
        <v>131.1</v>
      </c>
      <c r="I93" s="65">
        <v>129.69999999999999</v>
      </c>
      <c r="J93" s="65">
        <v>129.69999999999999</v>
      </c>
      <c r="K93" s="65">
        <v>127.1</v>
      </c>
      <c r="L93" s="65">
        <v>126.3</v>
      </c>
      <c r="M93" s="65">
        <v>126.3</v>
      </c>
      <c r="N93" s="65">
        <v>127</v>
      </c>
      <c r="O93" s="65">
        <v>128.19999999999999</v>
      </c>
      <c r="P93" s="65">
        <v>128.19999999999999</v>
      </c>
      <c r="Q93" s="65">
        <v>128.30000000000001</v>
      </c>
      <c r="R93" s="65">
        <v>128.69999999999999</v>
      </c>
      <c r="S93" s="65">
        <v>127.6</v>
      </c>
      <c r="T93" s="65">
        <v>127.1</v>
      </c>
      <c r="U93" s="65">
        <v>128.6</v>
      </c>
      <c r="V93" s="65">
        <v>129.4</v>
      </c>
      <c r="W93" s="65">
        <v>128.69999999999999</v>
      </c>
      <c r="X93" s="65">
        <v>128.5</v>
      </c>
      <c r="Y93" s="65">
        <v>128.5</v>
      </c>
      <c r="Z93" s="65">
        <v>130</v>
      </c>
      <c r="AA93" s="65">
        <v>130.30000000000001</v>
      </c>
      <c r="AB93" s="65">
        <v>130.4</v>
      </c>
      <c r="AC93" s="65">
        <v>130.4</v>
      </c>
      <c r="AD93" s="65">
        <v>130.6</v>
      </c>
      <c r="AE93" s="65">
        <v>132</v>
      </c>
      <c r="AF93" s="65">
        <v>132</v>
      </c>
      <c r="AG93" s="92"/>
      <c r="AH93" s="48">
        <f t="shared" si="10"/>
        <v>132.69999999999999</v>
      </c>
      <c r="AI93" s="49">
        <f t="shared" si="11"/>
        <v>126.3</v>
      </c>
    </row>
    <row r="94" spans="1:37" x14ac:dyDescent="0.25">
      <c r="A94" s="91" t="s">
        <v>99</v>
      </c>
      <c r="B94" s="65">
        <v>130.30000000000001</v>
      </c>
      <c r="C94" s="65">
        <v>131.1</v>
      </c>
      <c r="D94" s="65">
        <v>132.19999999999999</v>
      </c>
      <c r="E94" s="65">
        <v>132.4</v>
      </c>
      <c r="F94" s="65">
        <v>132.69999999999999</v>
      </c>
      <c r="G94" s="65">
        <v>130.19999999999999</v>
      </c>
      <c r="H94" s="65">
        <v>129</v>
      </c>
      <c r="I94" s="65">
        <v>127.7</v>
      </c>
      <c r="J94" s="65">
        <v>129.4</v>
      </c>
      <c r="K94" s="65">
        <v>129.69999999999999</v>
      </c>
      <c r="L94" s="65">
        <v>128.5</v>
      </c>
      <c r="M94" s="65">
        <v>128.5</v>
      </c>
      <c r="N94" s="65">
        <v>129</v>
      </c>
      <c r="O94" s="65">
        <v>127.9</v>
      </c>
      <c r="P94" s="65">
        <v>127.9</v>
      </c>
      <c r="Q94" s="65">
        <v>130.19999999999999</v>
      </c>
      <c r="R94" s="65">
        <v>129.69999999999999</v>
      </c>
      <c r="S94" s="65">
        <v>130</v>
      </c>
      <c r="T94" s="65">
        <v>129.9</v>
      </c>
      <c r="U94" s="65">
        <v>131.19999999999999</v>
      </c>
      <c r="V94" s="65">
        <v>130.19999999999999</v>
      </c>
      <c r="W94" s="65">
        <v>128.80000000000001</v>
      </c>
      <c r="X94" s="65">
        <v>130</v>
      </c>
      <c r="Y94" s="65">
        <v>130</v>
      </c>
      <c r="Z94" s="65">
        <v>131.4</v>
      </c>
      <c r="AA94" s="65">
        <v>130</v>
      </c>
      <c r="AB94" s="65">
        <v>130.6</v>
      </c>
      <c r="AC94" s="65">
        <v>130.6</v>
      </c>
      <c r="AD94" s="65">
        <v>130</v>
      </c>
      <c r="AE94" s="65">
        <v>131</v>
      </c>
      <c r="AF94" s="65">
        <v>131</v>
      </c>
      <c r="AG94" s="92"/>
      <c r="AH94" s="48">
        <f t="shared" si="10"/>
        <v>132.69999999999999</v>
      </c>
      <c r="AI94" s="49">
        <f t="shared" si="11"/>
        <v>127.7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10"/>
        <v>0</v>
      </c>
      <c r="AI95" s="49">
        <f t="shared" si="11"/>
        <v>0</v>
      </c>
    </row>
    <row r="96" spans="1:37" x14ac:dyDescent="0.25">
      <c r="A96" s="93" t="s">
        <v>101</v>
      </c>
      <c r="B96" s="94">
        <v>133.9</v>
      </c>
      <c r="C96" s="94">
        <v>134.30000000000001</v>
      </c>
      <c r="D96" s="94">
        <v>134.19999999999999</v>
      </c>
      <c r="E96" s="94">
        <v>134.1</v>
      </c>
      <c r="F96" s="94">
        <v>134.30000000000001</v>
      </c>
      <c r="G96" s="94">
        <v>134.6</v>
      </c>
      <c r="H96" s="94">
        <v>133.1</v>
      </c>
      <c r="I96" s="94">
        <v>132.69999999999999</v>
      </c>
      <c r="J96" s="94">
        <v>131.19999999999999</v>
      </c>
      <c r="K96" s="94">
        <v>131.80000000000001</v>
      </c>
      <c r="L96" s="94">
        <v>133.6</v>
      </c>
      <c r="M96" s="94">
        <v>133.6</v>
      </c>
      <c r="N96" s="94">
        <v>132</v>
      </c>
      <c r="O96" s="94">
        <v>135</v>
      </c>
      <c r="P96" s="94">
        <v>135</v>
      </c>
      <c r="Q96" s="94">
        <v>133.30000000000001</v>
      </c>
      <c r="R96" s="94">
        <v>133.5</v>
      </c>
      <c r="S96" s="94">
        <v>133.19999999999999</v>
      </c>
      <c r="T96" s="94">
        <v>130.9</v>
      </c>
      <c r="U96" s="94">
        <v>133.1</v>
      </c>
      <c r="V96" s="94">
        <v>132.6</v>
      </c>
      <c r="W96" s="94">
        <v>130.6</v>
      </c>
      <c r="X96" s="94">
        <v>136</v>
      </c>
      <c r="Y96" s="94">
        <v>136</v>
      </c>
      <c r="Z96" s="94">
        <v>134</v>
      </c>
      <c r="AA96" s="94">
        <v>134.1</v>
      </c>
      <c r="AB96" s="94">
        <v>133.6</v>
      </c>
      <c r="AC96" s="94">
        <v>133.6</v>
      </c>
      <c r="AD96" s="94">
        <v>131.6</v>
      </c>
      <c r="AE96" s="94">
        <v>133</v>
      </c>
      <c r="AF96" s="94">
        <v>133</v>
      </c>
      <c r="AG96" s="95"/>
      <c r="AH96" s="48">
        <f t="shared" si="10"/>
        <v>136</v>
      </c>
      <c r="AI96" s="49">
        <f t="shared" si="11"/>
        <v>130.6</v>
      </c>
    </row>
    <row r="97" spans="1:37" x14ac:dyDescent="0.25">
      <c r="A97" s="91" t="s">
        <v>102</v>
      </c>
      <c r="B97" s="65">
        <v>132</v>
      </c>
      <c r="C97" s="65">
        <v>135</v>
      </c>
      <c r="D97" s="65">
        <v>1337</v>
      </c>
      <c r="E97" s="65">
        <v>132.6</v>
      </c>
      <c r="F97" s="65">
        <v>133.5</v>
      </c>
      <c r="G97" s="65">
        <v>131.80000000000001</v>
      </c>
      <c r="H97" s="65">
        <v>131.6</v>
      </c>
      <c r="I97" s="65">
        <v>131.19999999999999</v>
      </c>
      <c r="J97" s="65">
        <v>127.8</v>
      </c>
      <c r="K97" s="65">
        <v>124.4</v>
      </c>
      <c r="L97" s="65">
        <v>128.19999999999999</v>
      </c>
      <c r="M97" s="65">
        <v>128.19999999999999</v>
      </c>
      <c r="N97" s="65">
        <v>129</v>
      </c>
      <c r="O97" s="65">
        <v>131.69999999999999</v>
      </c>
      <c r="P97" s="65">
        <v>131.69999999999999</v>
      </c>
      <c r="Q97" s="65">
        <v>131.69999999999999</v>
      </c>
      <c r="R97" s="65">
        <v>130.1</v>
      </c>
      <c r="S97" s="65">
        <v>130.69999999999999</v>
      </c>
      <c r="T97" s="65">
        <v>127.5</v>
      </c>
      <c r="U97" s="65">
        <v>130</v>
      </c>
      <c r="V97" s="65">
        <v>130.80000000000001</v>
      </c>
      <c r="W97" s="65">
        <v>128.19999999999999</v>
      </c>
      <c r="X97" s="65">
        <v>133.5</v>
      </c>
      <c r="Y97" s="65">
        <v>133.5</v>
      </c>
      <c r="Z97" s="65">
        <v>134</v>
      </c>
      <c r="AA97" s="65">
        <v>133.6</v>
      </c>
      <c r="AB97" s="65">
        <v>132.69999999999999</v>
      </c>
      <c r="AC97" s="65">
        <v>132.69999999999999</v>
      </c>
      <c r="AD97" s="65">
        <v>126</v>
      </c>
      <c r="AE97" s="65">
        <v>129</v>
      </c>
      <c r="AF97" s="65">
        <v>129</v>
      </c>
      <c r="AG97" s="92"/>
      <c r="AH97" s="48">
        <f t="shared" si="10"/>
        <v>1337</v>
      </c>
      <c r="AI97" s="49">
        <f t="shared" si="11"/>
        <v>124.4</v>
      </c>
    </row>
    <row r="98" spans="1:37" ht="15.75" thickBot="1" x14ac:dyDescent="0.3">
      <c r="A98" s="91" t="s">
        <v>103</v>
      </c>
      <c r="B98" s="96">
        <v>66.7</v>
      </c>
      <c r="C98" s="96">
        <v>66.900000000000006</v>
      </c>
      <c r="D98" s="96">
        <v>66.8</v>
      </c>
      <c r="E98" s="96">
        <v>66.7</v>
      </c>
      <c r="F98" s="96">
        <v>66.900000000000006</v>
      </c>
      <c r="G98" s="96">
        <v>66.7</v>
      </c>
      <c r="H98" s="96">
        <v>66.3</v>
      </c>
      <c r="I98" s="96">
        <v>65.7</v>
      </c>
      <c r="J98" s="96">
        <v>65.5</v>
      </c>
      <c r="K98" s="96">
        <v>63.9</v>
      </c>
      <c r="L98" s="96">
        <v>63.5</v>
      </c>
      <c r="M98" s="96">
        <v>63.5</v>
      </c>
      <c r="N98" s="96">
        <v>64.099999999999994</v>
      </c>
      <c r="O98" s="96">
        <v>64.900000000000006</v>
      </c>
      <c r="P98" s="96">
        <v>64.900000000000006</v>
      </c>
      <c r="Q98" s="96">
        <v>64.8</v>
      </c>
      <c r="R98" s="96">
        <v>64.8</v>
      </c>
      <c r="S98" s="96">
        <v>64.400000000000006</v>
      </c>
      <c r="T98" s="96">
        <v>64.099999999999994</v>
      </c>
      <c r="U98" s="96">
        <v>64.7</v>
      </c>
      <c r="V98" s="96">
        <v>65.2</v>
      </c>
      <c r="W98" s="96">
        <v>64.8</v>
      </c>
      <c r="X98" s="96">
        <v>64.900000000000006</v>
      </c>
      <c r="Y98" s="96">
        <v>64.900000000000006</v>
      </c>
      <c r="Z98" s="96">
        <v>66</v>
      </c>
      <c r="AA98" s="96">
        <v>65.5</v>
      </c>
      <c r="AB98" s="96">
        <v>65.5</v>
      </c>
      <c r="AC98" s="96">
        <v>65.5</v>
      </c>
      <c r="AD98" s="96">
        <v>65.900000000000006</v>
      </c>
      <c r="AE98" s="96">
        <v>66.599999999999994</v>
      </c>
      <c r="AF98" s="96">
        <v>66.599999999999994</v>
      </c>
      <c r="AG98" s="97"/>
      <c r="AH98" s="48">
        <f t="shared" si="10"/>
        <v>66.900000000000006</v>
      </c>
      <c r="AI98" s="49">
        <f t="shared" si="11"/>
        <v>63.5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10"/>
        <v>0</v>
      </c>
      <c r="AI99" s="49">
        <f t="shared" si="11"/>
        <v>0</v>
      </c>
    </row>
    <row r="100" spans="1:37" ht="15.75" thickBot="1" x14ac:dyDescent="0.3">
      <c r="A100" s="99" t="s">
        <v>104</v>
      </c>
      <c r="B100" s="100">
        <v>38.400000000000013</v>
      </c>
      <c r="C100" s="100">
        <v>23.8</v>
      </c>
      <c r="D100" s="100">
        <f t="shared" ref="D100:AF100" si="22">SUM(D15,D20,D22:D23,D48,D50:D51,D53,D55,D101:D105,D127,D133,D139,D148,D150,D162,D169,D172:D173,D180,D182,D184,D188:D190,D192:D194,D199,D205:D206,D208:D210,D218,D223)</f>
        <v>-597.55999999999995</v>
      </c>
      <c r="E100" s="100">
        <f t="shared" si="22"/>
        <v>39.94</v>
      </c>
      <c r="F100" s="100">
        <f t="shared" si="22"/>
        <v>46.740000000000023</v>
      </c>
      <c r="G100" s="100">
        <f t="shared" si="22"/>
        <v>68.340000000000018</v>
      </c>
      <c r="H100" s="100">
        <f t="shared" si="22"/>
        <v>105.94000000000001</v>
      </c>
      <c r="I100" s="100">
        <f t="shared" si="22"/>
        <v>132.33999999999997</v>
      </c>
      <c r="J100" s="100">
        <f t="shared" si="22"/>
        <v>164.23999999999998</v>
      </c>
      <c r="K100" s="100">
        <f t="shared" si="22"/>
        <v>219.33999999999997</v>
      </c>
      <c r="L100" s="100">
        <f t="shared" si="22"/>
        <v>233.64000000000001</v>
      </c>
      <c r="M100" s="100">
        <f t="shared" si="22"/>
        <v>230.24</v>
      </c>
      <c r="N100" s="100">
        <f t="shared" si="22"/>
        <v>206.33999999999995</v>
      </c>
      <c r="O100" s="100">
        <f t="shared" si="22"/>
        <v>179.60999999999996</v>
      </c>
      <c r="P100" s="100">
        <f t="shared" si="22"/>
        <v>187.74000000000004</v>
      </c>
      <c r="Q100" s="100">
        <f t="shared" si="22"/>
        <v>143.99999999999997</v>
      </c>
      <c r="R100" s="100">
        <f t="shared" si="22"/>
        <v>140.50000000000003</v>
      </c>
      <c r="S100" s="100">
        <f t="shared" si="22"/>
        <v>137.1</v>
      </c>
      <c r="T100" s="100">
        <f t="shared" si="22"/>
        <v>147.00000000000006</v>
      </c>
      <c r="U100" s="100">
        <f t="shared" si="22"/>
        <v>165.4</v>
      </c>
      <c r="V100" s="100">
        <f t="shared" si="22"/>
        <v>190.6</v>
      </c>
      <c r="W100" s="100">
        <f t="shared" si="22"/>
        <v>228.3</v>
      </c>
      <c r="X100" s="100">
        <f t="shared" si="22"/>
        <v>263</v>
      </c>
      <c r="Y100" s="100">
        <f t="shared" si="22"/>
        <v>258</v>
      </c>
      <c r="Z100" s="100">
        <f t="shared" si="22"/>
        <v>223.8</v>
      </c>
      <c r="AA100" s="100">
        <f t="shared" si="22"/>
        <v>189.89999999999998</v>
      </c>
      <c r="AB100" s="100">
        <f t="shared" si="22"/>
        <v>178</v>
      </c>
      <c r="AC100" s="100">
        <f t="shared" si="22"/>
        <v>172.5</v>
      </c>
      <c r="AD100" s="100">
        <f t="shared" si="22"/>
        <v>100.10000000000002</v>
      </c>
      <c r="AE100" s="100">
        <f t="shared" si="22"/>
        <v>85.4</v>
      </c>
      <c r="AF100" s="100">
        <f t="shared" si="22"/>
        <v>51.400000000000006</v>
      </c>
      <c r="AG100" s="101"/>
      <c r="AH100" s="48">
        <f t="shared" si="10"/>
        <v>263</v>
      </c>
      <c r="AI100" s="49">
        <f t="shared" si="11"/>
        <v>-597.55999999999995</v>
      </c>
    </row>
    <row r="101" spans="1:37" x14ac:dyDescent="0.25">
      <c r="A101" s="88" t="s">
        <v>105</v>
      </c>
      <c r="B101" s="102">
        <v>22.6</v>
      </c>
      <c r="C101" s="102">
        <v>22.6</v>
      </c>
      <c r="D101" s="102">
        <v>23.8</v>
      </c>
      <c r="E101" s="102">
        <v>34.200000000000003</v>
      </c>
      <c r="F101" s="102">
        <v>36</v>
      </c>
      <c r="G101" s="102">
        <v>36.5</v>
      </c>
      <c r="H101" s="102">
        <v>40</v>
      </c>
      <c r="I101" s="102">
        <v>44</v>
      </c>
      <c r="J101" s="102">
        <v>47.8</v>
      </c>
      <c r="K101" s="102">
        <v>50</v>
      </c>
      <c r="L101" s="102">
        <v>50.5</v>
      </c>
      <c r="M101" s="102">
        <v>57</v>
      </c>
      <c r="N101" s="102">
        <v>57</v>
      </c>
      <c r="O101" s="102">
        <v>50.61</v>
      </c>
      <c r="P101" s="102">
        <v>52.5</v>
      </c>
      <c r="Q101" s="102">
        <v>46.6</v>
      </c>
      <c r="R101" s="102">
        <v>46.7</v>
      </c>
      <c r="S101" s="102">
        <v>48.2</v>
      </c>
      <c r="T101" s="102">
        <v>45.4</v>
      </c>
      <c r="U101" s="102">
        <v>39.6</v>
      </c>
      <c r="V101" s="102">
        <v>33.799999999999997</v>
      </c>
      <c r="W101" s="102">
        <v>39.799999999999997</v>
      </c>
      <c r="X101" s="102">
        <v>45</v>
      </c>
      <c r="Y101" s="102">
        <v>45</v>
      </c>
      <c r="Z101" s="102">
        <v>46</v>
      </c>
      <c r="AA101" s="102">
        <v>47.5</v>
      </c>
      <c r="AB101" s="102">
        <v>46</v>
      </c>
      <c r="AC101" s="102">
        <v>46</v>
      </c>
      <c r="AD101" s="102">
        <v>43</v>
      </c>
      <c r="AE101" s="102">
        <v>38</v>
      </c>
      <c r="AF101" s="102">
        <v>37</v>
      </c>
      <c r="AG101" s="103">
        <v>75</v>
      </c>
      <c r="AH101" s="48">
        <f t="shared" si="10"/>
        <v>57</v>
      </c>
      <c r="AI101" s="49">
        <f t="shared" si="11"/>
        <v>22.6</v>
      </c>
    </row>
    <row r="102" spans="1:37" x14ac:dyDescent="0.25">
      <c r="A102" s="91" t="s">
        <v>106</v>
      </c>
      <c r="B102" s="104">
        <v>38.9</v>
      </c>
      <c r="C102" s="104">
        <v>38.9</v>
      </c>
      <c r="D102" s="104">
        <v>42.1</v>
      </c>
      <c r="E102" s="104">
        <v>56</v>
      </c>
      <c r="F102" s="104">
        <v>58</v>
      </c>
      <c r="G102" s="104">
        <v>58</v>
      </c>
      <c r="H102" s="104">
        <v>62</v>
      </c>
      <c r="I102" s="104">
        <v>67</v>
      </c>
      <c r="J102" s="104">
        <v>74</v>
      </c>
      <c r="K102" s="104">
        <v>76</v>
      </c>
      <c r="L102" s="104">
        <v>78</v>
      </c>
      <c r="M102" s="104">
        <v>87</v>
      </c>
      <c r="N102" s="104">
        <v>87</v>
      </c>
      <c r="O102" s="104">
        <v>80</v>
      </c>
      <c r="P102" s="104">
        <v>80.099999999999994</v>
      </c>
      <c r="Q102" s="104">
        <v>71.3</v>
      </c>
      <c r="R102" s="104">
        <v>71.900000000000006</v>
      </c>
      <c r="S102" s="104">
        <v>73.7</v>
      </c>
      <c r="T102" s="104">
        <v>69.5</v>
      </c>
      <c r="U102" s="104">
        <v>62</v>
      </c>
      <c r="V102" s="104">
        <v>51.7</v>
      </c>
      <c r="W102" s="104">
        <v>56.7</v>
      </c>
      <c r="X102" s="104">
        <v>57</v>
      </c>
      <c r="Y102" s="104">
        <v>57</v>
      </c>
      <c r="Z102" s="104">
        <v>66</v>
      </c>
      <c r="AA102" s="104">
        <v>68.2</v>
      </c>
      <c r="AB102" s="104">
        <v>65</v>
      </c>
      <c r="AC102" s="104">
        <v>65</v>
      </c>
      <c r="AD102" s="104">
        <v>62.3</v>
      </c>
      <c r="AE102" s="104">
        <v>56</v>
      </c>
      <c r="AF102" s="104">
        <v>57</v>
      </c>
      <c r="AG102" s="103">
        <v>240</v>
      </c>
      <c r="AH102" s="48">
        <f t="shared" si="10"/>
        <v>87</v>
      </c>
      <c r="AI102" s="49">
        <f t="shared" si="11"/>
        <v>38.9</v>
      </c>
    </row>
    <row r="103" spans="1:37" x14ac:dyDescent="0.25">
      <c r="A103" s="91" t="s">
        <v>107</v>
      </c>
      <c r="B103" s="104">
        <v>-130.80000000000001</v>
      </c>
      <c r="C103" s="104">
        <v>-130.80000000000001</v>
      </c>
      <c r="D103" s="104">
        <f>-688-73.3</f>
        <v>-761.3</v>
      </c>
      <c r="E103" s="104">
        <v>-140</v>
      </c>
      <c r="F103" s="104">
        <v>-138</v>
      </c>
      <c r="G103" s="104">
        <v>-135</v>
      </c>
      <c r="H103" s="104">
        <v>-127</v>
      </c>
      <c r="I103" s="104">
        <v>-120</v>
      </c>
      <c r="J103" s="104">
        <v>-110</v>
      </c>
      <c r="K103" s="104">
        <v>-75</v>
      </c>
      <c r="L103" s="104">
        <v>-72</v>
      </c>
      <c r="M103" s="104">
        <v>-92</v>
      </c>
      <c r="N103" s="104">
        <v>-109</v>
      </c>
      <c r="O103" s="104">
        <f>-54.71-58.23</f>
        <v>-112.94</v>
      </c>
      <c r="P103" s="104">
        <f>-52.9-56.3</f>
        <v>-109.19999999999999</v>
      </c>
      <c r="Q103" s="104">
        <f>-57.6-60.7</f>
        <v>-118.30000000000001</v>
      </c>
      <c r="R103" s="104">
        <f>-56.1-62.1</f>
        <v>-118.2</v>
      </c>
      <c r="S103" s="104">
        <f>-62.4-66.2</f>
        <v>-128.6</v>
      </c>
      <c r="T103" s="104">
        <f>-56-60</f>
        <v>-116</v>
      </c>
      <c r="U103" s="104">
        <f>-42-45</f>
        <v>-87</v>
      </c>
      <c r="V103" s="104">
        <f>-25-26.3</f>
        <v>-51.3</v>
      </c>
      <c r="W103" s="104">
        <f>-15-18</f>
        <v>-33</v>
      </c>
      <c r="X103" s="104">
        <v>-13</v>
      </c>
      <c r="Y103" s="104">
        <v>-13</v>
      </c>
      <c r="Z103" s="104">
        <f>-21-23</f>
        <v>-44</v>
      </c>
      <c r="AA103" s="104">
        <f>-37-40</f>
        <v>-77</v>
      </c>
      <c r="AB103" s="104">
        <v>-82</v>
      </c>
      <c r="AC103" s="104">
        <v>-82</v>
      </c>
      <c r="AD103" s="104">
        <v>-135</v>
      </c>
      <c r="AE103" s="104">
        <v>-126</v>
      </c>
      <c r="AF103" s="104">
        <v>-140</v>
      </c>
      <c r="AG103" s="103">
        <v>240</v>
      </c>
      <c r="AH103" s="48">
        <f t="shared" si="10"/>
        <v>-13</v>
      </c>
      <c r="AI103" s="49">
        <f t="shared" si="11"/>
        <v>-761.3</v>
      </c>
    </row>
    <row r="104" spans="1:37" x14ac:dyDescent="0.25">
      <c r="A104" s="91" t="s">
        <v>108</v>
      </c>
      <c r="B104" s="104">
        <v>-3.9</v>
      </c>
      <c r="C104" s="104">
        <v>-3.9</v>
      </c>
      <c r="D104" s="104">
        <v>-7.9</v>
      </c>
      <c r="E104" s="104">
        <v>-8</v>
      </c>
      <c r="F104" s="104">
        <v>-7.3</v>
      </c>
      <c r="G104" s="104">
        <v>-5.2</v>
      </c>
      <c r="H104" s="104">
        <v>-3.3</v>
      </c>
      <c r="I104" s="104">
        <v>0</v>
      </c>
      <c r="J104" s="104">
        <v>3.1</v>
      </c>
      <c r="K104" s="104">
        <v>9</v>
      </c>
      <c r="L104" s="104">
        <v>7.1</v>
      </c>
      <c r="M104" s="104">
        <v>5.2</v>
      </c>
      <c r="N104" s="104">
        <v>4.5999999999999996</v>
      </c>
      <c r="O104" s="104">
        <v>4.2</v>
      </c>
      <c r="P104" s="104">
        <v>3.9</v>
      </c>
      <c r="Q104" s="104">
        <v>1.6</v>
      </c>
      <c r="R104" s="104">
        <v>1.1000000000000001</v>
      </c>
      <c r="S104" s="104">
        <v>2</v>
      </c>
      <c r="T104" s="104">
        <v>5.3</v>
      </c>
      <c r="U104" s="104">
        <v>8</v>
      </c>
      <c r="V104" s="104">
        <v>13.6</v>
      </c>
      <c r="W104" s="104">
        <v>17</v>
      </c>
      <c r="X104" s="104">
        <v>21.2</v>
      </c>
      <c r="Y104" s="104">
        <v>21.2</v>
      </c>
      <c r="Z104" s="104">
        <v>18</v>
      </c>
      <c r="AA104" s="104">
        <v>12.7</v>
      </c>
      <c r="AB104" s="104">
        <v>10.5</v>
      </c>
      <c r="AC104" s="104">
        <v>5</v>
      </c>
      <c r="AD104" s="104">
        <v>2</v>
      </c>
      <c r="AE104" s="104">
        <v>-1</v>
      </c>
      <c r="AF104" s="104">
        <v>-10</v>
      </c>
      <c r="AG104" s="103">
        <v>60</v>
      </c>
      <c r="AH104" s="48">
        <f t="shared" si="10"/>
        <v>21.2</v>
      </c>
      <c r="AI104" s="49">
        <f t="shared" si="11"/>
        <v>-10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4">
        <v>0</v>
      </c>
      <c r="Y105" s="104">
        <v>0</v>
      </c>
      <c r="Z105" s="106">
        <v>0</v>
      </c>
      <c r="AA105" s="106">
        <v>0</v>
      </c>
      <c r="AB105" s="106">
        <v>0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10"/>
        <v>0</v>
      </c>
      <c r="AI105" s="49">
        <f t="shared" si="11"/>
        <v>0</v>
      </c>
    </row>
    <row r="106" spans="1:37" x14ac:dyDescent="0.25">
      <c r="A106" s="105" t="s">
        <v>110</v>
      </c>
      <c r="B106" s="106">
        <v>-15.3</v>
      </c>
      <c r="C106" s="106">
        <v>-15.3</v>
      </c>
      <c r="D106" s="106">
        <v>-17.7</v>
      </c>
      <c r="E106" s="106">
        <v>-24</v>
      </c>
      <c r="F106" s="106">
        <v>-25</v>
      </c>
      <c r="G106" s="106">
        <v>-10.4</v>
      </c>
      <c r="H106" s="106">
        <v>-12</v>
      </c>
      <c r="I106" s="106">
        <v>-5</v>
      </c>
      <c r="J106" s="106">
        <v>-3</v>
      </c>
      <c r="K106" s="106">
        <v>25</v>
      </c>
      <c r="L106" s="106">
        <v>35</v>
      </c>
      <c r="M106" s="106">
        <v>11</v>
      </c>
      <c r="N106" s="106">
        <v>7</v>
      </c>
      <c r="O106" s="106">
        <v>3.38</v>
      </c>
      <c r="P106" s="106">
        <v>7.2</v>
      </c>
      <c r="Q106" s="106">
        <v>-7.5</v>
      </c>
      <c r="R106" s="106">
        <v>-12.8</v>
      </c>
      <c r="S106" s="106">
        <v>-7.8</v>
      </c>
      <c r="T106" s="106">
        <v>1.6</v>
      </c>
      <c r="U106" s="106">
        <v>24.3</v>
      </c>
      <c r="V106" s="106">
        <v>48</v>
      </c>
      <c r="W106" s="106">
        <v>50.4</v>
      </c>
      <c r="X106" s="106">
        <v>70</v>
      </c>
      <c r="Y106" s="106">
        <v>70</v>
      </c>
      <c r="Z106" s="106">
        <v>35</v>
      </c>
      <c r="AA106" s="106">
        <v>6.9</v>
      </c>
      <c r="AB106" s="106">
        <v>4</v>
      </c>
      <c r="AC106" s="106">
        <v>-18</v>
      </c>
      <c r="AD106" s="106">
        <v>-28</v>
      </c>
      <c r="AE106" s="106">
        <v>22</v>
      </c>
      <c r="AF106" s="106">
        <v>24</v>
      </c>
      <c r="AG106" s="107"/>
      <c r="AH106" s="48">
        <f t="shared" si="10"/>
        <v>70</v>
      </c>
      <c r="AI106" s="49">
        <f t="shared" si="11"/>
        <v>-28</v>
      </c>
    </row>
    <row r="107" spans="1:37" x14ac:dyDescent="0.25">
      <c r="A107" s="105" t="s">
        <v>111</v>
      </c>
      <c r="B107" s="106">
        <v>8.5</v>
      </c>
      <c r="C107" s="106">
        <v>8.5</v>
      </c>
      <c r="D107" s="106">
        <v>2</v>
      </c>
      <c r="E107" s="106">
        <v>-6</v>
      </c>
      <c r="F107" s="106">
        <v>-8</v>
      </c>
      <c r="G107" s="106">
        <v>-8.1999999999999993</v>
      </c>
      <c r="H107" s="106">
        <v>-9</v>
      </c>
      <c r="I107" s="106">
        <v>-21</v>
      </c>
      <c r="J107" s="106">
        <v>-9</v>
      </c>
      <c r="K107" s="106">
        <v>4</v>
      </c>
      <c r="L107" s="106">
        <v>6.4</v>
      </c>
      <c r="M107" s="106">
        <v>-13</v>
      </c>
      <c r="N107" s="106">
        <v>-16</v>
      </c>
      <c r="O107" s="106">
        <v>30.78</v>
      </c>
      <c r="P107" s="106">
        <v>-19.899999999999999</v>
      </c>
      <c r="Q107" s="106">
        <v>-17.600000000000001</v>
      </c>
      <c r="R107" s="106">
        <v>-20</v>
      </c>
      <c r="S107" s="106">
        <v>-24.4</v>
      </c>
      <c r="T107" s="106">
        <v>-10.199999999999999</v>
      </c>
      <c r="U107" s="106">
        <v>6.6</v>
      </c>
      <c r="V107" s="106">
        <v>16.3</v>
      </c>
      <c r="W107" s="106">
        <v>19.600000000000001</v>
      </c>
      <c r="X107" s="106">
        <v>36.5</v>
      </c>
      <c r="Y107" s="106">
        <v>36.5</v>
      </c>
      <c r="Z107" s="106">
        <v>18</v>
      </c>
      <c r="AA107" s="106">
        <v>1.3</v>
      </c>
      <c r="AB107" s="106">
        <v>1</v>
      </c>
      <c r="AC107" s="106">
        <v>1</v>
      </c>
      <c r="AD107" s="106">
        <v>2</v>
      </c>
      <c r="AE107" s="106">
        <v>3</v>
      </c>
      <c r="AF107" s="106">
        <v>11</v>
      </c>
      <c r="AG107" s="108"/>
      <c r="AH107" s="48">
        <f t="shared" si="10"/>
        <v>36.5</v>
      </c>
      <c r="AI107" s="49">
        <f t="shared" si="11"/>
        <v>-24.4</v>
      </c>
    </row>
    <row r="108" spans="1:37" x14ac:dyDescent="0.25">
      <c r="A108" s="109" t="s">
        <v>112</v>
      </c>
      <c r="B108" s="94">
        <v>89.5</v>
      </c>
      <c r="C108" s="94">
        <v>89.5</v>
      </c>
      <c r="D108" s="94">
        <v>92.6</v>
      </c>
      <c r="E108" s="94">
        <v>94</v>
      </c>
      <c r="F108" s="94">
        <v>93</v>
      </c>
      <c r="G108" s="94">
        <v>89</v>
      </c>
      <c r="H108" s="94">
        <v>85</v>
      </c>
      <c r="I108" s="94">
        <v>82</v>
      </c>
      <c r="J108" s="94">
        <v>79</v>
      </c>
      <c r="K108" s="94">
        <v>74</v>
      </c>
      <c r="L108" s="94">
        <v>70</v>
      </c>
      <c r="M108" s="94">
        <v>72</v>
      </c>
      <c r="N108" s="94">
        <v>74</v>
      </c>
      <c r="O108" s="94">
        <v>77.05</v>
      </c>
      <c r="P108" s="94">
        <v>75.7</v>
      </c>
      <c r="Q108" s="94">
        <v>79</v>
      </c>
      <c r="R108" s="94">
        <v>77.8</v>
      </c>
      <c r="S108" s="94">
        <v>74.7</v>
      </c>
      <c r="T108" s="94">
        <v>71.599999999999994</v>
      </c>
      <c r="U108" s="94">
        <v>33</v>
      </c>
      <c r="V108" s="94">
        <v>63.6</v>
      </c>
      <c r="W108" s="94">
        <v>52</v>
      </c>
      <c r="X108" s="106">
        <v>47</v>
      </c>
      <c r="Y108" s="106">
        <v>47</v>
      </c>
      <c r="Z108" s="94">
        <v>62</v>
      </c>
      <c r="AA108" s="94">
        <v>68</v>
      </c>
      <c r="AB108" s="94">
        <v>63</v>
      </c>
      <c r="AC108" s="94">
        <v>75</v>
      </c>
      <c r="AD108" s="94">
        <v>82</v>
      </c>
      <c r="AE108" s="94">
        <v>87</v>
      </c>
      <c r="AF108" s="94">
        <v>88</v>
      </c>
      <c r="AG108" s="108"/>
      <c r="AH108" s="48">
        <f t="shared" si="10"/>
        <v>94</v>
      </c>
      <c r="AI108" s="49">
        <f t="shared" si="11"/>
        <v>33</v>
      </c>
    </row>
    <row r="109" spans="1:37" ht="15.75" thickBot="1" x14ac:dyDescent="0.3">
      <c r="A109" s="109" t="s">
        <v>113</v>
      </c>
      <c r="B109" s="94">
        <v>96</v>
      </c>
      <c r="C109" s="94">
        <v>107</v>
      </c>
      <c r="D109" s="94">
        <v>105</v>
      </c>
      <c r="E109" s="94">
        <v>98</v>
      </c>
      <c r="F109" s="94">
        <v>104</v>
      </c>
      <c r="G109" s="94">
        <v>100</v>
      </c>
      <c r="H109" s="94">
        <v>97</v>
      </c>
      <c r="I109" s="94">
        <v>92</v>
      </c>
      <c r="J109" s="94">
        <v>81</v>
      </c>
      <c r="K109" s="94">
        <v>60</v>
      </c>
      <c r="L109" s="94">
        <v>58</v>
      </c>
      <c r="M109" s="94">
        <v>79</v>
      </c>
      <c r="N109" s="94">
        <v>86</v>
      </c>
      <c r="O109" s="94">
        <v>89.6</v>
      </c>
      <c r="P109" s="94">
        <v>98.2</v>
      </c>
      <c r="Q109" s="94">
        <v>90.3</v>
      </c>
      <c r="R109" s="94">
        <v>93.6</v>
      </c>
      <c r="S109" s="94">
        <v>96.1</v>
      </c>
      <c r="T109" s="94">
        <v>86.4</v>
      </c>
      <c r="U109" s="94">
        <v>60</v>
      </c>
      <c r="V109" s="94">
        <v>35</v>
      </c>
      <c r="W109" s="94">
        <v>29.3</v>
      </c>
      <c r="X109" s="94"/>
      <c r="Y109" s="94">
        <v>18</v>
      </c>
      <c r="Z109" s="94">
        <v>34.299999999999997</v>
      </c>
      <c r="AA109" s="94">
        <v>58.5</v>
      </c>
      <c r="AB109" s="94">
        <v>62.5</v>
      </c>
      <c r="AC109" s="94">
        <v>77</v>
      </c>
      <c r="AD109" s="94">
        <v>100</v>
      </c>
      <c r="AE109" s="94">
        <v>96</v>
      </c>
      <c r="AF109" s="94">
        <v>100</v>
      </c>
      <c r="AG109" s="108"/>
      <c r="AH109" s="48">
        <f t="shared" si="10"/>
        <v>107</v>
      </c>
      <c r="AI109" s="49">
        <f t="shared" si="11"/>
        <v>18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23">SUM(B111:B215)</f>
        <v>0</v>
      </c>
      <c r="C216" s="125">
        <f t="shared" si="23"/>
        <v>0</v>
      </c>
      <c r="D216" s="125">
        <f t="shared" si="23"/>
        <v>0</v>
      </c>
      <c r="E216" s="125">
        <f t="shared" si="23"/>
        <v>0</v>
      </c>
      <c r="F216" s="125">
        <f t="shared" si="23"/>
        <v>0</v>
      </c>
      <c r="G216" s="125">
        <f t="shared" si="23"/>
        <v>0</v>
      </c>
      <c r="H216" s="125">
        <f t="shared" si="23"/>
        <v>0</v>
      </c>
      <c r="I216" s="125">
        <f t="shared" si="23"/>
        <v>0</v>
      </c>
      <c r="J216" s="125">
        <f t="shared" si="23"/>
        <v>0</v>
      </c>
      <c r="K216" s="125">
        <f t="shared" si="23"/>
        <v>0</v>
      </c>
      <c r="L216" s="125">
        <f t="shared" si="23"/>
        <v>0</v>
      </c>
      <c r="M216" s="125">
        <f t="shared" si="23"/>
        <v>0</v>
      </c>
      <c r="N216" s="125">
        <f t="shared" si="23"/>
        <v>0</v>
      </c>
      <c r="O216" s="125">
        <f t="shared" si="23"/>
        <v>0</v>
      </c>
      <c r="P216" s="125">
        <f t="shared" si="23"/>
        <v>0</v>
      </c>
      <c r="Q216" s="125">
        <f t="shared" si="23"/>
        <v>0</v>
      </c>
      <c r="R216" s="125">
        <f t="shared" si="23"/>
        <v>0</v>
      </c>
      <c r="S216" s="125">
        <f t="shared" si="23"/>
        <v>0</v>
      </c>
      <c r="T216" s="125">
        <f t="shared" si="23"/>
        <v>0</v>
      </c>
      <c r="U216" s="125">
        <f t="shared" si="23"/>
        <v>0</v>
      </c>
      <c r="V216" s="125">
        <f t="shared" si="23"/>
        <v>0</v>
      </c>
      <c r="W216" s="125">
        <f t="shared" si="23"/>
        <v>0</v>
      </c>
      <c r="X216" s="125">
        <f t="shared" si="23"/>
        <v>0</v>
      </c>
      <c r="Y216" s="125">
        <f t="shared" si="23"/>
        <v>0</v>
      </c>
      <c r="Z216" s="125">
        <f t="shared" si="23"/>
        <v>0</v>
      </c>
      <c r="AA216" s="125">
        <f t="shared" si="23"/>
        <v>0</v>
      </c>
      <c r="AB216" s="125">
        <f t="shared" si="23"/>
        <v>0</v>
      </c>
      <c r="AC216" s="125">
        <f t="shared" si="23"/>
        <v>0</v>
      </c>
      <c r="AD216" s="125">
        <f t="shared" si="23"/>
        <v>0</v>
      </c>
      <c r="AE216" s="125">
        <f t="shared" si="23"/>
        <v>0</v>
      </c>
      <c r="AF216" s="126">
        <f t="shared" si="23"/>
        <v>0</v>
      </c>
      <c r="AG216" s="127">
        <f t="shared" si="23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24">AF218</f>
        <v>0</v>
      </c>
      <c r="C218" s="129">
        <v>0.3</v>
      </c>
      <c r="D218" s="129">
        <f t="shared" ref="D218:P223" si="25">C218</f>
        <v>0.3</v>
      </c>
      <c r="E218" s="129">
        <f t="shared" si="25"/>
        <v>0.3</v>
      </c>
      <c r="F218" s="129">
        <f t="shared" si="25"/>
        <v>0.3</v>
      </c>
      <c r="G218" s="129">
        <f t="shared" si="25"/>
        <v>0.3</v>
      </c>
      <c r="H218" s="129">
        <f t="shared" si="25"/>
        <v>0.3</v>
      </c>
      <c r="I218" s="129">
        <f t="shared" si="25"/>
        <v>0.3</v>
      </c>
      <c r="J218" s="129">
        <f t="shared" si="25"/>
        <v>0.3</v>
      </c>
      <c r="K218" s="129">
        <f t="shared" si="25"/>
        <v>0.3</v>
      </c>
      <c r="L218" s="129">
        <f t="shared" si="25"/>
        <v>0.3</v>
      </c>
      <c r="M218" s="129">
        <f t="shared" si="25"/>
        <v>0.3</v>
      </c>
      <c r="N218" s="129">
        <f t="shared" si="25"/>
        <v>0.3</v>
      </c>
      <c r="O218" s="129">
        <f t="shared" si="25"/>
        <v>0.3</v>
      </c>
      <c r="P218" s="129">
        <f t="shared" si="25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24"/>
        <v>0</v>
      </c>
      <c r="C219" s="117">
        <v>0.4</v>
      </c>
      <c r="D219" s="117">
        <f t="shared" si="25"/>
        <v>0.4</v>
      </c>
      <c r="E219" s="117">
        <f t="shared" si="25"/>
        <v>0.4</v>
      </c>
      <c r="F219" s="117">
        <f t="shared" si="25"/>
        <v>0.4</v>
      </c>
      <c r="G219" s="117">
        <f t="shared" si="25"/>
        <v>0.4</v>
      </c>
      <c r="H219" s="117">
        <f t="shared" si="25"/>
        <v>0.4</v>
      </c>
      <c r="I219" s="117">
        <f t="shared" si="25"/>
        <v>0.4</v>
      </c>
      <c r="J219" s="117">
        <f t="shared" si="25"/>
        <v>0.4</v>
      </c>
      <c r="K219" s="117">
        <f t="shared" si="25"/>
        <v>0.4</v>
      </c>
      <c r="L219" s="117">
        <f t="shared" si="25"/>
        <v>0.4</v>
      </c>
      <c r="M219" s="117">
        <f t="shared" si="25"/>
        <v>0.4</v>
      </c>
      <c r="N219" s="117">
        <f t="shared" si="25"/>
        <v>0.4</v>
      </c>
      <c r="O219" s="117">
        <f t="shared" si="25"/>
        <v>0.4</v>
      </c>
      <c r="P219" s="117">
        <f t="shared" si="25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24"/>
        <v>0</v>
      </c>
      <c r="C220" s="117">
        <v>1.5</v>
      </c>
      <c r="D220" s="117">
        <f t="shared" si="25"/>
        <v>1.5</v>
      </c>
      <c r="E220" s="117">
        <f t="shared" si="25"/>
        <v>1.5</v>
      </c>
      <c r="F220" s="117">
        <f t="shared" si="25"/>
        <v>1.5</v>
      </c>
      <c r="G220" s="117">
        <f t="shared" si="25"/>
        <v>1.5</v>
      </c>
      <c r="H220" s="117">
        <f t="shared" si="25"/>
        <v>1.5</v>
      </c>
      <c r="I220" s="117">
        <f t="shared" si="25"/>
        <v>1.5</v>
      </c>
      <c r="J220" s="117">
        <f t="shared" si="25"/>
        <v>1.5</v>
      </c>
      <c r="K220" s="117">
        <f t="shared" si="25"/>
        <v>1.5</v>
      </c>
      <c r="L220" s="117">
        <f t="shared" si="25"/>
        <v>1.5</v>
      </c>
      <c r="M220" s="117">
        <f t="shared" si="25"/>
        <v>1.5</v>
      </c>
      <c r="N220" s="117">
        <f t="shared" si="25"/>
        <v>1.5</v>
      </c>
      <c r="O220" s="117">
        <f t="shared" si="25"/>
        <v>1.5</v>
      </c>
      <c r="P220" s="117">
        <f t="shared" si="25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24"/>
        <v>0</v>
      </c>
      <c r="C221" s="117">
        <v>0.3</v>
      </c>
      <c r="D221" s="117">
        <f t="shared" si="25"/>
        <v>0.3</v>
      </c>
      <c r="E221" s="117">
        <f t="shared" si="25"/>
        <v>0.3</v>
      </c>
      <c r="F221" s="117">
        <f t="shared" si="25"/>
        <v>0.3</v>
      </c>
      <c r="G221" s="117">
        <f t="shared" si="25"/>
        <v>0.3</v>
      </c>
      <c r="H221" s="117">
        <f t="shared" si="25"/>
        <v>0.3</v>
      </c>
      <c r="I221" s="117">
        <f t="shared" si="25"/>
        <v>0.3</v>
      </c>
      <c r="J221" s="117">
        <f t="shared" si="25"/>
        <v>0.3</v>
      </c>
      <c r="K221" s="117">
        <f t="shared" si="25"/>
        <v>0.3</v>
      </c>
      <c r="L221" s="117">
        <f t="shared" si="25"/>
        <v>0.3</v>
      </c>
      <c r="M221" s="117">
        <f t="shared" si="25"/>
        <v>0.3</v>
      </c>
      <c r="N221" s="117">
        <f t="shared" si="25"/>
        <v>0.3</v>
      </c>
      <c r="O221" s="117">
        <f t="shared" si="25"/>
        <v>0.3</v>
      </c>
      <c r="P221" s="117">
        <f t="shared" si="25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24"/>
        <v>0</v>
      </c>
      <c r="C222" s="117">
        <v>0.4</v>
      </c>
      <c r="D222" s="117">
        <f t="shared" si="25"/>
        <v>0.4</v>
      </c>
      <c r="E222" s="117">
        <f t="shared" si="25"/>
        <v>0.4</v>
      </c>
      <c r="F222" s="117">
        <f t="shared" si="25"/>
        <v>0.4</v>
      </c>
      <c r="G222" s="117">
        <f t="shared" si="25"/>
        <v>0.4</v>
      </c>
      <c r="H222" s="117">
        <f t="shared" si="25"/>
        <v>0.4</v>
      </c>
      <c r="I222" s="117">
        <f t="shared" si="25"/>
        <v>0.4</v>
      </c>
      <c r="J222" s="117">
        <f t="shared" si="25"/>
        <v>0.4</v>
      </c>
      <c r="K222" s="117">
        <f t="shared" si="25"/>
        <v>0.4</v>
      </c>
      <c r="L222" s="117">
        <f t="shared" si="25"/>
        <v>0.4</v>
      </c>
      <c r="M222" s="117">
        <f t="shared" si="25"/>
        <v>0.4</v>
      </c>
      <c r="N222" s="117">
        <f t="shared" si="25"/>
        <v>0.4</v>
      </c>
      <c r="O222" s="117">
        <f t="shared" si="25"/>
        <v>0.4</v>
      </c>
      <c r="P222" s="117">
        <f t="shared" si="25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24"/>
        <v>0</v>
      </c>
      <c r="C223" s="121">
        <v>0.64</v>
      </c>
      <c r="D223" s="121">
        <f t="shared" si="25"/>
        <v>0.64</v>
      </c>
      <c r="E223" s="121">
        <f t="shared" si="25"/>
        <v>0.64</v>
      </c>
      <c r="F223" s="121">
        <f t="shared" si="25"/>
        <v>0.64</v>
      </c>
      <c r="G223" s="121">
        <f t="shared" si="25"/>
        <v>0.64</v>
      </c>
      <c r="H223" s="121">
        <f t="shared" si="25"/>
        <v>0.64</v>
      </c>
      <c r="I223" s="121">
        <f t="shared" si="25"/>
        <v>0.64</v>
      </c>
      <c r="J223" s="121">
        <f t="shared" si="25"/>
        <v>0.64</v>
      </c>
      <c r="K223" s="121">
        <f t="shared" si="25"/>
        <v>0.64</v>
      </c>
      <c r="L223" s="121">
        <f t="shared" si="25"/>
        <v>0.64</v>
      </c>
      <c r="M223" s="121">
        <f t="shared" si="25"/>
        <v>0.64</v>
      </c>
      <c r="N223" s="121">
        <f t="shared" si="25"/>
        <v>0.64</v>
      </c>
      <c r="O223" s="121">
        <f t="shared" si="25"/>
        <v>0.64</v>
      </c>
      <c r="P223" s="121">
        <f t="shared" si="25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6">SUM(B218:B223)</f>
        <v>0</v>
      </c>
      <c r="C224" s="125">
        <f t="shared" si="26"/>
        <v>3.54</v>
      </c>
      <c r="D224" s="125">
        <f t="shared" si="26"/>
        <v>3.54</v>
      </c>
      <c r="E224" s="125">
        <f t="shared" si="26"/>
        <v>3.54</v>
      </c>
      <c r="F224" s="125">
        <f t="shared" si="26"/>
        <v>3.54</v>
      </c>
      <c r="G224" s="125">
        <f t="shared" si="26"/>
        <v>3.54</v>
      </c>
      <c r="H224" s="125">
        <f t="shared" si="26"/>
        <v>3.54</v>
      </c>
      <c r="I224" s="125">
        <f t="shared" si="26"/>
        <v>3.54</v>
      </c>
      <c r="J224" s="125">
        <f t="shared" si="26"/>
        <v>3.54</v>
      </c>
      <c r="K224" s="125">
        <f t="shared" si="26"/>
        <v>3.54</v>
      </c>
      <c r="L224" s="125">
        <f t="shared" si="26"/>
        <v>3.54</v>
      </c>
      <c r="M224" s="125">
        <f t="shared" si="26"/>
        <v>3.54</v>
      </c>
      <c r="N224" s="125">
        <f t="shared" si="26"/>
        <v>3.54</v>
      </c>
      <c r="O224" s="125">
        <f t="shared" si="26"/>
        <v>3.54</v>
      </c>
      <c r="P224" s="125">
        <f t="shared" si="26"/>
        <v>3.54</v>
      </c>
      <c r="Q224" s="125">
        <f t="shared" si="26"/>
        <v>0</v>
      </c>
      <c r="R224" s="125">
        <f t="shared" si="26"/>
        <v>0</v>
      </c>
      <c r="S224" s="125">
        <f t="shared" si="26"/>
        <v>0</v>
      </c>
      <c r="T224" s="125">
        <f t="shared" si="26"/>
        <v>0</v>
      </c>
      <c r="U224" s="125">
        <f t="shared" si="26"/>
        <v>0</v>
      </c>
      <c r="V224" s="125">
        <f t="shared" si="26"/>
        <v>0</v>
      </c>
      <c r="W224" s="125">
        <f t="shared" si="26"/>
        <v>0</v>
      </c>
      <c r="X224" s="125">
        <f t="shared" si="26"/>
        <v>0</v>
      </c>
      <c r="Y224" s="125">
        <f t="shared" si="26"/>
        <v>0</v>
      </c>
      <c r="Z224" s="125">
        <f t="shared" si="26"/>
        <v>0</v>
      </c>
      <c r="AA224" s="125">
        <f t="shared" si="26"/>
        <v>0</v>
      </c>
      <c r="AB224" s="125">
        <f t="shared" si="26"/>
        <v>0</v>
      </c>
      <c r="AC224" s="125">
        <f t="shared" si="26"/>
        <v>0</v>
      </c>
      <c r="AD224" s="125">
        <f t="shared" si="26"/>
        <v>0</v>
      </c>
      <c r="AE224" s="125">
        <f t="shared" si="26"/>
        <v>0</v>
      </c>
      <c r="AF224" s="125">
        <f t="shared" si="26"/>
        <v>0</v>
      </c>
      <c r="AG224" s="134">
        <f t="shared" si="26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1596.7400000000002</v>
      </c>
      <c r="C233" s="150">
        <f>INDEX(G9:N9,1,MATCH(MAX(G81:N81),G81:N81,0))</f>
        <v>0.33333333333333331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23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2079/06/23)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2079/06/23)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27">B81</f>
        <v>1687.24</v>
      </c>
      <c r="U238" s="159">
        <f t="shared" si="27"/>
        <v>1192.74</v>
      </c>
      <c r="V238" s="159">
        <f t="shared" si="27"/>
        <v>1147.6399999999999</v>
      </c>
      <c r="W238" s="159">
        <f t="shared" si="27"/>
        <v>1175.94</v>
      </c>
      <c r="X238" s="159">
        <f t="shared" si="27"/>
        <v>1173.54</v>
      </c>
      <c r="Y238" s="159">
        <f t="shared" si="27"/>
        <v>1208.54</v>
      </c>
      <c r="Z238" s="159">
        <f t="shared" si="27"/>
        <v>1289.94</v>
      </c>
      <c r="AA238" s="159">
        <f t="shared" si="27"/>
        <v>1403.34</v>
      </c>
      <c r="AB238" s="159">
        <f t="shared" si="27"/>
        <v>1427.04</v>
      </c>
      <c r="AC238" s="159">
        <f t="shared" si="27"/>
        <v>1551.04</v>
      </c>
      <c r="AD238" s="159">
        <f t="shared" si="27"/>
        <v>1593.7400000000002</v>
      </c>
      <c r="AE238" s="159">
        <f t="shared" si="27"/>
        <v>1596.7400000000002</v>
      </c>
      <c r="AF238" s="159">
        <f t="shared" si="27"/>
        <v>1522.34</v>
      </c>
      <c r="AG238" s="159">
        <f t="shared" si="27"/>
        <v>1490.24</v>
      </c>
      <c r="AH238" s="159">
        <f t="shared" si="27"/>
        <v>1362.04</v>
      </c>
      <c r="AI238" s="159">
        <f t="shared" si="27"/>
        <v>1287.24</v>
      </c>
      <c r="AJ238" s="159">
        <f t="shared" si="27"/>
        <v>1243.3399999999999</v>
      </c>
      <c r="AK238" s="159">
        <f t="shared" si="27"/>
        <v>1268.4399999999998</v>
      </c>
      <c r="AL238" s="159">
        <f t="shared" si="27"/>
        <v>1289.8399999999999</v>
      </c>
      <c r="AM238" s="159">
        <f t="shared" si="27"/>
        <v>1435.7399999999998</v>
      </c>
      <c r="AN238" s="159">
        <f t="shared" si="27"/>
        <v>1441.7399999999998</v>
      </c>
      <c r="AO238" s="159">
        <f t="shared" si="27"/>
        <v>1550.1399999999999</v>
      </c>
      <c r="AP238" s="159">
        <f t="shared" si="27"/>
        <v>1728.1399999999999</v>
      </c>
      <c r="AQ238" s="159">
        <f t="shared" si="27"/>
        <v>1723.1399999999999</v>
      </c>
      <c r="AR238" s="159">
        <f t="shared" si="27"/>
        <v>1658.1399999999999</v>
      </c>
      <c r="AS238" s="159">
        <f t="shared" si="27"/>
        <v>1636.94</v>
      </c>
      <c r="AT238" s="159">
        <f t="shared" si="27"/>
        <v>1607.94</v>
      </c>
      <c r="AU238" s="159">
        <f t="shared" si="27"/>
        <v>1428.54</v>
      </c>
      <c r="AV238" s="159">
        <f t="shared" si="27"/>
        <v>1402.84</v>
      </c>
      <c r="AW238" s="159">
        <f t="shared" si="27"/>
        <v>1297.44</v>
      </c>
      <c r="AX238" s="159">
        <f t="shared" si="27"/>
        <v>1266.44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28">C223</f>
        <v>0.64</v>
      </c>
      <c r="C259" s="162">
        <f t="shared" si="28"/>
        <v>0.64</v>
      </c>
      <c r="D259" s="162">
        <f t="shared" si="28"/>
        <v>0.64</v>
      </c>
      <c r="E259" s="162">
        <f t="shared" si="28"/>
        <v>0.64</v>
      </c>
      <c r="F259" s="162">
        <f t="shared" si="28"/>
        <v>0.64</v>
      </c>
      <c r="G259" s="162">
        <f t="shared" si="28"/>
        <v>0.64</v>
      </c>
      <c r="H259" s="162">
        <f t="shared" si="28"/>
        <v>0.64</v>
      </c>
      <c r="I259" s="162">
        <f t="shared" si="28"/>
        <v>0.64</v>
      </c>
      <c r="J259" s="162">
        <f t="shared" si="28"/>
        <v>0.64</v>
      </c>
      <c r="K259" s="162">
        <f t="shared" si="28"/>
        <v>0.64</v>
      </c>
      <c r="L259" s="162">
        <f t="shared" si="28"/>
        <v>0.64</v>
      </c>
      <c r="M259" s="162">
        <f t="shared" si="28"/>
        <v>0.64</v>
      </c>
      <c r="N259" s="162">
        <f t="shared" si="28"/>
        <v>0.64</v>
      </c>
      <c r="O259" s="162">
        <f t="shared" si="28"/>
        <v>0.64</v>
      </c>
      <c r="P259" s="162">
        <f t="shared" si="28"/>
        <v>0</v>
      </c>
      <c r="Q259" s="162">
        <f t="shared" si="28"/>
        <v>0</v>
      </c>
      <c r="R259" s="162">
        <f t="shared" si="28"/>
        <v>0</v>
      </c>
      <c r="S259" s="162">
        <f t="shared" si="28"/>
        <v>0</v>
      </c>
      <c r="T259" s="162">
        <f t="shared" si="28"/>
        <v>0</v>
      </c>
      <c r="U259" s="162">
        <f t="shared" si="28"/>
        <v>0</v>
      </c>
      <c r="V259" s="162">
        <f t="shared" si="28"/>
        <v>0</v>
      </c>
      <c r="W259" s="162">
        <f t="shared" si="28"/>
        <v>0</v>
      </c>
      <c r="X259" s="162">
        <f t="shared" si="28"/>
        <v>0</v>
      </c>
      <c r="Y259" s="162">
        <f t="shared" si="28"/>
        <v>0</v>
      </c>
      <c r="Z259" s="162">
        <f t="shared" si="28"/>
        <v>0</v>
      </c>
      <c r="AA259" s="162">
        <f t="shared" si="28"/>
        <v>0</v>
      </c>
      <c r="AB259" s="162">
        <f t="shared" si="28"/>
        <v>0</v>
      </c>
      <c r="AC259" s="162">
        <f t="shared" si="28"/>
        <v>0</v>
      </c>
      <c r="AD259" s="162">
        <f t="shared" si="28"/>
        <v>0</v>
      </c>
      <c r="AE259" s="162">
        <f t="shared" si="28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29">IF(B227&lt;100,"",B227-520)</f>
        <v/>
      </c>
      <c r="C260" s="163" t="str">
        <f t="shared" si="29"/>
        <v/>
      </c>
      <c r="D260" s="163" t="str">
        <f t="shared" si="29"/>
        <v/>
      </c>
      <c r="E260" s="163" t="str">
        <f t="shared" si="29"/>
        <v/>
      </c>
      <c r="F260" s="163" t="str">
        <f t="shared" si="29"/>
        <v/>
      </c>
      <c r="G260" s="163" t="str">
        <f t="shared" si="29"/>
        <v/>
      </c>
      <c r="H260" s="163" t="str">
        <f t="shared" si="29"/>
        <v/>
      </c>
      <c r="I260" s="163" t="str">
        <f t="shared" si="29"/>
        <v/>
      </c>
      <c r="J260" s="163" t="str">
        <f t="shared" si="29"/>
        <v/>
      </c>
      <c r="K260" s="163" t="str">
        <f t="shared" si="29"/>
        <v/>
      </c>
      <c r="L260" s="163" t="str">
        <f t="shared" si="29"/>
        <v/>
      </c>
      <c r="M260" s="163" t="str">
        <f t="shared" si="29"/>
        <v/>
      </c>
      <c r="N260" s="163" t="str">
        <f t="shared" si="29"/>
        <v/>
      </c>
      <c r="O260" s="163" t="str">
        <f t="shared" si="29"/>
        <v/>
      </c>
      <c r="P260" s="163" t="str">
        <f t="shared" si="29"/>
        <v/>
      </c>
      <c r="Q260" s="163" t="str">
        <f t="shared" si="29"/>
        <v/>
      </c>
      <c r="R260" s="163" t="str">
        <f t="shared" si="29"/>
        <v/>
      </c>
      <c r="S260" s="163" t="str">
        <f t="shared" si="29"/>
        <v/>
      </c>
      <c r="T260" s="163" t="str">
        <f t="shared" si="29"/>
        <v/>
      </c>
      <c r="U260" s="163" t="str">
        <f t="shared" si="29"/>
        <v/>
      </c>
      <c r="V260" s="163" t="str">
        <f t="shared" si="29"/>
        <v/>
      </c>
      <c r="W260" s="163" t="str">
        <f t="shared" si="29"/>
        <v/>
      </c>
      <c r="X260" s="163" t="str">
        <f t="shared" si="29"/>
        <v/>
      </c>
      <c r="Y260" s="163" t="str">
        <f t="shared" si="29"/>
        <v/>
      </c>
      <c r="Z260" s="163" t="str">
        <f t="shared" si="29"/>
        <v/>
      </c>
      <c r="AA260" s="163" t="str">
        <f t="shared" si="29"/>
        <v/>
      </c>
      <c r="AB260" s="163" t="str">
        <f t="shared" si="29"/>
        <v/>
      </c>
      <c r="AC260" s="163" t="str">
        <f t="shared" si="29"/>
        <v/>
      </c>
      <c r="AD260" s="163" t="str">
        <f t="shared" si="29"/>
        <v/>
      </c>
      <c r="AE260" s="163" t="str">
        <f t="shared" si="29"/>
        <v/>
      </c>
      <c r="AF260" s="163" t="str">
        <f t="shared" si="29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30">IF(B228&lt;100,"",B228-620)</f>
        <v/>
      </c>
      <c r="C261" s="163" t="str">
        <f t="shared" si="30"/>
        <v/>
      </c>
      <c r="D261" s="163" t="str">
        <f t="shared" si="30"/>
        <v/>
      </c>
      <c r="E261" s="163" t="str">
        <f t="shared" si="30"/>
        <v/>
      </c>
      <c r="F261" s="163" t="str">
        <f t="shared" si="30"/>
        <v/>
      </c>
      <c r="G261" s="163" t="str">
        <f t="shared" si="30"/>
        <v/>
      </c>
      <c r="H261" s="163" t="str">
        <f t="shared" si="30"/>
        <v/>
      </c>
      <c r="I261" s="163" t="str">
        <f t="shared" si="30"/>
        <v/>
      </c>
      <c r="J261" s="163" t="str">
        <f t="shared" si="30"/>
        <v/>
      </c>
      <c r="K261" s="163" t="str">
        <f t="shared" si="30"/>
        <v/>
      </c>
      <c r="L261" s="163" t="str">
        <f t="shared" si="30"/>
        <v/>
      </c>
      <c r="M261" s="163" t="str">
        <f t="shared" si="30"/>
        <v/>
      </c>
      <c r="N261" s="163" t="str">
        <f t="shared" si="30"/>
        <v/>
      </c>
      <c r="O261" s="163" t="str">
        <f t="shared" si="30"/>
        <v/>
      </c>
      <c r="P261" s="163" t="str">
        <f t="shared" si="30"/>
        <v/>
      </c>
      <c r="Q261" s="163" t="str">
        <f t="shared" si="30"/>
        <v/>
      </c>
      <c r="R261" s="163" t="str">
        <f t="shared" si="30"/>
        <v/>
      </c>
      <c r="S261" s="163" t="str">
        <f t="shared" si="30"/>
        <v/>
      </c>
      <c r="T261" s="163" t="str">
        <f t="shared" si="30"/>
        <v/>
      </c>
      <c r="U261" s="163" t="str">
        <f t="shared" si="30"/>
        <v/>
      </c>
      <c r="V261" s="163" t="str">
        <f t="shared" si="30"/>
        <v/>
      </c>
      <c r="W261" s="163" t="str">
        <f t="shared" si="30"/>
        <v/>
      </c>
      <c r="X261" s="163" t="str">
        <f t="shared" si="30"/>
        <v/>
      </c>
      <c r="Y261" s="163" t="str">
        <f t="shared" si="30"/>
        <v/>
      </c>
      <c r="Z261" s="163" t="str">
        <f t="shared" si="30"/>
        <v/>
      </c>
      <c r="AA261" s="163" t="str">
        <f t="shared" si="30"/>
        <v/>
      </c>
      <c r="AB261" s="163" t="str">
        <f t="shared" si="30"/>
        <v/>
      </c>
      <c r="AC261" s="163" t="str">
        <f t="shared" si="30"/>
        <v/>
      </c>
      <c r="AD261" s="163" t="str">
        <f t="shared" si="30"/>
        <v/>
      </c>
      <c r="AE261" s="163" t="str">
        <f t="shared" si="30"/>
        <v/>
      </c>
      <c r="AF261" s="163" t="str">
        <f t="shared" si="30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1">IF(B229&lt;100,"",B229-330)</f>
        <v/>
      </c>
      <c r="C262" s="163" t="str">
        <f t="shared" si="31"/>
        <v/>
      </c>
      <c r="D262" s="163" t="str">
        <f t="shared" si="31"/>
        <v/>
      </c>
      <c r="E262" s="163" t="str">
        <f t="shared" si="31"/>
        <v/>
      </c>
      <c r="F262" s="163" t="str">
        <f t="shared" si="31"/>
        <v/>
      </c>
      <c r="G262" s="163" t="str">
        <f t="shared" si="31"/>
        <v/>
      </c>
      <c r="H262" s="163" t="str">
        <f t="shared" si="31"/>
        <v/>
      </c>
      <c r="I262" s="163" t="str">
        <f t="shared" si="31"/>
        <v/>
      </c>
      <c r="J262" s="163" t="str">
        <f t="shared" si="31"/>
        <v/>
      </c>
      <c r="K262" s="163" t="str">
        <f t="shared" si="31"/>
        <v/>
      </c>
      <c r="L262" s="163" t="str">
        <f t="shared" si="31"/>
        <v/>
      </c>
      <c r="M262" s="163" t="str">
        <f t="shared" si="31"/>
        <v/>
      </c>
      <c r="N262" s="163" t="str">
        <f t="shared" si="31"/>
        <v/>
      </c>
      <c r="O262" s="163" t="str">
        <f t="shared" si="31"/>
        <v/>
      </c>
      <c r="P262" s="163" t="str">
        <f t="shared" si="31"/>
        <v/>
      </c>
      <c r="Q262" s="163" t="str">
        <f t="shared" si="31"/>
        <v/>
      </c>
      <c r="R262" s="163" t="str">
        <f t="shared" si="31"/>
        <v/>
      </c>
      <c r="S262" s="163" t="str">
        <f t="shared" si="31"/>
        <v/>
      </c>
      <c r="T262" s="163" t="str">
        <f t="shared" si="31"/>
        <v/>
      </c>
      <c r="U262" s="163" t="str">
        <f t="shared" si="31"/>
        <v/>
      </c>
      <c r="V262" s="163" t="str">
        <f t="shared" si="31"/>
        <v/>
      </c>
      <c r="W262" s="163" t="str">
        <f t="shared" si="31"/>
        <v/>
      </c>
      <c r="X262" s="163" t="str">
        <f t="shared" si="31"/>
        <v/>
      </c>
      <c r="Y262" s="163" t="str">
        <f t="shared" si="31"/>
        <v/>
      </c>
      <c r="Z262" s="163" t="str">
        <f t="shared" si="31"/>
        <v/>
      </c>
      <c r="AA262" s="163" t="str">
        <f t="shared" si="31"/>
        <v/>
      </c>
      <c r="AB262" s="163" t="str">
        <f t="shared" si="31"/>
        <v/>
      </c>
      <c r="AC262" s="163" t="str">
        <f t="shared" si="31"/>
        <v/>
      </c>
      <c r="AD262" s="163" t="str">
        <f t="shared" si="31"/>
        <v/>
      </c>
      <c r="AE262" s="163" t="str">
        <f t="shared" si="31"/>
        <v/>
      </c>
      <c r="AF262" s="163" t="str">
        <f t="shared" si="31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2">IF(B230&lt;100,"",B230-1500)</f>
        <v/>
      </c>
      <c r="C263" s="163" t="str">
        <f t="shared" si="32"/>
        <v/>
      </c>
      <c r="D263" s="163" t="str">
        <f t="shared" si="32"/>
        <v/>
      </c>
      <c r="E263" s="163" t="str">
        <f t="shared" si="32"/>
        <v/>
      </c>
      <c r="F263" s="163" t="str">
        <f t="shared" si="32"/>
        <v/>
      </c>
      <c r="G263" s="163" t="str">
        <f t="shared" si="32"/>
        <v/>
      </c>
      <c r="H263" s="163" t="str">
        <f t="shared" si="32"/>
        <v/>
      </c>
      <c r="I263" s="163" t="str">
        <f t="shared" si="32"/>
        <v/>
      </c>
      <c r="J263" s="163" t="str">
        <f t="shared" si="32"/>
        <v/>
      </c>
      <c r="K263" s="163" t="str">
        <f t="shared" si="32"/>
        <v/>
      </c>
      <c r="L263" s="163" t="str">
        <f t="shared" si="32"/>
        <v/>
      </c>
      <c r="M263" s="163" t="str">
        <f t="shared" si="32"/>
        <v/>
      </c>
      <c r="N263" s="163" t="str">
        <f t="shared" si="32"/>
        <v/>
      </c>
      <c r="O263" s="163" t="str">
        <f t="shared" si="32"/>
        <v/>
      </c>
      <c r="P263" s="163" t="str">
        <f t="shared" si="32"/>
        <v/>
      </c>
      <c r="Q263" s="163" t="str">
        <f t="shared" si="32"/>
        <v/>
      </c>
      <c r="R263" s="163" t="str">
        <f t="shared" si="32"/>
        <v/>
      </c>
      <c r="S263" s="163" t="str">
        <f t="shared" si="32"/>
        <v/>
      </c>
      <c r="T263" s="163" t="str">
        <f t="shared" si="32"/>
        <v/>
      </c>
      <c r="U263" s="163" t="str">
        <f t="shared" si="32"/>
        <v/>
      </c>
      <c r="V263" s="163" t="str">
        <f t="shared" si="32"/>
        <v/>
      </c>
      <c r="W263" s="163" t="str">
        <f t="shared" si="32"/>
        <v/>
      </c>
      <c r="X263" s="163" t="str">
        <f t="shared" si="32"/>
        <v/>
      </c>
      <c r="Y263" s="163" t="str">
        <f t="shared" si="32"/>
        <v/>
      </c>
      <c r="Z263" s="163" t="str">
        <f t="shared" si="32"/>
        <v/>
      </c>
      <c r="AA263" s="163" t="str">
        <f t="shared" si="32"/>
        <v/>
      </c>
      <c r="AB263" s="163" t="str">
        <f t="shared" si="32"/>
        <v/>
      </c>
      <c r="AC263" s="163" t="str">
        <f t="shared" si="32"/>
        <v/>
      </c>
      <c r="AD263" s="163" t="str">
        <f t="shared" si="32"/>
        <v/>
      </c>
      <c r="AE263" s="163" t="str">
        <f t="shared" si="32"/>
        <v/>
      </c>
      <c r="AF263" s="163" t="str">
        <f t="shared" si="32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D101:AF101 D103:AF108 X11:AF11 B16:AF16 B20:AF23">
    <cfRule type="expression" dxfId="4508" priority="243">
      <formula>B$9&gt;=20/24</formula>
    </cfRule>
    <cfRule type="expression" dxfId="4507" priority="244">
      <formula>AND(B$9&gt;=14/24,B$9&lt;20/24)</formula>
    </cfRule>
    <cfRule type="expression" dxfId="4506" priority="245">
      <formula>AND(B$9&gt;=8/24,B$9&lt;14/24)</formula>
    </cfRule>
    <cfRule type="expression" dxfId="4505" priority="246">
      <formula>B$9&lt;8/24</formula>
    </cfRule>
  </conditionalFormatting>
  <conditionalFormatting sqref="AL4:AL6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W39:AF39">
    <cfRule type="expression" dxfId="4504" priority="238">
      <formula>W$9&gt;=20/24</formula>
    </cfRule>
    <cfRule type="expression" dxfId="4503" priority="239">
      <formula>AND(W$9&gt;=14/24,W$9&lt;20/24)</formula>
    </cfRule>
    <cfRule type="expression" dxfId="4502" priority="240">
      <formula>AND(W$9&gt;=8/24,W$9&lt;14/24)</formula>
    </cfRule>
    <cfRule type="expression" dxfId="4501" priority="241">
      <formula>W$9&lt;8/24</formula>
    </cfRule>
  </conditionalFormatting>
  <conditionalFormatting sqref="AG57 B12:W16 X11:AF16 W39:AF39 B37:AF37 B18:AF18 B20:AF23">
    <cfRule type="expression" dxfId="4500" priority="237">
      <formula>B11&gt;$AG11</formula>
    </cfRule>
  </conditionalFormatting>
  <conditionalFormatting sqref="A91:A101 A11:A14 A51:A78 A87:A89 A194:A224 A38:A49 A110:A181 A34:A35 A83:A85 A80:A81 A103:A105 A31:A32 A18:A29 A16">
    <cfRule type="expression" dxfId="4499" priority="236">
      <formula>$AH11=0</formula>
    </cfRule>
  </conditionalFormatting>
  <conditionalFormatting sqref="A106">
    <cfRule type="expression" dxfId="4498" priority="235">
      <formula>$AH106=0</formula>
    </cfRule>
  </conditionalFormatting>
  <conditionalFormatting sqref="AL35">
    <cfRule type="iconSet" priority="234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4497" priority="233">
      <formula>$AH37=0</formula>
    </cfRule>
  </conditionalFormatting>
  <conditionalFormatting sqref="A90">
    <cfRule type="expression" dxfId="4496" priority="232">
      <formula>$AH90=0</formula>
    </cfRule>
  </conditionalFormatting>
  <conditionalFormatting sqref="A15">
    <cfRule type="expression" dxfId="4495" priority="231">
      <formula>$AH15=0</formula>
    </cfRule>
  </conditionalFormatting>
  <conditionalFormatting sqref="A188:A193">
    <cfRule type="expression" dxfId="4494" priority="230">
      <formula>$AH188=0</formula>
    </cfRule>
  </conditionalFormatting>
  <conditionalFormatting sqref="A182:A187">
    <cfRule type="expression" dxfId="4493" priority="229">
      <formula>$AH182=0</formula>
    </cfRule>
  </conditionalFormatting>
  <conditionalFormatting sqref="A50">
    <cfRule type="expression" dxfId="4492" priority="228">
      <formula>$AH50=0</formula>
    </cfRule>
  </conditionalFormatting>
  <conditionalFormatting sqref="A86">
    <cfRule type="expression" dxfId="4491" priority="227">
      <formula>$AH86=0</formula>
    </cfRule>
  </conditionalFormatting>
  <conditionalFormatting sqref="D91:AF91">
    <cfRule type="expression" dxfId="4490" priority="223">
      <formula>D$9&gt;=20/24</formula>
    </cfRule>
    <cfRule type="expression" dxfId="4489" priority="224">
      <formula>AND(D$9&gt;=14/24,D$9&lt;20/24)</formula>
    </cfRule>
    <cfRule type="expression" dxfId="4488" priority="225">
      <formula>AND(D$9&gt;=8/24,D$9&lt;14/24)</formula>
    </cfRule>
    <cfRule type="expression" dxfId="4487" priority="226">
      <formula>D$9&lt;8/24</formula>
    </cfRule>
  </conditionalFormatting>
  <conditionalFormatting sqref="AL36">
    <cfRule type="iconSet" priority="2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486" priority="249">
      <formula>C$9&gt;=20/24</formula>
    </cfRule>
    <cfRule type="expression" dxfId="4485" priority="250">
      <formula>AND(C$9&gt;=14/24,C$9&lt;20/24)</formula>
    </cfRule>
    <cfRule type="expression" dxfId="4484" priority="251">
      <formula>AND(C$9&gt;=8/24,C$9&lt;14/24)</formula>
    </cfRule>
    <cfRule type="expression" dxfId="4483" priority="252">
      <formula>C$9&lt;8/24</formula>
    </cfRule>
  </conditionalFormatting>
  <conditionalFormatting sqref="A225">
    <cfRule type="expression" dxfId="4482" priority="253">
      <formula>$AH225=0</formula>
    </cfRule>
  </conditionalFormatting>
  <conditionalFormatting sqref="AG237">
    <cfRule type="expression" dxfId="4481" priority="254">
      <formula>B$9&gt;=20/24</formula>
    </cfRule>
    <cfRule type="expression" dxfId="4480" priority="255">
      <formula>AND(B$9&gt;=14/24,B$9&lt;20/24)</formula>
    </cfRule>
    <cfRule type="expression" dxfId="4479" priority="256">
      <formula>AND(B$9&gt;=8/24,B$9&lt;14/24)</formula>
    </cfRule>
    <cfRule type="expression" dxfId="4478" priority="257">
      <formula>B$9&lt;8/24</formula>
    </cfRule>
  </conditionalFormatting>
  <conditionalFormatting sqref="S8">
    <cfRule type="expression" dxfId="4477" priority="218">
      <formula>U$9&gt;=20/24</formula>
    </cfRule>
    <cfRule type="expression" dxfId="4476" priority="219">
      <formula>AND(U$9&gt;=14/24,U$9&lt;20/24)</formula>
    </cfRule>
    <cfRule type="expression" dxfId="4475" priority="220">
      <formula>AND(U$9&gt;=8/24,U$9&lt;14/24)</formula>
    </cfRule>
    <cfRule type="expression" dxfId="4474" priority="221">
      <formula>U$9&lt;8/24</formula>
    </cfRule>
  </conditionalFormatting>
  <conditionalFormatting sqref="AB8">
    <cfRule type="expression" dxfId="4473" priority="214">
      <formula>AD$9&gt;=20/24</formula>
    </cfRule>
    <cfRule type="expression" dxfId="4472" priority="215">
      <formula>AND(AD$9&gt;=14/24,AD$9&lt;20/24)</formula>
    </cfRule>
    <cfRule type="expression" dxfId="4471" priority="216">
      <formula>AND(AD$9&gt;=8/24,AD$9&lt;14/24)</formula>
    </cfRule>
    <cfRule type="expression" dxfId="4470" priority="217">
      <formula>AD$9&lt;8/24</formula>
    </cfRule>
  </conditionalFormatting>
  <conditionalFormatting sqref="AH237:AX237">
    <cfRule type="expression" dxfId="4469" priority="258">
      <formula>AG$9&gt;=20/24</formula>
    </cfRule>
    <cfRule type="expression" dxfId="4468" priority="259">
      <formula>AND(AG$9&gt;=14/24,AG$9&lt;20/24)</formula>
    </cfRule>
    <cfRule type="expression" dxfId="4467" priority="260">
      <formula>AND(AG$9&gt;=8/24,AG$9&lt;14/24)</formula>
    </cfRule>
    <cfRule type="expression" dxfId="4466" priority="261">
      <formula>AG$9&lt;8/24</formula>
    </cfRule>
  </conditionalFormatting>
  <conditionalFormatting sqref="T237">
    <cfRule type="expression" dxfId="4465" priority="262">
      <formula>AX$9&gt;=20/24</formula>
    </cfRule>
    <cfRule type="expression" dxfId="4464" priority="263">
      <formula>AND(AX$9&gt;=14/24,AX$9&lt;20/24)</formula>
    </cfRule>
    <cfRule type="expression" dxfId="4463" priority="264">
      <formula>AND(AX$9&gt;=8/24,AX$9&lt;14/24)</formula>
    </cfRule>
    <cfRule type="expression" dxfId="4462" priority="265">
      <formula>AX$9&lt;8/24</formula>
    </cfRule>
  </conditionalFormatting>
  <conditionalFormatting sqref="A107:A108">
    <cfRule type="expression" dxfId="4461" priority="213">
      <formula>$AH107=0</formula>
    </cfRule>
  </conditionalFormatting>
  <conditionalFormatting sqref="E46:M47 E63:AF63 AE46:AF47">
    <cfRule type="expression" dxfId="4460" priority="209">
      <formula>E$9&gt;=20/24</formula>
    </cfRule>
    <cfRule type="expression" dxfId="4459" priority="210">
      <formula>AND(E$9&gt;=14/24,E$9&lt;20/24)</formula>
    </cfRule>
    <cfRule type="expression" dxfId="4458" priority="211">
      <formula>AND(E$9&gt;=8/24,E$9&lt;14/24)</formula>
    </cfRule>
    <cfRule type="expression" dxfId="4457" priority="212">
      <formula>E$9&lt;8/24</formula>
    </cfRule>
  </conditionalFormatting>
  <conditionalFormatting sqref="E45:M45 AA45:AF45">
    <cfRule type="expression" dxfId="4456" priority="205">
      <formula>E$9&gt;=20/24</formula>
    </cfRule>
    <cfRule type="expression" dxfId="4455" priority="206">
      <formula>AND(E$9&gt;=14/24,E$9&lt;20/24)</formula>
    </cfRule>
    <cfRule type="expression" dxfId="4454" priority="207">
      <formula>AND(E$9&gt;=8/24,E$9&lt;14/24)</formula>
    </cfRule>
    <cfRule type="expression" dxfId="4453" priority="208">
      <formula>E$9&lt;8/24</formula>
    </cfRule>
  </conditionalFormatting>
  <conditionalFormatting sqref="E45:M47 AA45:AD45 AE45:AF47">
    <cfRule type="expression" dxfId="4452" priority="204">
      <formula>E45&gt;$AG45</formula>
    </cfRule>
  </conditionalFormatting>
  <conditionalFormatting sqref="C88:AF88 C75:AF78 S59:AF61 L39:V39 E64:W65 X12:AF14 X29:AF29 X18:AF18 X31:AF34 X38:AF38 X25:AF27 X64:AF73 D92:AF98">
    <cfRule type="expression" dxfId="4451" priority="200">
      <formula>C$9&gt;=20/24</formula>
    </cfRule>
    <cfRule type="expression" dxfId="4450" priority="201">
      <formula>AND(C$9&gt;=14/24,C$9&lt;20/24)</formula>
    </cfRule>
    <cfRule type="expression" dxfId="4449" priority="202">
      <formula>AND(C$9&gt;=8/24,C$9&lt;14/24)</formula>
    </cfRule>
    <cfRule type="expression" dxfId="4448" priority="203">
      <formula>C$9&lt;8/24</formula>
    </cfRule>
  </conditionalFormatting>
  <conditionalFormatting sqref="X35:AF35">
    <cfRule type="expression" dxfId="4447" priority="196">
      <formula>X$9&gt;=20/24</formula>
    </cfRule>
    <cfRule type="expression" dxfId="4446" priority="197">
      <formula>AND(X$9&gt;=14/24,X$9&lt;20/24)</formula>
    </cfRule>
    <cfRule type="expression" dxfId="4445" priority="198">
      <formula>AND(X$9&gt;=8/24,X$9&lt;14/24)</formula>
    </cfRule>
    <cfRule type="expression" dxfId="4444" priority="199">
      <formula>X$9&lt;8/24</formula>
    </cfRule>
  </conditionalFormatting>
  <conditionalFormatting sqref="C57:AF57 S59:AF61 E48:M48 L39:V39 X31:AF35 X38:AF38 X25:AF29 AE48:AF49">
    <cfRule type="expression" dxfId="4443" priority="195">
      <formula>C25&gt;$AG25</formula>
    </cfRule>
  </conditionalFormatting>
  <conditionalFormatting sqref="X37:AF37">
    <cfRule type="expression" dxfId="4442" priority="191">
      <formula>X$9&gt;=20/24</formula>
    </cfRule>
    <cfRule type="expression" dxfId="4441" priority="192">
      <formula>AND(X$9&gt;=14/24,X$9&lt;20/24)</formula>
    </cfRule>
    <cfRule type="expression" dxfId="4440" priority="193">
      <formula>AND(X$9&gt;=8/24,X$9&lt;14/24)</formula>
    </cfRule>
    <cfRule type="expression" dxfId="4439" priority="194">
      <formula>X$9&lt;8/24</formula>
    </cfRule>
  </conditionalFormatting>
  <conditionalFormatting sqref="X15:AF15">
    <cfRule type="expression" dxfId="4438" priority="187">
      <formula>X$9&gt;=20/24</formula>
    </cfRule>
    <cfRule type="expression" dxfId="4437" priority="188">
      <formula>AND(X$9&gt;=14/24,X$9&lt;20/24)</formula>
    </cfRule>
    <cfRule type="expression" dxfId="4436" priority="189">
      <formula>AND(X$9&gt;=8/24,X$9&lt;14/24)</formula>
    </cfRule>
    <cfRule type="expression" dxfId="4435" priority="190">
      <formula>X$9&lt;8/24</formula>
    </cfRule>
  </conditionalFormatting>
  <conditionalFormatting sqref="X36:AF36">
    <cfRule type="expression" dxfId="4434" priority="183">
      <formula>X$9&gt;=20/24</formula>
    </cfRule>
    <cfRule type="expression" dxfId="4433" priority="184">
      <formula>AND(X$9&gt;=14/24,X$9&lt;20/24)</formula>
    </cfRule>
    <cfRule type="expression" dxfId="4432" priority="185">
      <formula>AND(X$9&gt;=8/24,X$9&lt;14/24)</formula>
    </cfRule>
    <cfRule type="expression" dxfId="4431" priority="186">
      <formula>X$9&lt;8/24</formula>
    </cfRule>
  </conditionalFormatting>
  <conditionalFormatting sqref="X36:AF36">
    <cfRule type="expression" dxfId="4430" priority="182">
      <formula>X36&gt;$AG36</formula>
    </cfRule>
  </conditionalFormatting>
  <conditionalFormatting sqref="X48:AD49">
    <cfRule type="expression" dxfId="4429" priority="178">
      <formula>X$9&gt;=20/24</formula>
    </cfRule>
    <cfRule type="expression" dxfId="4428" priority="179">
      <formula>AND(X$9&gt;=14/24,X$9&lt;20/24)</formula>
    </cfRule>
    <cfRule type="expression" dxfId="4427" priority="180">
      <formula>AND(X$9&gt;=8/24,X$9&lt;14/24)</formula>
    </cfRule>
    <cfRule type="expression" dxfId="4426" priority="181">
      <formula>X$9&lt;8/24</formula>
    </cfRule>
  </conditionalFormatting>
  <conditionalFormatting sqref="X48:AD49">
    <cfRule type="expression" dxfId="4425" priority="177">
      <formula>X48&gt;$AG48</formula>
    </cfRule>
  </conditionalFormatting>
  <conditionalFormatting sqref="R50:R51 N45:R49 S45:W51 X50:AF51">
    <cfRule type="expression" dxfId="4424" priority="173">
      <formula>N$9&gt;=20/24</formula>
    </cfRule>
    <cfRule type="expression" dxfId="4423" priority="174">
      <formula>AND(N$9&gt;=14/24,N$9&lt;20/24)</formula>
    </cfRule>
    <cfRule type="expression" dxfId="4422" priority="175">
      <formula>AND(N$9&gt;=8/24,N$9&lt;14/24)</formula>
    </cfRule>
    <cfRule type="expression" dxfId="4421" priority="176">
      <formula>N$9&lt;8/24</formula>
    </cfRule>
  </conditionalFormatting>
  <conditionalFormatting sqref="R50:R51 N45:R49 S45:W51 X50:AF51">
    <cfRule type="expression" dxfId="4420" priority="172">
      <formula>N45&gt;$AG45</formula>
    </cfRule>
  </conditionalFormatting>
  <conditionalFormatting sqref="X28:AF28">
    <cfRule type="expression" dxfId="4419" priority="168">
      <formula>X$9&gt;=20/24</formula>
    </cfRule>
    <cfRule type="expression" dxfId="4418" priority="169">
      <formula>AND(X$9&gt;=14/24,X$9&lt;20/24)</formula>
    </cfRule>
    <cfRule type="expression" dxfId="4417" priority="170">
      <formula>AND(X$9&gt;=8/24,X$9&lt;14/24)</formula>
    </cfRule>
    <cfRule type="expression" dxfId="4416" priority="171">
      <formula>X$9&lt;8/24</formula>
    </cfRule>
  </conditionalFormatting>
  <conditionalFormatting sqref="X19:AF19 X24:AF24">
    <cfRule type="expression" dxfId="4415" priority="164">
      <formula>X$9&gt;=20/24</formula>
    </cfRule>
    <cfRule type="expression" dxfId="4414" priority="165">
      <formula>AND(X$9&gt;=14/24,X$9&lt;20/24)</formula>
    </cfRule>
    <cfRule type="expression" dxfId="4413" priority="166">
      <formula>AND(X$9&gt;=8/24,X$9&lt;14/24)</formula>
    </cfRule>
    <cfRule type="expression" dxfId="4412" priority="167">
      <formula>X$9&lt;8/24</formula>
    </cfRule>
  </conditionalFormatting>
  <conditionalFormatting sqref="X19:AF19 X24:AF24">
    <cfRule type="expression" dxfId="4411" priority="163">
      <formula>X19&gt;$AG19</formula>
    </cfRule>
  </conditionalFormatting>
  <conditionalFormatting sqref="D45">
    <cfRule type="expression" dxfId="4410" priority="159">
      <formula>D$9&gt;=20/24</formula>
    </cfRule>
    <cfRule type="expression" dxfId="4409" priority="160">
      <formula>AND(D$9&gt;=14/24,D$9&lt;20/24)</formula>
    </cfRule>
    <cfRule type="expression" dxfId="4408" priority="161">
      <formula>AND(D$9&gt;=8/24,D$9&lt;14/24)</formula>
    </cfRule>
    <cfRule type="expression" dxfId="4407" priority="162">
      <formula>D$9&lt;8/24</formula>
    </cfRule>
  </conditionalFormatting>
  <conditionalFormatting sqref="D45">
    <cfRule type="expression" dxfId="4406" priority="158">
      <formula>D45&gt;$AG45</formula>
    </cfRule>
  </conditionalFormatting>
  <conditionalFormatting sqref="X46:AD47">
    <cfRule type="expression" dxfId="4405" priority="154">
      <formula>X$9&gt;=20/24</formula>
    </cfRule>
    <cfRule type="expression" dxfId="4404" priority="155">
      <formula>AND(X$9&gt;=14/24,X$9&lt;20/24)</formula>
    </cfRule>
    <cfRule type="expression" dxfId="4403" priority="156">
      <formula>AND(X$9&gt;=8/24,X$9&lt;14/24)</formula>
    </cfRule>
    <cfRule type="expression" dxfId="4402" priority="157">
      <formula>X$9&lt;8/24</formula>
    </cfRule>
  </conditionalFormatting>
  <conditionalFormatting sqref="X45:Z45">
    <cfRule type="expression" dxfId="4401" priority="150">
      <formula>X$9&gt;=20/24</formula>
    </cfRule>
    <cfRule type="expression" dxfId="4400" priority="151">
      <formula>AND(X$9&gt;=14/24,X$9&lt;20/24)</formula>
    </cfRule>
    <cfRule type="expression" dxfId="4399" priority="152">
      <formula>AND(X$9&gt;=8/24,X$9&lt;14/24)</formula>
    </cfRule>
    <cfRule type="expression" dxfId="4398" priority="153">
      <formula>X$9&lt;8/24</formula>
    </cfRule>
  </conditionalFormatting>
  <conditionalFormatting sqref="X45:Z47 AA46:AD47">
    <cfRule type="expression" dxfId="4397" priority="149">
      <formula>X45&gt;$AG45</formula>
    </cfRule>
  </conditionalFormatting>
  <conditionalFormatting sqref="B80:AF80 B89:AF89 B101:C101 B103:C108 B11:W11">
    <cfRule type="expression" dxfId="4396" priority="145">
      <formula>B$9&gt;=20/24</formula>
    </cfRule>
    <cfRule type="expression" dxfId="4395" priority="146">
      <formula>AND(B$9&gt;=14/24,B$9&lt;20/24)</formula>
    </cfRule>
    <cfRule type="expression" dxfId="4394" priority="147">
      <formula>AND(B$9&gt;=8/24,B$9&lt;14/24)</formula>
    </cfRule>
    <cfRule type="expression" dxfId="4393" priority="148">
      <formula>B$9&lt;8/24</formula>
    </cfRule>
  </conditionalFormatting>
  <conditionalFormatting sqref="B39:K39">
    <cfRule type="expression" dxfId="4392" priority="141">
      <formula>B$9&gt;=20/24</formula>
    </cfRule>
    <cfRule type="expression" dxfId="4391" priority="142">
      <formula>AND(B$9&gt;=14/24,B$9&lt;20/24)</formula>
    </cfRule>
    <cfRule type="expression" dxfId="4390" priority="143">
      <formula>AND(B$9&gt;=8/24,B$9&lt;14/24)</formula>
    </cfRule>
    <cfRule type="expression" dxfId="4389" priority="144">
      <formula>B$9&lt;8/24</formula>
    </cfRule>
  </conditionalFormatting>
  <conditionalFormatting sqref="B39:K39 B11:W11">
    <cfRule type="expression" dxfId="4388" priority="140">
      <formula>B11&gt;$AG11</formula>
    </cfRule>
  </conditionalFormatting>
  <conditionalFormatting sqref="B91:C91">
    <cfRule type="expression" dxfId="4387" priority="136">
      <formula>B$9&gt;=20/24</formula>
    </cfRule>
    <cfRule type="expression" dxfId="4386" priority="137">
      <formula>AND(B$9&gt;=14/24,B$9&lt;20/24)</formula>
    </cfRule>
    <cfRule type="expression" dxfId="4385" priority="138">
      <formula>AND(B$9&gt;=8/24,B$9&lt;14/24)</formula>
    </cfRule>
    <cfRule type="expression" dxfId="4384" priority="139">
      <formula>B$9&lt;8/24</formula>
    </cfRule>
  </conditionalFormatting>
  <conditionalFormatting sqref="B46:D47 B63:D63 B38:W38">
    <cfRule type="expression" dxfId="4383" priority="132">
      <formula>B$9&gt;=20/24</formula>
    </cfRule>
    <cfRule type="expression" dxfId="4382" priority="133">
      <formula>AND(B$9&gt;=14/24,B$9&lt;20/24)</formula>
    </cfRule>
    <cfRule type="expression" dxfId="4381" priority="134">
      <formula>AND(B$9&gt;=8/24,B$9&lt;14/24)</formula>
    </cfRule>
    <cfRule type="expression" dxfId="4380" priority="135">
      <formula>B$9&lt;8/24</formula>
    </cfRule>
  </conditionalFormatting>
  <conditionalFormatting sqref="B45:C45">
    <cfRule type="expression" dxfId="4379" priority="128">
      <formula>B$9&gt;=20/24</formula>
    </cfRule>
    <cfRule type="expression" dxfId="4378" priority="129">
      <formula>AND(B$9&gt;=14/24,B$9&lt;20/24)</formula>
    </cfRule>
    <cfRule type="expression" dxfId="4377" priority="130">
      <formula>AND(B$9&gt;=8/24,B$9&lt;14/24)</formula>
    </cfRule>
    <cfRule type="expression" dxfId="4376" priority="131">
      <formula>B$9&lt;8/24</formula>
    </cfRule>
  </conditionalFormatting>
  <conditionalFormatting sqref="D46:D47 B45:C47 B38:W38">
    <cfRule type="expression" dxfId="4375" priority="127">
      <formula>B38&gt;$AG38</formula>
    </cfRule>
  </conditionalFormatting>
  <conditionalFormatting sqref="B59:B62 B75:B79 B81:AF81 B88 C62:AG62 C79:AG79 B90:AF90 B92:C98 B64:D73 C59:R61 B18:W18 B25:W27 B29:W29 B31:W34 B12:W14 E66:W73">
    <cfRule type="expression" dxfId="4374" priority="123">
      <formula>B$9&gt;=20/24</formula>
    </cfRule>
    <cfRule type="expression" dxfId="4373" priority="124">
      <formula>AND(B$9&gt;=14/24,B$9&lt;20/24)</formula>
    </cfRule>
    <cfRule type="expression" dxfId="4372" priority="125">
      <formula>AND(B$9&gt;=8/24,B$9&lt;14/24)</formula>
    </cfRule>
    <cfRule type="expression" dxfId="4371" priority="126">
      <formula>B$9&lt;8/24</formula>
    </cfRule>
  </conditionalFormatting>
  <conditionalFormatting sqref="B35:W35">
    <cfRule type="expression" dxfId="4370" priority="119">
      <formula>B$9&gt;=20/24</formula>
    </cfRule>
    <cfRule type="expression" dxfId="4369" priority="120">
      <formula>AND(B$9&gt;=14/24,B$9&lt;20/24)</formula>
    </cfRule>
    <cfRule type="expression" dxfId="4368" priority="121">
      <formula>AND(B$9&gt;=8/24,B$9&lt;14/24)</formula>
    </cfRule>
    <cfRule type="expression" dxfId="4367" priority="122">
      <formula>B$9&lt;8/24</formula>
    </cfRule>
  </conditionalFormatting>
  <conditionalFormatting sqref="B57:B62 C58:AG58 C62:AG62 B48:D49 E49:M49 B40:AG40 C59:R61 B25:W29 B31:W35">
    <cfRule type="expression" dxfId="4366" priority="118">
      <formula>B25&gt;$AG25</formula>
    </cfRule>
  </conditionalFormatting>
  <conditionalFormatting sqref="B37:W37">
    <cfRule type="expression" dxfId="4365" priority="114">
      <formula>B$9&gt;=20/24</formula>
    </cfRule>
    <cfRule type="expression" dxfId="4364" priority="115">
      <formula>AND(B$9&gt;=14/24,B$9&lt;20/24)</formula>
    </cfRule>
    <cfRule type="expression" dxfId="4363" priority="116">
      <formula>AND(B$9&gt;=8/24,B$9&lt;14/24)</formula>
    </cfRule>
    <cfRule type="expression" dxfId="4362" priority="117">
      <formula>B$9&lt;8/24</formula>
    </cfRule>
  </conditionalFormatting>
  <conditionalFormatting sqref="B15:W15">
    <cfRule type="expression" dxfId="4361" priority="110">
      <formula>B$9&gt;=20/24</formula>
    </cfRule>
    <cfRule type="expression" dxfId="4360" priority="111">
      <formula>AND(B$9&gt;=14/24,B$9&lt;20/24)</formula>
    </cfRule>
    <cfRule type="expression" dxfId="4359" priority="112">
      <formula>AND(B$9&gt;=8/24,B$9&lt;14/24)</formula>
    </cfRule>
    <cfRule type="expression" dxfId="4358" priority="113">
      <formula>B$9&lt;8/24</formula>
    </cfRule>
  </conditionalFormatting>
  <conditionalFormatting sqref="B36:W36">
    <cfRule type="expression" dxfId="4357" priority="106">
      <formula>B$9&gt;=20/24</formula>
    </cfRule>
    <cfRule type="expression" dxfId="4356" priority="107">
      <formula>AND(B$9&gt;=14/24,B$9&lt;20/24)</formula>
    </cfRule>
    <cfRule type="expression" dxfId="4355" priority="108">
      <formula>AND(B$9&gt;=8/24,B$9&lt;14/24)</formula>
    </cfRule>
    <cfRule type="expression" dxfId="4354" priority="109">
      <formula>B$9&lt;8/24</formula>
    </cfRule>
  </conditionalFormatting>
  <conditionalFormatting sqref="B36:W36">
    <cfRule type="expression" dxfId="4353" priority="105">
      <formula>B36&gt;$AG36</formula>
    </cfRule>
  </conditionalFormatting>
  <conditionalFormatting sqref="B50:Q56 R52:W56">
    <cfRule type="expression" dxfId="4352" priority="101">
      <formula>B$9&gt;=20/24</formula>
    </cfRule>
    <cfRule type="expression" dxfId="4351" priority="102">
      <formula>AND(B$9&gt;=14/24,B$9&lt;20/24)</formula>
    </cfRule>
    <cfRule type="expression" dxfId="4350" priority="103">
      <formula>AND(B$9&gt;=8/24,B$9&lt;14/24)</formula>
    </cfRule>
    <cfRule type="expression" dxfId="4349" priority="104">
      <formula>B$9&lt;8/24</formula>
    </cfRule>
  </conditionalFormatting>
  <conditionalFormatting sqref="B50:Q56 R52:W56">
    <cfRule type="expression" dxfId="4348" priority="100">
      <formula>B50&gt;$AG50</formula>
    </cfRule>
  </conditionalFormatting>
  <conditionalFormatting sqref="B28:W28">
    <cfRule type="expression" dxfId="4347" priority="96">
      <formula>B$9&gt;=20/24</formula>
    </cfRule>
    <cfRule type="expression" dxfId="4346" priority="97">
      <formula>AND(B$9&gt;=14/24,B$9&lt;20/24)</formula>
    </cfRule>
    <cfRule type="expression" dxfId="4345" priority="98">
      <formula>AND(B$9&gt;=8/24,B$9&lt;14/24)</formula>
    </cfRule>
    <cfRule type="expression" dxfId="4344" priority="99">
      <formula>B$9&lt;8/24</formula>
    </cfRule>
  </conditionalFormatting>
  <conditionalFormatting sqref="B19:W19 B24:W24">
    <cfRule type="expression" dxfId="4343" priority="92">
      <formula>B$9&gt;=20/24</formula>
    </cfRule>
    <cfRule type="expression" dxfId="4342" priority="93">
      <formula>AND(B$9&gt;=14/24,B$9&lt;20/24)</formula>
    </cfRule>
    <cfRule type="expression" dxfId="4341" priority="94">
      <formula>AND(B$9&gt;=8/24,B$9&lt;14/24)</formula>
    </cfRule>
    <cfRule type="expression" dxfId="4340" priority="95">
      <formula>B$9&lt;8/24</formula>
    </cfRule>
  </conditionalFormatting>
  <conditionalFormatting sqref="B19:W19 B24:W24">
    <cfRule type="expression" dxfId="4339" priority="91">
      <formula>B19&gt;$AG19</formula>
    </cfRule>
  </conditionalFormatting>
  <conditionalFormatting sqref="A36">
    <cfRule type="expression" dxfId="4338" priority="90">
      <formula>$AH36=0</formula>
    </cfRule>
  </conditionalFormatting>
  <conditionalFormatting sqref="B74:AF74">
    <cfRule type="expression" dxfId="4337" priority="86">
      <formula>B$9&gt;=20/24</formula>
    </cfRule>
    <cfRule type="expression" dxfId="4336" priority="87">
      <formula>AND(B$9&gt;=14/24,B$9&lt;20/24)</formula>
    </cfRule>
    <cfRule type="expression" dxfId="4335" priority="88">
      <formula>AND(B$9&gt;=8/24,B$9&lt;14/24)</formula>
    </cfRule>
    <cfRule type="expression" dxfId="4334" priority="89">
      <formula>B$9&lt;8/24</formula>
    </cfRule>
  </conditionalFormatting>
  <conditionalFormatting sqref="B83:AF87">
    <cfRule type="expression" dxfId="4333" priority="82">
      <formula>B$9&gt;=20/24</formula>
    </cfRule>
    <cfRule type="expression" dxfId="4332" priority="83">
      <formula>AND(B$9&gt;=14/24,B$9&lt;20/24)</formula>
    </cfRule>
    <cfRule type="expression" dxfId="4331" priority="84">
      <formula>AND(B$9&gt;=8/24,B$9&lt;14/24)</formula>
    </cfRule>
    <cfRule type="expression" dxfId="4330" priority="85">
      <formula>B$9&lt;8/24</formula>
    </cfRule>
  </conditionalFormatting>
  <conditionalFormatting sqref="AL37 AL34 AL18:AL29 AL7:AL16 AL31:AL32">
    <cfRule type="iconSet" priority="266">
      <iconSet iconSet="3TrafficLights2" reverse="1">
        <cfvo type="percent" val="0"/>
        <cfvo type="num" val="1"/>
        <cfvo type="num" val="1"/>
      </iconSet>
    </cfRule>
  </conditionalFormatting>
  <conditionalFormatting sqref="D41:AF43">
    <cfRule type="expression" dxfId="4329" priority="78">
      <formula>D$9&gt;=20/24</formula>
    </cfRule>
    <cfRule type="expression" dxfId="4328" priority="79">
      <formula>AND(D$9&gt;=14/24,D$9&lt;20/24)</formula>
    </cfRule>
    <cfRule type="expression" dxfId="4327" priority="80">
      <formula>AND(D$9&gt;=8/24,D$9&lt;14/24)</formula>
    </cfRule>
    <cfRule type="expression" dxfId="4326" priority="81">
      <formula>D$9&lt;8/24</formula>
    </cfRule>
  </conditionalFormatting>
  <conditionalFormatting sqref="D41:AF43">
    <cfRule type="expression" dxfId="4325" priority="77">
      <formula>D41&gt;$AG41</formula>
    </cfRule>
  </conditionalFormatting>
  <conditionalFormatting sqref="B41:B44 C41:C43 B44:AG44">
    <cfRule type="expression" dxfId="4324" priority="73">
      <formula>B$9&gt;=20/24</formula>
    </cfRule>
    <cfRule type="expression" dxfId="4323" priority="74">
      <formula>AND(B$9&gt;=14/24,B$9&lt;20/24)</formula>
    </cfRule>
    <cfRule type="expression" dxfId="4322" priority="75">
      <formula>AND(B$9&gt;=8/24,B$9&lt;14/24)</formula>
    </cfRule>
    <cfRule type="expression" dxfId="4321" priority="76">
      <formula>B$9&lt;8/24</formula>
    </cfRule>
  </conditionalFormatting>
  <conditionalFormatting sqref="B41:B44 C41:C43 B44:AG44">
    <cfRule type="expression" dxfId="4320" priority="72">
      <formula>B41&gt;$AG41</formula>
    </cfRule>
  </conditionalFormatting>
  <conditionalFormatting sqref="C99:AF99">
    <cfRule type="expression" dxfId="4319" priority="68">
      <formula>C$9&gt;=20/24</formula>
    </cfRule>
    <cfRule type="expression" dxfId="4318" priority="69">
      <formula>AND(C$9&gt;=14/24,C$9&lt;20/24)</formula>
    </cfRule>
    <cfRule type="expression" dxfId="4317" priority="70">
      <formula>AND(C$9&gt;=8/24,C$9&lt;14/24)</formula>
    </cfRule>
    <cfRule type="expression" dxfId="4316" priority="71">
      <formula>C$9&lt;8/24</formula>
    </cfRule>
  </conditionalFormatting>
  <conditionalFormatting sqref="B99">
    <cfRule type="expression" dxfId="4315" priority="64">
      <formula>B$9&gt;=20/24</formula>
    </cfRule>
    <cfRule type="expression" dxfId="4314" priority="65">
      <formula>AND(B$9&gt;=14/24,B$9&lt;20/24)</formula>
    </cfRule>
    <cfRule type="expression" dxfId="4313" priority="66">
      <formula>AND(B$9&gt;=8/24,B$9&lt;14/24)</formula>
    </cfRule>
    <cfRule type="expression" dxfId="4312" priority="67">
      <formula>B$9&lt;8/24</formula>
    </cfRule>
  </conditionalFormatting>
  <conditionalFormatting sqref="AL33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4311" priority="58">
      <formula>$AH33=0</formula>
    </cfRule>
  </conditionalFormatting>
  <conditionalFormatting sqref="A82">
    <cfRule type="expression" dxfId="4310" priority="56">
      <formula>$AH82=0</formula>
    </cfRule>
  </conditionalFormatting>
  <conditionalFormatting sqref="A79">
    <cfRule type="expression" dxfId="4309" priority="57">
      <formula>$AH79=0</formula>
    </cfRule>
  </conditionalFormatting>
  <conditionalFormatting sqref="A109">
    <cfRule type="expression" dxfId="4308" priority="47">
      <formula>$AH109=0</formula>
    </cfRule>
  </conditionalFormatting>
  <conditionalFormatting sqref="D102:AF102">
    <cfRule type="expression" dxfId="4307" priority="43">
      <formula>D$9&gt;=20/24</formula>
    </cfRule>
    <cfRule type="expression" dxfId="4306" priority="44">
      <formula>AND(D$9&gt;=14/24,D$9&lt;20/24)</formula>
    </cfRule>
    <cfRule type="expression" dxfId="4305" priority="45">
      <formula>AND(D$9&gt;=8/24,D$9&lt;14/24)</formula>
    </cfRule>
    <cfRule type="expression" dxfId="4304" priority="46">
      <formula>D$9&lt;8/24</formula>
    </cfRule>
  </conditionalFormatting>
  <conditionalFormatting sqref="A102">
    <cfRule type="expression" dxfId="4303" priority="42">
      <formula>$AH102=0</formula>
    </cfRule>
  </conditionalFormatting>
  <conditionalFormatting sqref="B102:C102">
    <cfRule type="expression" dxfId="4302" priority="38">
      <formula>B$9&gt;=20/24</formula>
    </cfRule>
    <cfRule type="expression" dxfId="4301" priority="39">
      <formula>AND(B$9&gt;=14/24,B$9&lt;20/24)</formula>
    </cfRule>
    <cfRule type="expression" dxfId="4300" priority="40">
      <formula>AND(B$9&gt;=8/24,B$9&lt;14/24)</formula>
    </cfRule>
    <cfRule type="expression" dxfId="4299" priority="41">
      <formula>B$9&lt;8/24</formula>
    </cfRule>
  </conditionalFormatting>
  <conditionalFormatting sqref="X52:AF56">
    <cfRule type="expression" dxfId="4298" priority="34">
      <formula>X$9&gt;=20/24</formula>
    </cfRule>
    <cfRule type="expression" dxfId="4297" priority="35">
      <formula>AND(X$9&gt;=14/24,X$9&lt;20/24)</formula>
    </cfRule>
    <cfRule type="expression" dxfId="4296" priority="36">
      <formula>AND(X$9&gt;=8/24,X$9&lt;14/24)</formula>
    </cfRule>
    <cfRule type="expression" dxfId="4295" priority="37">
      <formula>X$9&lt;8/24</formula>
    </cfRule>
  </conditionalFormatting>
  <conditionalFormatting sqref="X52:AF56">
    <cfRule type="expression" dxfId="4294" priority="33">
      <formula>X52&gt;$AG52</formula>
    </cfRule>
  </conditionalFormatting>
  <conditionalFormatting sqref="B17:AF17">
    <cfRule type="expression" dxfId="4293" priority="31">
      <formula>B17&gt;$AG17</formula>
    </cfRule>
  </conditionalFormatting>
  <conditionalFormatting sqref="A17">
    <cfRule type="expression" dxfId="4292" priority="30">
      <formula>$AH17=0</formula>
    </cfRule>
  </conditionalFormatting>
  <conditionalFormatting sqref="X17:AF17">
    <cfRule type="expression" dxfId="4291" priority="26">
      <formula>X$9&gt;=20/24</formula>
    </cfRule>
    <cfRule type="expression" dxfId="4290" priority="27">
      <formula>AND(X$9&gt;=14/24,X$9&lt;20/24)</formula>
    </cfRule>
    <cfRule type="expression" dxfId="4289" priority="28">
      <formula>AND(X$9&gt;=8/24,X$9&lt;14/24)</formula>
    </cfRule>
    <cfRule type="expression" dxfId="4288" priority="29">
      <formula>X$9&lt;8/24</formula>
    </cfRule>
  </conditionalFormatting>
  <conditionalFormatting sqref="B17:W17">
    <cfRule type="expression" dxfId="4287" priority="22">
      <formula>B$9&gt;=20/24</formula>
    </cfRule>
    <cfRule type="expression" dxfId="4286" priority="23">
      <formula>AND(B$9&gt;=14/24,B$9&lt;20/24)</formula>
    </cfRule>
    <cfRule type="expression" dxfId="4285" priority="24">
      <formula>AND(B$9&gt;=8/24,B$9&lt;14/24)</formula>
    </cfRule>
    <cfRule type="expression" dxfId="4284" priority="25">
      <formula>B$9&lt;8/24</formula>
    </cfRule>
  </conditionalFormatting>
  <conditionalFormatting sqref="AL17">
    <cfRule type="iconSet" priority="32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4283" priority="20">
      <formula>$AH30=0</formula>
    </cfRule>
  </conditionalFormatting>
  <conditionalFormatting sqref="X30:AF30">
    <cfRule type="expression" dxfId="4282" priority="16">
      <formula>X$9&gt;=20/24</formula>
    </cfRule>
    <cfRule type="expression" dxfId="4281" priority="17">
      <formula>AND(X$9&gt;=14/24,X$9&lt;20/24)</formula>
    </cfRule>
    <cfRule type="expression" dxfId="4280" priority="18">
      <formula>AND(X$9&gt;=8/24,X$9&lt;14/24)</formula>
    </cfRule>
    <cfRule type="expression" dxfId="4279" priority="19">
      <formula>X$9&lt;8/24</formula>
    </cfRule>
  </conditionalFormatting>
  <conditionalFormatting sqref="X30:AF30">
    <cfRule type="expression" dxfId="4278" priority="15">
      <formula>X30&gt;$AG30</formula>
    </cfRule>
  </conditionalFormatting>
  <conditionalFormatting sqref="B30:W30">
    <cfRule type="expression" dxfId="4277" priority="6">
      <formula>B$9&gt;=20/24</formula>
    </cfRule>
    <cfRule type="expression" dxfId="4276" priority="7">
      <formula>AND(B$9&gt;=14/24,B$9&lt;20/24)</formula>
    </cfRule>
    <cfRule type="expression" dxfId="4275" priority="8">
      <formula>AND(B$9&gt;=8/24,B$9&lt;14/24)</formula>
    </cfRule>
    <cfRule type="expression" dxfId="4274" priority="9">
      <formula>B$9&lt;8/24</formula>
    </cfRule>
  </conditionalFormatting>
  <conditionalFormatting sqref="B30:W30">
    <cfRule type="expression" dxfId="4273" priority="5">
      <formula>B30&gt;$AG30</formula>
    </cfRule>
  </conditionalFormatting>
  <conditionalFormatting sqref="AL30">
    <cfRule type="iconSet" priority="21">
      <iconSet iconSet="3TrafficLights2" reverse="1">
        <cfvo type="percent" val="0"/>
        <cfvo type="num" val="1"/>
        <cfvo type="num" val="1"/>
      </iconSet>
    </cfRule>
  </conditionalFormatting>
  <conditionalFormatting sqref="X103:Y103">
    <cfRule type="expression" dxfId="4272" priority="1">
      <formula>X$9&gt;=20/24</formula>
    </cfRule>
    <cfRule type="expression" dxfId="4271" priority="2">
      <formula>AND(X$9&gt;=14/24,X$9&lt;20/24)</formula>
    </cfRule>
    <cfRule type="expression" dxfId="4270" priority="3">
      <formula>AND(X$9&gt;=8/24,X$9&lt;14/24)</formula>
    </cfRule>
    <cfRule type="expression" dxfId="4269" priority="4">
      <formula>X$9&lt;8/24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9" id="{8328AEB9-0C32-43E2-BD92-A292316AFA2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0" id="{2D48B8FF-2C0D-4EC7-91E1-E59ACC8075C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1" id="{43D79275-65D5-4A62-A303-33EEABA7526A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2" id="{6B200565-8A32-4968-836E-381AD2ACC3B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52" id="{9152462D-AC8C-4641-8F98-88252ED16D81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3" id="{221E8FE7-95E7-4C4B-A9D9-5111457E9C0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4" id="{79CF88FF-8A99-4CED-892A-B8721214283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5" id="{0BF1550E-4401-441C-80C6-A0BC6BE51387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8" id="{3BC38C61-9F43-47E4-B58F-6F7B40C96C6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EF9CAC00-89C1-40F5-A951-95AC7798FC2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D7A027E6-66FC-417C-84FC-8D903C62E2FB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72E16D2B-3281-4E54-BB71-D5F019F3F2DE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J270"/>
  <sheetViews>
    <sheetView zoomScale="90" zoomScaleNormal="90" workbookViewId="0">
      <pane xSplit="1" ySplit="10" topLeftCell="B28" activePane="bottomRight" state="frozen"/>
      <selection activeCell="AK109" sqref="AK109"/>
      <selection pane="topRight" activeCell="AK109" sqref="AK109"/>
      <selection pane="bottomLeft" activeCell="AK109" sqref="AK109"/>
      <selection pane="bottomRight" activeCell="AK109" sqref="AK10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2079/06/24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1597MW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Load=1217</v>
      </c>
      <c r="B7" s="35">
        <f t="shared" ref="B7:AF7" si="1">B81</f>
        <v>1251.1399999999999</v>
      </c>
      <c r="C7" s="35">
        <f t="shared" si="1"/>
        <v>1226.94</v>
      </c>
      <c r="D7" s="35">
        <f t="shared" si="1"/>
        <v>1226.94</v>
      </c>
      <c r="E7" s="35">
        <f t="shared" si="1"/>
        <v>1216.54</v>
      </c>
      <c r="F7" s="35">
        <f t="shared" si="1"/>
        <v>1230.54</v>
      </c>
      <c r="G7" s="35">
        <f t="shared" si="1"/>
        <v>1292.8400000000001</v>
      </c>
      <c r="H7" s="35">
        <f t="shared" si="1"/>
        <v>1361.8400000000001</v>
      </c>
      <c r="I7" s="35">
        <f t="shared" si="1"/>
        <v>1426.8400000000001</v>
      </c>
      <c r="J7" s="35">
        <f t="shared" si="1"/>
        <v>1448.8400000000001</v>
      </c>
      <c r="K7" s="35">
        <f t="shared" si="1"/>
        <v>1535.84</v>
      </c>
      <c r="L7" s="35">
        <f t="shared" si="1"/>
        <v>1594.84</v>
      </c>
      <c r="M7" s="35">
        <f t="shared" si="1"/>
        <v>1596.84</v>
      </c>
      <c r="N7" s="35">
        <f t="shared" si="1"/>
        <v>1555.84</v>
      </c>
      <c r="O7" s="35">
        <f t="shared" si="1"/>
        <v>1507.74</v>
      </c>
      <c r="P7" s="35">
        <f t="shared" si="1"/>
        <v>1406.74</v>
      </c>
      <c r="Q7" s="35">
        <f t="shared" si="1"/>
        <v>1303.04</v>
      </c>
      <c r="R7" s="35">
        <f t="shared" si="1"/>
        <v>1313.3400000000001</v>
      </c>
      <c r="S7" s="35">
        <f t="shared" si="1"/>
        <v>1320.04</v>
      </c>
      <c r="T7" s="35">
        <f t="shared" si="1"/>
        <v>1353.44</v>
      </c>
      <c r="U7" s="35">
        <f t="shared" si="1"/>
        <v>1375.3400000000001</v>
      </c>
      <c r="V7" s="35">
        <f t="shared" si="1"/>
        <v>1428.1399999999999</v>
      </c>
      <c r="W7" s="35">
        <f t="shared" si="1"/>
        <v>1575.04</v>
      </c>
      <c r="X7" s="35">
        <f t="shared" si="1"/>
        <v>1719.14</v>
      </c>
      <c r="Y7" s="35">
        <f t="shared" si="1"/>
        <v>1681.8400000000001</v>
      </c>
      <c r="Z7" s="35">
        <f t="shared" si="1"/>
        <v>1671.94</v>
      </c>
      <c r="AA7" s="35">
        <f t="shared" si="1"/>
        <v>1626.8400000000001</v>
      </c>
      <c r="AB7" s="35">
        <f t="shared" si="1"/>
        <v>1557.24</v>
      </c>
      <c r="AC7" s="35">
        <f t="shared" si="1"/>
        <v>1487.24</v>
      </c>
      <c r="AD7" s="35">
        <f t="shared" si="1"/>
        <v>1397.24</v>
      </c>
      <c r="AE7" s="35">
        <f t="shared" si="1"/>
        <v>1335.24</v>
      </c>
      <c r="AF7" s="35">
        <f t="shared" si="1"/>
        <v>1298.94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43.2</v>
      </c>
      <c r="C11" s="45">
        <v>43.2</v>
      </c>
      <c r="D11" s="45">
        <v>43.2</v>
      </c>
      <c r="E11" s="45">
        <v>43.2</v>
      </c>
      <c r="F11" s="45">
        <v>43.2</v>
      </c>
      <c r="G11" s="45">
        <v>43.2</v>
      </c>
      <c r="H11" s="45">
        <v>43.2</v>
      </c>
      <c r="I11" s="45">
        <v>43.2</v>
      </c>
      <c r="J11" s="45">
        <v>43.2</v>
      </c>
      <c r="K11" s="45">
        <v>43.2</v>
      </c>
      <c r="L11" s="45">
        <v>43.2</v>
      </c>
      <c r="M11" s="45">
        <v>43.2</v>
      </c>
      <c r="N11" s="45">
        <v>43.2</v>
      </c>
      <c r="O11" s="45">
        <v>43.4</v>
      </c>
      <c r="P11" s="45">
        <v>43.4</v>
      </c>
      <c r="Q11" s="45">
        <v>43.4</v>
      </c>
      <c r="R11" s="45">
        <v>42.4</v>
      </c>
      <c r="S11" s="45">
        <v>42.4</v>
      </c>
      <c r="T11" s="45">
        <v>42.4</v>
      </c>
      <c r="U11" s="45">
        <v>42.4</v>
      </c>
      <c r="V11" s="45">
        <v>42.4</v>
      </c>
      <c r="W11" s="45">
        <v>42.4</v>
      </c>
      <c r="X11" s="46">
        <v>42.3</v>
      </c>
      <c r="Y11" s="46">
        <v>42.3</v>
      </c>
      <c r="Z11" s="46">
        <v>42.3</v>
      </c>
      <c r="AA11" s="46">
        <v>45.8</v>
      </c>
      <c r="AB11" s="46">
        <v>45.7</v>
      </c>
      <c r="AC11" s="46">
        <v>45.7</v>
      </c>
      <c r="AD11" s="46">
        <v>45.7</v>
      </c>
      <c r="AE11" s="46">
        <v>45.7</v>
      </c>
      <c r="AF11" s="46">
        <v>45.7</v>
      </c>
      <c r="AG11" s="47">
        <v>52.4</v>
      </c>
      <c r="AH11" s="48">
        <f>MAX(B11:AF11)</f>
        <v>45.8</v>
      </c>
      <c r="AI11" s="49">
        <f>MIN(B11:AF11)</f>
        <v>42.3</v>
      </c>
      <c r="AK11" s="45">
        <f>30+27+25+12+10+20+10+8+4+19+5+2+5+10+15+55+20+20+20</f>
        <v>317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50.5</v>
      </c>
      <c r="C12" s="45">
        <v>50.5</v>
      </c>
      <c r="D12" s="45">
        <v>50.5</v>
      </c>
      <c r="E12" s="45">
        <v>50.5</v>
      </c>
      <c r="F12" s="45">
        <v>50.5</v>
      </c>
      <c r="G12" s="45">
        <v>50.5</v>
      </c>
      <c r="H12" s="45">
        <v>50.5</v>
      </c>
      <c r="I12" s="45">
        <v>50.5</v>
      </c>
      <c r="J12" s="45">
        <v>50.5</v>
      </c>
      <c r="K12" s="45">
        <v>50.5</v>
      </c>
      <c r="L12" s="45">
        <v>50.5</v>
      </c>
      <c r="M12" s="45">
        <v>50.5</v>
      </c>
      <c r="N12" s="45">
        <v>50.5</v>
      </c>
      <c r="O12" s="45">
        <v>50.6</v>
      </c>
      <c r="P12" s="45">
        <v>50.5</v>
      </c>
      <c r="Q12" s="45">
        <v>50.5</v>
      </c>
      <c r="R12" s="45">
        <v>50.2</v>
      </c>
      <c r="S12" s="45">
        <v>50.2</v>
      </c>
      <c r="T12" s="45">
        <v>50.2</v>
      </c>
      <c r="U12" s="45">
        <v>50.2</v>
      </c>
      <c r="V12" s="45">
        <v>50.2</v>
      </c>
      <c r="W12" s="45">
        <v>50.2</v>
      </c>
      <c r="X12" s="45">
        <v>50.5</v>
      </c>
      <c r="Y12" s="45">
        <v>50.5</v>
      </c>
      <c r="Z12" s="45">
        <v>50.5</v>
      </c>
      <c r="AA12" s="45">
        <v>50.5</v>
      </c>
      <c r="AB12" s="45">
        <v>50.6</v>
      </c>
      <c r="AC12" s="45">
        <v>50.6</v>
      </c>
      <c r="AD12" s="45">
        <v>50.6</v>
      </c>
      <c r="AE12" s="45">
        <v>50.6</v>
      </c>
      <c r="AF12" s="45">
        <v>50.6</v>
      </c>
      <c r="AG12" s="51">
        <v>50</v>
      </c>
      <c r="AH12" s="48">
        <f t="shared" ref="AH12:AH75" si="2">MAX(B12:AF12)</f>
        <v>50.6</v>
      </c>
      <c r="AI12" s="49">
        <f t="shared" ref="AI12:AI75" si="3">MIN(B12:AF12)</f>
        <v>50.2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37.799999999999997</v>
      </c>
      <c r="C13" s="45">
        <v>37.5</v>
      </c>
      <c r="D13" s="45">
        <v>37.5</v>
      </c>
      <c r="E13" s="45">
        <v>37.5</v>
      </c>
      <c r="F13" s="45">
        <v>37.5</v>
      </c>
      <c r="G13" s="45">
        <v>37.5</v>
      </c>
      <c r="H13" s="45">
        <v>37.5</v>
      </c>
      <c r="I13" s="45">
        <v>37.5</v>
      </c>
      <c r="J13" s="45">
        <v>37.5</v>
      </c>
      <c r="K13" s="45">
        <v>37.5</v>
      </c>
      <c r="L13" s="45">
        <v>37.5</v>
      </c>
      <c r="M13" s="45">
        <v>37.5</v>
      </c>
      <c r="N13" s="45">
        <v>37.5</v>
      </c>
      <c r="O13" s="45">
        <v>36.5</v>
      </c>
      <c r="P13" s="45">
        <v>34.9</v>
      </c>
      <c r="Q13" s="45">
        <v>35.1</v>
      </c>
      <c r="R13" s="45">
        <v>36.4</v>
      </c>
      <c r="S13" s="45">
        <v>36.4</v>
      </c>
      <c r="T13" s="45">
        <v>36.4</v>
      </c>
      <c r="U13" s="45">
        <v>36.4</v>
      </c>
      <c r="V13" s="45">
        <v>39.6</v>
      </c>
      <c r="W13" s="45">
        <v>39.5</v>
      </c>
      <c r="X13" s="45">
        <v>39.5</v>
      </c>
      <c r="Y13" s="45">
        <v>39.5</v>
      </c>
      <c r="Z13" s="45">
        <v>39.5</v>
      </c>
      <c r="AA13" s="45">
        <v>39.5</v>
      </c>
      <c r="AB13" s="45">
        <v>38.5</v>
      </c>
      <c r="AC13" s="45">
        <v>38.5</v>
      </c>
      <c r="AD13" s="45">
        <v>38.5</v>
      </c>
      <c r="AE13" s="45">
        <v>38.5</v>
      </c>
      <c r="AF13" s="45">
        <v>40.200000000000003</v>
      </c>
      <c r="AG13" s="51">
        <v>45</v>
      </c>
      <c r="AH13" s="48">
        <f t="shared" si="2"/>
        <v>40.200000000000003</v>
      </c>
      <c r="AI13" s="49">
        <f t="shared" si="3"/>
        <v>34.9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21</v>
      </c>
      <c r="C14" s="45">
        <v>21</v>
      </c>
      <c r="D14" s="45">
        <v>21</v>
      </c>
      <c r="E14" s="45">
        <v>21</v>
      </c>
      <c r="F14" s="45">
        <v>21</v>
      </c>
      <c r="G14" s="45">
        <v>21</v>
      </c>
      <c r="H14" s="45">
        <v>21</v>
      </c>
      <c r="I14" s="45">
        <v>21</v>
      </c>
      <c r="J14" s="45">
        <v>28</v>
      </c>
      <c r="K14" s="45">
        <v>28</v>
      </c>
      <c r="L14" s="45">
        <v>28</v>
      </c>
      <c r="M14" s="45">
        <v>28</v>
      </c>
      <c r="N14" s="45">
        <v>27</v>
      </c>
      <c r="O14" s="45">
        <v>24</v>
      </c>
      <c r="P14" s="45">
        <v>24.5</v>
      </c>
      <c r="Q14" s="45">
        <v>24</v>
      </c>
      <c r="R14" s="45">
        <v>20</v>
      </c>
      <c r="S14" s="45">
        <v>25</v>
      </c>
      <c r="T14" s="45">
        <v>25</v>
      </c>
      <c r="U14" s="45">
        <v>24.5</v>
      </c>
      <c r="V14" s="45">
        <v>24.5</v>
      </c>
      <c r="W14" s="45">
        <v>24.5</v>
      </c>
      <c r="X14" s="45">
        <v>26.2</v>
      </c>
      <c r="Y14" s="45">
        <v>27.3</v>
      </c>
      <c r="Z14" s="45">
        <v>27.5</v>
      </c>
      <c r="AA14" s="45">
        <v>25</v>
      </c>
      <c r="AB14" s="45">
        <v>25</v>
      </c>
      <c r="AC14" s="45">
        <v>25</v>
      </c>
      <c r="AD14" s="45">
        <v>25</v>
      </c>
      <c r="AE14" s="45">
        <v>21</v>
      </c>
      <c r="AF14" s="45">
        <v>21</v>
      </c>
      <c r="AG14" s="51">
        <v>42</v>
      </c>
      <c r="AH14" s="48">
        <f t="shared" si="2"/>
        <v>28</v>
      </c>
      <c r="AI14" s="49">
        <f t="shared" si="3"/>
        <v>20</v>
      </c>
      <c r="AK14" s="165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10</v>
      </c>
      <c r="K15" s="45">
        <v>25</v>
      </c>
      <c r="L15" s="45">
        <v>30</v>
      </c>
      <c r="M15" s="45">
        <v>30</v>
      </c>
      <c r="N15" s="45">
        <v>30</v>
      </c>
      <c r="O15" s="45">
        <v>20</v>
      </c>
      <c r="P15" s="45">
        <v>21.8</v>
      </c>
      <c r="Q15" s="45">
        <v>10.5</v>
      </c>
      <c r="R15" s="45">
        <v>5.3</v>
      </c>
      <c r="S15" s="45">
        <v>10</v>
      </c>
      <c r="T15" s="45">
        <v>5.3</v>
      </c>
      <c r="U15" s="45">
        <v>14.6</v>
      </c>
      <c r="V15" s="45">
        <v>14.8</v>
      </c>
      <c r="W15" s="45">
        <v>29</v>
      </c>
      <c r="X15" s="45">
        <v>29.3</v>
      </c>
      <c r="Y15" s="45">
        <v>11.2</v>
      </c>
      <c r="Z15" s="45">
        <v>14.9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52">
        <v>30</v>
      </c>
      <c r="AH15" s="48">
        <f t="shared" si="2"/>
        <v>30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21.4</v>
      </c>
      <c r="C16" s="45">
        <v>21.4</v>
      </c>
      <c r="D16" s="45">
        <v>21.4</v>
      </c>
      <c r="E16" s="45">
        <v>21.4</v>
      </c>
      <c r="F16" s="45">
        <v>21.4</v>
      </c>
      <c r="G16" s="45">
        <v>21.4</v>
      </c>
      <c r="H16" s="45">
        <v>21.4</v>
      </c>
      <c r="I16" s="45">
        <v>21.4</v>
      </c>
      <c r="J16" s="45">
        <v>21.4</v>
      </c>
      <c r="K16" s="45">
        <v>21.4</v>
      </c>
      <c r="L16" s="45">
        <v>21.4</v>
      </c>
      <c r="M16" s="45">
        <v>21.4</v>
      </c>
      <c r="N16" s="45">
        <v>21.4</v>
      </c>
      <c r="O16" s="45">
        <v>20</v>
      </c>
      <c r="P16" s="45">
        <v>19.899999999999999</v>
      </c>
      <c r="Q16" s="45">
        <v>20</v>
      </c>
      <c r="R16" s="45">
        <v>20</v>
      </c>
      <c r="S16" s="45">
        <v>20</v>
      </c>
      <c r="T16" s="45">
        <v>20</v>
      </c>
      <c r="U16" s="45">
        <v>20</v>
      </c>
      <c r="V16" s="45">
        <v>20.5</v>
      </c>
      <c r="W16" s="45">
        <v>20.5</v>
      </c>
      <c r="X16" s="45">
        <v>20.5</v>
      </c>
      <c r="Y16" s="45">
        <v>20.5</v>
      </c>
      <c r="Z16" s="45">
        <v>20.5</v>
      </c>
      <c r="AA16" s="45">
        <v>21.3</v>
      </c>
      <c r="AB16" s="45">
        <v>20.399999999999999</v>
      </c>
      <c r="AC16" s="45">
        <v>20.399999999999999</v>
      </c>
      <c r="AD16" s="45">
        <v>20.399999999999999</v>
      </c>
      <c r="AE16" s="45">
        <v>20.399999999999999</v>
      </c>
      <c r="AF16" s="45">
        <v>20.399999999999999</v>
      </c>
      <c r="AG16" s="51">
        <v>24.2</v>
      </c>
      <c r="AH16" s="48">
        <f t="shared" si="2"/>
        <v>21.4</v>
      </c>
      <c r="AI16" s="49">
        <f t="shared" si="3"/>
        <v>19.899999999999999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6</v>
      </c>
      <c r="K17" s="45">
        <v>27</v>
      </c>
      <c r="L17" s="45">
        <v>27</v>
      </c>
      <c r="M17" s="45">
        <v>27</v>
      </c>
      <c r="N17" s="45">
        <v>27</v>
      </c>
      <c r="O17" s="45">
        <v>20</v>
      </c>
      <c r="P17" s="45">
        <v>20</v>
      </c>
      <c r="Q17" s="45">
        <v>10</v>
      </c>
      <c r="R17" s="45">
        <v>5</v>
      </c>
      <c r="S17" s="45">
        <v>5</v>
      </c>
      <c r="T17" s="45">
        <v>5</v>
      </c>
      <c r="U17" s="45">
        <v>12</v>
      </c>
      <c r="V17" s="45">
        <v>12</v>
      </c>
      <c r="W17" s="45">
        <v>27</v>
      </c>
      <c r="X17" s="45">
        <v>27</v>
      </c>
      <c r="Y17" s="45">
        <v>15</v>
      </c>
      <c r="Z17" s="45">
        <v>15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52">
        <v>30</v>
      </c>
      <c r="AH17" s="48">
        <f t="shared" si="2"/>
        <v>27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20</v>
      </c>
      <c r="C18" s="45">
        <v>20</v>
      </c>
      <c r="D18" s="45">
        <v>20</v>
      </c>
      <c r="E18" s="45">
        <v>20</v>
      </c>
      <c r="F18" s="45">
        <v>20</v>
      </c>
      <c r="G18" s="45">
        <v>20</v>
      </c>
      <c r="H18" s="45">
        <v>20</v>
      </c>
      <c r="I18" s="45">
        <v>20</v>
      </c>
      <c r="J18" s="45">
        <v>20</v>
      </c>
      <c r="K18" s="45">
        <v>20</v>
      </c>
      <c r="L18" s="45">
        <v>20</v>
      </c>
      <c r="M18" s="45">
        <v>20</v>
      </c>
      <c r="N18" s="45">
        <v>20</v>
      </c>
      <c r="O18" s="45">
        <v>22</v>
      </c>
      <c r="P18" s="45">
        <v>22.7</v>
      </c>
      <c r="Q18" s="45">
        <v>22.7</v>
      </c>
      <c r="R18" s="45">
        <v>21.2</v>
      </c>
      <c r="S18" s="45">
        <v>21.2</v>
      </c>
      <c r="T18" s="45">
        <v>21.2</v>
      </c>
      <c r="U18" s="45">
        <v>21.2</v>
      </c>
      <c r="V18" s="45">
        <v>21.2</v>
      </c>
      <c r="W18" s="45">
        <v>25.4</v>
      </c>
      <c r="X18" s="45">
        <v>23.4</v>
      </c>
      <c r="Y18" s="45">
        <v>23.4</v>
      </c>
      <c r="Z18" s="45">
        <v>23.4</v>
      </c>
      <c r="AA18" s="45">
        <v>21.4</v>
      </c>
      <c r="AB18" s="45">
        <v>22.7</v>
      </c>
      <c r="AC18" s="45">
        <v>22.7</v>
      </c>
      <c r="AD18" s="45">
        <v>22.7</v>
      </c>
      <c r="AE18" s="45">
        <v>21.5</v>
      </c>
      <c r="AF18" s="45">
        <v>21.5</v>
      </c>
      <c r="AG18" s="51">
        <v>25</v>
      </c>
      <c r="AH18" s="48">
        <f t="shared" si="2"/>
        <v>25.4</v>
      </c>
      <c r="AI18" s="49">
        <f t="shared" si="3"/>
        <v>20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21</v>
      </c>
      <c r="C19" s="45">
        <v>21</v>
      </c>
      <c r="D19" s="45">
        <v>21</v>
      </c>
      <c r="E19" s="45">
        <v>21</v>
      </c>
      <c r="F19" s="45">
        <v>21</v>
      </c>
      <c r="G19" s="45">
        <v>21</v>
      </c>
      <c r="H19" s="45">
        <v>21</v>
      </c>
      <c r="I19" s="45">
        <v>21</v>
      </c>
      <c r="J19" s="45">
        <v>21</v>
      </c>
      <c r="K19" s="45">
        <v>21</v>
      </c>
      <c r="L19" s="45">
        <v>21</v>
      </c>
      <c r="M19" s="45">
        <v>21</v>
      </c>
      <c r="N19" s="45">
        <v>21</v>
      </c>
      <c r="O19" s="45">
        <v>21</v>
      </c>
      <c r="P19" s="45">
        <v>21</v>
      </c>
      <c r="Q19" s="45">
        <v>21</v>
      </c>
      <c r="R19" s="45">
        <v>21</v>
      </c>
      <c r="S19" s="45">
        <v>21</v>
      </c>
      <c r="T19" s="45">
        <v>21</v>
      </c>
      <c r="U19" s="45">
        <v>21</v>
      </c>
      <c r="V19" s="45">
        <v>21</v>
      </c>
      <c r="W19" s="45">
        <v>21</v>
      </c>
      <c r="X19" s="45">
        <v>21</v>
      </c>
      <c r="Y19" s="45">
        <v>21</v>
      </c>
      <c r="Z19" s="45">
        <v>21</v>
      </c>
      <c r="AA19" s="45">
        <v>21</v>
      </c>
      <c r="AB19" s="45">
        <v>21</v>
      </c>
      <c r="AC19" s="45">
        <v>21</v>
      </c>
      <c r="AD19" s="45">
        <v>21</v>
      </c>
      <c r="AE19" s="45">
        <v>21</v>
      </c>
      <c r="AF19" s="45">
        <v>21</v>
      </c>
      <c r="AG19" s="51">
        <v>25</v>
      </c>
      <c r="AH19" s="48">
        <f t="shared" si="2"/>
        <v>21</v>
      </c>
      <c r="AI19" s="49">
        <f t="shared" si="3"/>
        <v>21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18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18</v>
      </c>
      <c r="J20" s="45">
        <v>18</v>
      </c>
      <c r="K20" s="45">
        <v>18</v>
      </c>
      <c r="L20" s="45">
        <v>18</v>
      </c>
      <c r="M20" s="45">
        <v>18</v>
      </c>
      <c r="N20" s="45">
        <v>18</v>
      </c>
      <c r="O20" s="45">
        <v>18</v>
      </c>
      <c r="P20" s="45">
        <v>18</v>
      </c>
      <c r="Q20" s="45">
        <v>18</v>
      </c>
      <c r="R20" s="45">
        <v>18</v>
      </c>
      <c r="S20" s="45">
        <v>18</v>
      </c>
      <c r="T20" s="45">
        <v>18</v>
      </c>
      <c r="U20" s="45">
        <v>18</v>
      </c>
      <c r="V20" s="45">
        <v>18</v>
      </c>
      <c r="W20" s="45">
        <v>18</v>
      </c>
      <c r="X20" s="45">
        <v>18</v>
      </c>
      <c r="Y20" s="45">
        <v>18</v>
      </c>
      <c r="Z20" s="45">
        <v>18</v>
      </c>
      <c r="AA20" s="45">
        <v>18</v>
      </c>
      <c r="AB20" s="45">
        <v>18</v>
      </c>
      <c r="AC20" s="45">
        <v>18</v>
      </c>
      <c r="AD20" s="45">
        <v>18</v>
      </c>
      <c r="AE20" s="45">
        <v>18</v>
      </c>
      <c r="AF20" s="45">
        <v>18</v>
      </c>
      <c r="AG20" s="51">
        <v>25</v>
      </c>
      <c r="AH20" s="48">
        <f t="shared" si="2"/>
        <v>18</v>
      </c>
      <c r="AI20" s="49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19</v>
      </c>
      <c r="C21" s="45">
        <v>19</v>
      </c>
      <c r="D21" s="45">
        <v>19</v>
      </c>
      <c r="E21" s="45">
        <v>19</v>
      </c>
      <c r="F21" s="45">
        <v>19</v>
      </c>
      <c r="G21" s="45">
        <v>19</v>
      </c>
      <c r="H21" s="45">
        <v>19</v>
      </c>
      <c r="I21" s="45">
        <v>19</v>
      </c>
      <c r="J21" s="45">
        <v>19</v>
      </c>
      <c r="K21" s="45">
        <v>19</v>
      </c>
      <c r="L21" s="45">
        <v>19</v>
      </c>
      <c r="M21" s="45">
        <v>19</v>
      </c>
      <c r="N21" s="45">
        <v>19</v>
      </c>
      <c r="O21" s="45">
        <v>19</v>
      </c>
      <c r="P21" s="45">
        <v>19</v>
      </c>
      <c r="Q21" s="45">
        <v>18.2</v>
      </c>
      <c r="R21" s="45">
        <v>18.2</v>
      </c>
      <c r="S21" s="45">
        <v>18.2</v>
      </c>
      <c r="T21" s="45">
        <v>18.2</v>
      </c>
      <c r="U21" s="45">
        <v>18.2</v>
      </c>
      <c r="V21" s="45">
        <v>18.2</v>
      </c>
      <c r="W21" s="45">
        <v>18.2</v>
      </c>
      <c r="X21" s="45">
        <v>18.2</v>
      </c>
      <c r="Y21" s="45">
        <v>18.2</v>
      </c>
      <c r="Z21" s="45">
        <v>18.2</v>
      </c>
      <c r="AA21" s="45">
        <v>18.2</v>
      </c>
      <c r="AB21" s="45">
        <v>18.2</v>
      </c>
      <c r="AC21" s="45">
        <v>18.2</v>
      </c>
      <c r="AD21" s="45">
        <v>18.2</v>
      </c>
      <c r="AE21" s="45">
        <v>18.2</v>
      </c>
      <c r="AF21" s="45">
        <v>18.2</v>
      </c>
      <c r="AG21" s="51">
        <v>23.5</v>
      </c>
      <c r="AH21" s="48">
        <f t="shared" si="2"/>
        <v>19</v>
      </c>
      <c r="AI21" s="49">
        <f t="shared" si="3"/>
        <v>18.2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51">
        <v>22.2</v>
      </c>
      <c r="AH22" s="48">
        <f t="shared" si="2"/>
        <v>0</v>
      </c>
      <c r="AI22" s="49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18</v>
      </c>
      <c r="C23" s="45">
        <v>18</v>
      </c>
      <c r="D23" s="45">
        <v>18</v>
      </c>
      <c r="E23" s="45">
        <v>18</v>
      </c>
      <c r="F23" s="45">
        <v>18</v>
      </c>
      <c r="G23" s="45">
        <v>18</v>
      </c>
      <c r="H23" s="45">
        <v>18</v>
      </c>
      <c r="I23" s="45">
        <v>18</v>
      </c>
      <c r="J23" s="45">
        <v>18</v>
      </c>
      <c r="K23" s="45">
        <v>18</v>
      </c>
      <c r="L23" s="45">
        <v>18</v>
      </c>
      <c r="M23" s="45">
        <v>18</v>
      </c>
      <c r="N23" s="45">
        <v>18</v>
      </c>
      <c r="O23" s="45">
        <v>18</v>
      </c>
      <c r="P23" s="45">
        <v>18</v>
      </c>
      <c r="Q23" s="45">
        <v>18</v>
      </c>
      <c r="R23" s="45">
        <v>18</v>
      </c>
      <c r="S23" s="45">
        <v>18</v>
      </c>
      <c r="T23" s="45">
        <v>18</v>
      </c>
      <c r="U23" s="45">
        <v>18</v>
      </c>
      <c r="V23" s="45">
        <v>18</v>
      </c>
      <c r="W23" s="45">
        <v>18</v>
      </c>
      <c r="X23" s="45">
        <v>18</v>
      </c>
      <c r="Y23" s="45">
        <v>18</v>
      </c>
      <c r="Z23" s="45">
        <v>18</v>
      </c>
      <c r="AA23" s="45">
        <v>18</v>
      </c>
      <c r="AB23" s="45">
        <v>18</v>
      </c>
      <c r="AC23" s="45">
        <v>18</v>
      </c>
      <c r="AD23" s="45">
        <v>18</v>
      </c>
      <c r="AE23" s="45">
        <v>18</v>
      </c>
      <c r="AF23" s="45">
        <v>18</v>
      </c>
      <c r="AG23" s="51">
        <v>22.1</v>
      </c>
      <c r="AH23" s="48">
        <f t="shared" si="2"/>
        <v>18</v>
      </c>
      <c r="AI23" s="49">
        <f t="shared" si="3"/>
        <v>18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14</v>
      </c>
      <c r="C24" s="45">
        <v>14</v>
      </c>
      <c r="D24" s="45">
        <v>14</v>
      </c>
      <c r="E24" s="45">
        <v>14</v>
      </c>
      <c r="F24" s="45">
        <v>14</v>
      </c>
      <c r="G24" s="45">
        <v>14</v>
      </c>
      <c r="H24" s="45">
        <v>14</v>
      </c>
      <c r="I24" s="45">
        <v>14</v>
      </c>
      <c r="J24" s="45">
        <v>14</v>
      </c>
      <c r="K24" s="45">
        <v>14</v>
      </c>
      <c r="L24" s="45">
        <v>14</v>
      </c>
      <c r="M24" s="45">
        <v>14</v>
      </c>
      <c r="N24" s="45">
        <v>14</v>
      </c>
      <c r="O24" s="45">
        <v>14</v>
      </c>
      <c r="P24" s="45">
        <v>14</v>
      </c>
      <c r="Q24" s="45">
        <v>14</v>
      </c>
      <c r="R24" s="45">
        <v>14</v>
      </c>
      <c r="S24" s="45">
        <v>14</v>
      </c>
      <c r="T24" s="45">
        <v>14</v>
      </c>
      <c r="U24" s="45">
        <v>14</v>
      </c>
      <c r="V24" s="45">
        <v>14</v>
      </c>
      <c r="W24" s="45">
        <v>14</v>
      </c>
      <c r="X24" s="45">
        <v>14</v>
      </c>
      <c r="Y24" s="45">
        <v>14</v>
      </c>
      <c r="Z24" s="45">
        <v>14</v>
      </c>
      <c r="AA24" s="45">
        <v>14</v>
      </c>
      <c r="AB24" s="45">
        <v>14</v>
      </c>
      <c r="AC24" s="45">
        <v>14</v>
      </c>
      <c r="AD24" s="45">
        <v>14</v>
      </c>
      <c r="AE24" s="45">
        <v>14</v>
      </c>
      <c r="AF24" s="45">
        <v>14</v>
      </c>
      <c r="AG24" s="51">
        <v>22</v>
      </c>
      <c r="AH24" s="48">
        <f t="shared" si="2"/>
        <v>14</v>
      </c>
      <c r="AI24" s="49">
        <f t="shared" si="3"/>
        <v>14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15</v>
      </c>
      <c r="C25" s="45">
        <v>15</v>
      </c>
      <c r="D25" s="45">
        <v>15</v>
      </c>
      <c r="E25" s="45">
        <v>15</v>
      </c>
      <c r="F25" s="45">
        <v>15</v>
      </c>
      <c r="G25" s="45">
        <v>15</v>
      </c>
      <c r="H25" s="45">
        <v>15</v>
      </c>
      <c r="I25" s="45">
        <v>15</v>
      </c>
      <c r="J25" s="45">
        <v>15</v>
      </c>
      <c r="K25" s="45">
        <v>15</v>
      </c>
      <c r="L25" s="45">
        <v>15</v>
      </c>
      <c r="M25" s="45">
        <v>15</v>
      </c>
      <c r="N25" s="45">
        <v>15</v>
      </c>
      <c r="O25" s="45">
        <v>15</v>
      </c>
      <c r="P25" s="45">
        <v>15</v>
      </c>
      <c r="Q25" s="45">
        <v>15</v>
      </c>
      <c r="R25" s="45">
        <v>15</v>
      </c>
      <c r="S25" s="45">
        <v>15</v>
      </c>
      <c r="T25" s="45">
        <v>15</v>
      </c>
      <c r="U25" s="45">
        <v>15</v>
      </c>
      <c r="V25" s="45">
        <v>15</v>
      </c>
      <c r="W25" s="45">
        <v>15</v>
      </c>
      <c r="X25" s="45">
        <v>15</v>
      </c>
      <c r="Y25" s="45">
        <v>15</v>
      </c>
      <c r="Z25" s="45">
        <v>15</v>
      </c>
      <c r="AA25" s="45">
        <v>15</v>
      </c>
      <c r="AB25" s="45">
        <v>15</v>
      </c>
      <c r="AC25" s="45">
        <v>15</v>
      </c>
      <c r="AD25" s="45">
        <v>15</v>
      </c>
      <c r="AE25" s="45">
        <v>15</v>
      </c>
      <c r="AF25" s="45">
        <v>15</v>
      </c>
      <c r="AG25" s="51">
        <v>22</v>
      </c>
      <c r="AH25" s="48">
        <f t="shared" si="2"/>
        <v>15</v>
      </c>
      <c r="AI25" s="49">
        <f t="shared" si="3"/>
        <v>15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5</v>
      </c>
      <c r="K26" s="45">
        <v>10</v>
      </c>
      <c r="L26" s="45">
        <v>10</v>
      </c>
      <c r="M26" s="45">
        <v>10</v>
      </c>
      <c r="N26" s="45">
        <v>10</v>
      </c>
      <c r="O26" s="45">
        <v>10</v>
      </c>
      <c r="P26" s="45">
        <v>10</v>
      </c>
      <c r="Q26" s="45">
        <v>5</v>
      </c>
      <c r="R26" s="45">
        <v>5</v>
      </c>
      <c r="S26" s="45">
        <v>5</v>
      </c>
      <c r="T26" s="45">
        <v>5</v>
      </c>
      <c r="U26" s="45">
        <v>5</v>
      </c>
      <c r="V26" s="45">
        <v>5</v>
      </c>
      <c r="W26" s="45">
        <v>10</v>
      </c>
      <c r="X26" s="45">
        <v>10</v>
      </c>
      <c r="Y26" s="45">
        <v>10</v>
      </c>
      <c r="Z26" s="45">
        <v>10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11</v>
      </c>
      <c r="C27" s="45">
        <v>11</v>
      </c>
      <c r="D27" s="45">
        <v>11</v>
      </c>
      <c r="E27" s="45">
        <v>11</v>
      </c>
      <c r="F27" s="45">
        <v>11</v>
      </c>
      <c r="G27" s="45">
        <v>11</v>
      </c>
      <c r="H27" s="45">
        <v>11</v>
      </c>
      <c r="I27" s="45">
        <v>11</v>
      </c>
      <c r="J27" s="45">
        <v>11</v>
      </c>
      <c r="K27" s="45">
        <v>11</v>
      </c>
      <c r="L27" s="45">
        <v>11</v>
      </c>
      <c r="M27" s="45">
        <v>11</v>
      </c>
      <c r="N27" s="45">
        <v>11</v>
      </c>
      <c r="O27" s="45">
        <v>11</v>
      </c>
      <c r="P27" s="45">
        <v>11</v>
      </c>
      <c r="Q27" s="45">
        <v>11</v>
      </c>
      <c r="R27" s="45">
        <v>11</v>
      </c>
      <c r="S27" s="45">
        <v>11</v>
      </c>
      <c r="T27" s="45">
        <v>11</v>
      </c>
      <c r="U27" s="45">
        <v>11</v>
      </c>
      <c r="V27" s="45">
        <v>11</v>
      </c>
      <c r="W27" s="45">
        <v>11</v>
      </c>
      <c r="X27" s="45">
        <v>11</v>
      </c>
      <c r="Y27" s="45">
        <v>11</v>
      </c>
      <c r="Z27" s="45">
        <v>11</v>
      </c>
      <c r="AA27" s="45">
        <v>11</v>
      </c>
      <c r="AB27" s="45">
        <v>11</v>
      </c>
      <c r="AC27" s="45">
        <v>11</v>
      </c>
      <c r="AD27" s="45">
        <v>11</v>
      </c>
      <c r="AE27" s="45">
        <v>11</v>
      </c>
      <c r="AF27" s="45">
        <v>11</v>
      </c>
      <c r="AG27" s="51">
        <v>14.9</v>
      </c>
      <c r="AH27" s="48">
        <f t="shared" si="2"/>
        <v>11</v>
      </c>
      <c r="AI27" s="49">
        <f t="shared" si="3"/>
        <v>11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3.5</v>
      </c>
      <c r="C28" s="45">
        <v>3.5</v>
      </c>
      <c r="D28" s="45">
        <v>3.5</v>
      </c>
      <c r="E28" s="45">
        <v>3.5</v>
      </c>
      <c r="F28" s="45">
        <v>3.5</v>
      </c>
      <c r="G28" s="45">
        <v>3.5</v>
      </c>
      <c r="H28" s="45">
        <v>3.5</v>
      </c>
      <c r="I28" s="45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>
        <v>3.5</v>
      </c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45">
        <v>3.5</v>
      </c>
      <c r="Y28" s="45">
        <v>3.5</v>
      </c>
      <c r="Z28" s="45">
        <v>3.5</v>
      </c>
      <c r="AA28" s="45">
        <v>3.5</v>
      </c>
      <c r="AB28" s="45">
        <v>3.5</v>
      </c>
      <c r="AC28" s="45">
        <v>3.5</v>
      </c>
      <c r="AD28" s="45">
        <v>3.5</v>
      </c>
      <c r="AE28" s="45">
        <v>3.5</v>
      </c>
      <c r="AF28" s="45">
        <v>3.5</v>
      </c>
      <c r="AG28" s="51">
        <v>13.6</v>
      </c>
      <c r="AH28" s="48">
        <f t="shared" si="2"/>
        <v>3.5</v>
      </c>
      <c r="AI28" s="49">
        <f t="shared" si="3"/>
        <v>3.5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9</v>
      </c>
      <c r="C29" s="45">
        <v>9</v>
      </c>
      <c r="D29" s="45">
        <v>9</v>
      </c>
      <c r="E29" s="45">
        <v>9</v>
      </c>
      <c r="F29" s="45">
        <v>9</v>
      </c>
      <c r="G29" s="45">
        <v>9</v>
      </c>
      <c r="H29" s="45">
        <v>9</v>
      </c>
      <c r="I29" s="45">
        <v>9</v>
      </c>
      <c r="J29" s="45">
        <v>9</v>
      </c>
      <c r="K29" s="45">
        <v>9</v>
      </c>
      <c r="L29" s="45">
        <v>9</v>
      </c>
      <c r="M29" s="45">
        <v>9</v>
      </c>
      <c r="N29" s="45">
        <v>9</v>
      </c>
      <c r="O29" s="45">
        <v>9</v>
      </c>
      <c r="P29" s="45">
        <v>9</v>
      </c>
      <c r="Q29" s="45">
        <v>9</v>
      </c>
      <c r="R29" s="45">
        <v>9</v>
      </c>
      <c r="S29" s="45">
        <v>9</v>
      </c>
      <c r="T29" s="45">
        <v>9</v>
      </c>
      <c r="U29" s="45">
        <v>9</v>
      </c>
      <c r="V29" s="45">
        <v>9</v>
      </c>
      <c r="W29" s="45">
        <v>9</v>
      </c>
      <c r="X29" s="45">
        <v>9</v>
      </c>
      <c r="Y29" s="45">
        <v>9</v>
      </c>
      <c r="Z29" s="45">
        <v>9</v>
      </c>
      <c r="AA29" s="45">
        <v>9</v>
      </c>
      <c r="AB29" s="45">
        <v>9</v>
      </c>
      <c r="AC29" s="45">
        <v>9</v>
      </c>
      <c r="AD29" s="45">
        <v>9</v>
      </c>
      <c r="AE29" s="45">
        <v>9</v>
      </c>
      <c r="AF29" s="45">
        <v>9</v>
      </c>
      <c r="AG29" s="51">
        <v>13</v>
      </c>
      <c r="AH29" s="48">
        <f t="shared" si="2"/>
        <v>9</v>
      </c>
      <c r="AI29" s="49">
        <f t="shared" si="3"/>
        <v>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4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4</v>
      </c>
      <c r="K30" s="45">
        <v>10</v>
      </c>
      <c r="L30" s="45">
        <v>10</v>
      </c>
      <c r="M30" s="45">
        <v>10</v>
      </c>
      <c r="N30" s="45">
        <v>10</v>
      </c>
      <c r="O30" s="45">
        <v>10</v>
      </c>
      <c r="P30" s="45">
        <v>10</v>
      </c>
      <c r="Q30" s="45">
        <v>4</v>
      </c>
      <c r="R30" s="45">
        <v>4</v>
      </c>
      <c r="S30" s="45">
        <v>4</v>
      </c>
      <c r="T30" s="45">
        <v>4</v>
      </c>
      <c r="U30" s="45">
        <v>4</v>
      </c>
      <c r="V30" s="45">
        <v>4</v>
      </c>
      <c r="W30" s="45">
        <v>10</v>
      </c>
      <c r="X30" s="45">
        <v>12</v>
      </c>
      <c r="Y30" s="45">
        <v>5</v>
      </c>
      <c r="Z30" s="45">
        <v>5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51">
        <v>12</v>
      </c>
      <c r="AH30" s="48">
        <f t="shared" si="2"/>
        <v>12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12</v>
      </c>
      <c r="C31" s="45">
        <v>12</v>
      </c>
      <c r="D31" s="45">
        <v>12</v>
      </c>
      <c r="E31" s="45">
        <v>12</v>
      </c>
      <c r="F31" s="45">
        <v>12</v>
      </c>
      <c r="G31" s="45">
        <v>12</v>
      </c>
      <c r="H31" s="45">
        <v>12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2"/>
        <v>12</v>
      </c>
      <c r="AI31" s="49">
        <f t="shared" si="3"/>
        <v>12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8</v>
      </c>
      <c r="C32" s="45">
        <v>8</v>
      </c>
      <c r="D32" s="45">
        <v>8</v>
      </c>
      <c r="E32" s="45">
        <v>8</v>
      </c>
      <c r="F32" s="45">
        <v>8</v>
      </c>
      <c r="G32" s="45">
        <v>8</v>
      </c>
      <c r="H32" s="45">
        <v>8</v>
      </c>
      <c r="I32" s="45">
        <v>8</v>
      </c>
      <c r="J32" s="45">
        <v>8</v>
      </c>
      <c r="K32" s="45">
        <v>8</v>
      </c>
      <c r="L32" s="45">
        <v>8</v>
      </c>
      <c r="M32" s="45">
        <v>8</v>
      </c>
      <c r="N32" s="45">
        <v>8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1">
        <v>12</v>
      </c>
      <c r="AH32" s="48">
        <f t="shared" si="2"/>
        <v>8</v>
      </c>
      <c r="AI32" s="49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8</v>
      </c>
      <c r="C33" s="45">
        <v>8</v>
      </c>
      <c r="D33" s="45">
        <v>8</v>
      </c>
      <c r="E33" s="45">
        <v>8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3">
        <v>22</v>
      </c>
      <c r="AH33" s="48">
        <f t="shared" si="2"/>
        <v>8</v>
      </c>
      <c r="AI33" s="49">
        <f t="shared" si="3"/>
        <v>8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10</v>
      </c>
      <c r="C34" s="45">
        <v>10</v>
      </c>
      <c r="D34" s="45">
        <v>10</v>
      </c>
      <c r="E34" s="45">
        <v>10</v>
      </c>
      <c r="F34" s="45">
        <v>10</v>
      </c>
      <c r="G34" s="45">
        <v>10</v>
      </c>
      <c r="H34" s="45">
        <v>10</v>
      </c>
      <c r="I34" s="45">
        <v>10</v>
      </c>
      <c r="J34" s="45">
        <v>10</v>
      </c>
      <c r="K34" s="45">
        <v>10</v>
      </c>
      <c r="L34" s="45">
        <v>10</v>
      </c>
      <c r="M34" s="45">
        <v>10</v>
      </c>
      <c r="N34" s="45">
        <v>10</v>
      </c>
      <c r="O34" s="45">
        <v>10</v>
      </c>
      <c r="P34" s="45">
        <v>10</v>
      </c>
      <c r="Q34" s="45">
        <v>10</v>
      </c>
      <c r="R34" s="45">
        <v>10</v>
      </c>
      <c r="S34" s="45">
        <v>10</v>
      </c>
      <c r="T34" s="45">
        <v>10</v>
      </c>
      <c r="U34" s="45">
        <v>10</v>
      </c>
      <c r="V34" s="45">
        <v>10</v>
      </c>
      <c r="W34" s="45">
        <v>10</v>
      </c>
      <c r="X34" s="45">
        <v>10</v>
      </c>
      <c r="Y34" s="45">
        <v>10</v>
      </c>
      <c r="Z34" s="45">
        <v>10</v>
      </c>
      <c r="AA34" s="45">
        <v>10</v>
      </c>
      <c r="AB34" s="45">
        <v>10</v>
      </c>
      <c r="AC34" s="45">
        <v>10</v>
      </c>
      <c r="AD34" s="45">
        <v>10</v>
      </c>
      <c r="AE34" s="45">
        <v>10</v>
      </c>
      <c r="AF34" s="45">
        <v>10</v>
      </c>
      <c r="AG34" s="52">
        <v>11.88</v>
      </c>
      <c r="AH34" s="48">
        <f t="shared" si="2"/>
        <v>10</v>
      </c>
      <c r="AI34" s="49">
        <f t="shared" si="3"/>
        <v>10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9</v>
      </c>
      <c r="C35" s="45">
        <v>9</v>
      </c>
      <c r="D35" s="45">
        <v>9</v>
      </c>
      <c r="E35" s="45">
        <v>9</v>
      </c>
      <c r="F35" s="45">
        <v>9</v>
      </c>
      <c r="G35" s="45">
        <v>9</v>
      </c>
      <c r="H35" s="45">
        <v>9</v>
      </c>
      <c r="I35" s="45">
        <v>9</v>
      </c>
      <c r="J35" s="45">
        <v>9</v>
      </c>
      <c r="K35" s="45">
        <v>9</v>
      </c>
      <c r="L35" s="45">
        <v>9</v>
      </c>
      <c r="M35" s="45">
        <v>9</v>
      </c>
      <c r="N35" s="45">
        <v>9</v>
      </c>
      <c r="O35" s="45">
        <v>9</v>
      </c>
      <c r="P35" s="45">
        <v>9</v>
      </c>
      <c r="Q35" s="45">
        <v>9</v>
      </c>
      <c r="R35" s="45">
        <v>9</v>
      </c>
      <c r="S35" s="45">
        <v>9</v>
      </c>
      <c r="T35" s="45">
        <v>9</v>
      </c>
      <c r="U35" s="45">
        <v>9</v>
      </c>
      <c r="V35" s="45">
        <v>9</v>
      </c>
      <c r="W35" s="45">
        <v>9</v>
      </c>
      <c r="X35" s="45">
        <v>9</v>
      </c>
      <c r="Y35" s="45">
        <v>9</v>
      </c>
      <c r="Z35" s="45">
        <v>9</v>
      </c>
      <c r="AA35" s="45">
        <v>9</v>
      </c>
      <c r="AB35" s="45">
        <v>9</v>
      </c>
      <c r="AC35" s="45">
        <v>9</v>
      </c>
      <c r="AD35" s="45">
        <v>9</v>
      </c>
      <c r="AE35" s="45">
        <v>9</v>
      </c>
      <c r="AF35" s="45">
        <v>9</v>
      </c>
      <c r="AG35" s="55">
        <v>11</v>
      </c>
      <c r="AH35" s="48">
        <f t="shared" si="2"/>
        <v>9</v>
      </c>
      <c r="AI35" s="49">
        <f t="shared" si="3"/>
        <v>9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5">
        <v>10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2</v>
      </c>
      <c r="N37" s="45">
        <v>2</v>
      </c>
      <c r="O37" s="45">
        <v>2</v>
      </c>
      <c r="P37" s="45">
        <v>2</v>
      </c>
      <c r="Q37" s="45">
        <v>2</v>
      </c>
      <c r="R37" s="45">
        <v>2</v>
      </c>
      <c r="S37" s="45">
        <v>2</v>
      </c>
      <c r="T37" s="45">
        <v>2</v>
      </c>
      <c r="U37" s="45">
        <v>2</v>
      </c>
      <c r="V37" s="45">
        <v>2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2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300</v>
      </c>
      <c r="C38" s="57">
        <v>300</v>
      </c>
      <c r="D38" s="57">
        <v>300</v>
      </c>
      <c r="E38" s="57">
        <v>300</v>
      </c>
      <c r="F38" s="57">
        <v>300</v>
      </c>
      <c r="G38" s="57">
        <v>300</v>
      </c>
      <c r="H38" s="57">
        <v>300</v>
      </c>
      <c r="I38" s="57">
        <v>300</v>
      </c>
      <c r="J38" s="57">
        <v>300</v>
      </c>
      <c r="K38" s="57">
        <v>300</v>
      </c>
      <c r="L38" s="57">
        <v>300</v>
      </c>
      <c r="M38" s="57">
        <v>300</v>
      </c>
      <c r="N38" s="57">
        <v>300</v>
      </c>
      <c r="O38" s="57">
        <v>300</v>
      </c>
      <c r="P38" s="57">
        <v>300</v>
      </c>
      <c r="Q38" s="57">
        <v>300</v>
      </c>
      <c r="R38" s="57">
        <v>300</v>
      </c>
      <c r="S38" s="57">
        <v>300</v>
      </c>
      <c r="T38" s="57">
        <v>300</v>
      </c>
      <c r="U38" s="57">
        <v>300</v>
      </c>
      <c r="V38" s="57">
        <v>300</v>
      </c>
      <c r="W38" s="57">
        <v>300</v>
      </c>
      <c r="X38" s="57">
        <v>300</v>
      </c>
      <c r="Y38" s="57">
        <v>300</v>
      </c>
      <c r="Z38" s="57">
        <v>300</v>
      </c>
      <c r="AA38" s="57">
        <v>300</v>
      </c>
      <c r="AB38" s="57">
        <v>300</v>
      </c>
      <c r="AC38" s="57">
        <v>300</v>
      </c>
      <c r="AD38" s="57">
        <v>300</v>
      </c>
      <c r="AE38" s="57">
        <v>300</v>
      </c>
      <c r="AF38" s="57">
        <v>300</v>
      </c>
      <c r="AG38" s="55">
        <v>85</v>
      </c>
      <c r="AH38" s="48">
        <f t="shared" si="2"/>
        <v>300</v>
      </c>
      <c r="AI38" s="49">
        <f t="shared" si="3"/>
        <v>300</v>
      </c>
      <c r="AK38" s="50"/>
    </row>
    <row r="39" spans="1:88" ht="15.75" thickBot="1" x14ac:dyDescent="0.3">
      <c r="A39" s="58" t="s">
        <v>47</v>
      </c>
      <c r="B39" s="59">
        <v>124</v>
      </c>
      <c r="C39" s="59">
        <v>124</v>
      </c>
      <c r="D39" s="59">
        <v>124</v>
      </c>
      <c r="E39" s="59">
        <v>122</v>
      </c>
      <c r="F39" s="59">
        <v>122</v>
      </c>
      <c r="G39" s="59">
        <v>122</v>
      </c>
      <c r="H39" s="59">
        <v>122</v>
      </c>
      <c r="I39" s="59">
        <v>122</v>
      </c>
      <c r="J39" s="59">
        <v>122</v>
      </c>
      <c r="K39" s="59">
        <v>122</v>
      </c>
      <c r="L39" s="59">
        <v>122</v>
      </c>
      <c r="M39" s="57">
        <f>54.6+67.1</f>
        <v>121.69999999999999</v>
      </c>
      <c r="N39" s="57">
        <f>55.4+70.5</f>
        <v>125.9</v>
      </c>
      <c r="O39" s="57">
        <f>54.5+72.8</f>
        <v>127.3</v>
      </c>
      <c r="P39" s="57">
        <f>55.2+69.8</f>
        <v>125</v>
      </c>
      <c r="Q39" s="57">
        <f>55+68.3</f>
        <v>123.3</v>
      </c>
      <c r="R39" s="57">
        <f>43.6+69.2</f>
        <v>112.80000000000001</v>
      </c>
      <c r="S39" s="59">
        <f>55.2+70.2</f>
        <v>125.4</v>
      </c>
      <c r="T39" s="59">
        <f>54.8+66.5</f>
        <v>121.3</v>
      </c>
      <c r="U39" s="59">
        <f>54.4+63.8</f>
        <v>118.19999999999999</v>
      </c>
      <c r="V39" s="59">
        <f>54.3+68</f>
        <v>122.3</v>
      </c>
      <c r="W39" s="59">
        <f>53.2+66</f>
        <v>119.2</v>
      </c>
      <c r="X39" s="59">
        <v>118.2</v>
      </c>
      <c r="Y39" s="59">
        <f>53.2+66.3</f>
        <v>119.5</v>
      </c>
      <c r="Z39" s="59">
        <f>52.7+64.7</f>
        <v>117.4</v>
      </c>
      <c r="AA39" s="59">
        <f>42.5+64.1</f>
        <v>106.6</v>
      </c>
      <c r="AB39" s="59">
        <f>65.3+53.4</f>
        <v>118.69999999999999</v>
      </c>
      <c r="AC39" s="59">
        <v>121</v>
      </c>
      <c r="AD39" s="59">
        <v>121</v>
      </c>
      <c r="AE39" s="59">
        <v>121</v>
      </c>
      <c r="AF39" s="59">
        <v>121</v>
      </c>
      <c r="AG39" s="55">
        <v>240</v>
      </c>
      <c r="AH39" s="48">
        <f t="shared" si="2"/>
        <v>127.3</v>
      </c>
      <c r="AI39" s="49">
        <f t="shared" si="3"/>
        <v>106.6</v>
      </c>
      <c r="AK39" s="50"/>
    </row>
    <row r="40" spans="1:88" ht="15.75" thickBot="1" x14ac:dyDescent="0.3">
      <c r="A40" s="60" t="s">
        <v>48</v>
      </c>
      <c r="B40" s="61">
        <f t="shared" ref="B40:AG40" si="4">SUM(B11:B38)</f>
        <v>680.4</v>
      </c>
      <c r="C40" s="61">
        <f t="shared" si="4"/>
        <v>668.1</v>
      </c>
      <c r="D40" s="61">
        <f t="shared" si="4"/>
        <v>668.1</v>
      </c>
      <c r="E40" s="61">
        <f t="shared" si="4"/>
        <v>668.1</v>
      </c>
      <c r="F40" s="61">
        <f t="shared" si="4"/>
        <v>668.1</v>
      </c>
      <c r="G40" s="61">
        <f t="shared" si="4"/>
        <v>668.1</v>
      </c>
      <c r="H40" s="61">
        <f t="shared" si="4"/>
        <v>668.1</v>
      </c>
      <c r="I40" s="61">
        <f t="shared" si="4"/>
        <v>676.1</v>
      </c>
      <c r="J40" s="61">
        <f t="shared" si="4"/>
        <v>708.1</v>
      </c>
      <c r="K40" s="61">
        <f t="shared" si="4"/>
        <v>755.1</v>
      </c>
      <c r="L40" s="61">
        <f t="shared" si="4"/>
        <v>760.1</v>
      </c>
      <c r="M40" s="61">
        <f t="shared" si="4"/>
        <v>762.1</v>
      </c>
      <c r="N40" s="61">
        <f t="shared" si="4"/>
        <v>761.1</v>
      </c>
      <c r="O40" s="61">
        <f t="shared" si="4"/>
        <v>733</v>
      </c>
      <c r="P40" s="61">
        <f t="shared" si="4"/>
        <v>734.2</v>
      </c>
      <c r="Q40" s="61">
        <f t="shared" si="4"/>
        <v>700.9</v>
      </c>
      <c r="R40" s="61">
        <f t="shared" si="4"/>
        <v>685.2</v>
      </c>
      <c r="S40" s="61">
        <f t="shared" si="4"/>
        <v>694.9</v>
      </c>
      <c r="T40" s="61">
        <f t="shared" si="4"/>
        <v>690.2</v>
      </c>
      <c r="U40" s="61">
        <f t="shared" si="4"/>
        <v>706</v>
      </c>
      <c r="V40" s="61">
        <f t="shared" si="4"/>
        <v>709.9</v>
      </c>
      <c r="W40" s="61">
        <f t="shared" si="4"/>
        <v>752.2</v>
      </c>
      <c r="X40" s="61">
        <f t="shared" si="4"/>
        <v>754.4</v>
      </c>
      <c r="Y40" s="61">
        <f t="shared" si="4"/>
        <v>718.40000000000009</v>
      </c>
      <c r="Z40" s="61">
        <f t="shared" si="4"/>
        <v>722.3</v>
      </c>
      <c r="AA40" s="61">
        <f t="shared" si="4"/>
        <v>677.2</v>
      </c>
      <c r="AB40" s="61">
        <f t="shared" si="4"/>
        <v>676.6</v>
      </c>
      <c r="AC40" s="61">
        <f t="shared" si="4"/>
        <v>676.6</v>
      </c>
      <c r="AD40" s="61">
        <f t="shared" si="4"/>
        <v>676.6</v>
      </c>
      <c r="AE40" s="61">
        <f t="shared" si="4"/>
        <v>671.4</v>
      </c>
      <c r="AF40" s="61">
        <f t="shared" si="4"/>
        <v>673.1</v>
      </c>
      <c r="AG40" s="62">
        <f t="shared" si="4"/>
        <v>707.78000000000009</v>
      </c>
      <c r="AH40" s="48">
        <f t="shared" si="2"/>
        <v>762.1</v>
      </c>
      <c r="AI40" s="49">
        <f t="shared" si="3"/>
        <v>668.1</v>
      </c>
      <c r="AK40" s="50"/>
    </row>
    <row r="41" spans="1:88" x14ac:dyDescent="0.25">
      <c r="A41" s="63" t="s">
        <v>49</v>
      </c>
      <c r="B41" s="45">
        <v>190</v>
      </c>
      <c r="C41" s="45">
        <v>190</v>
      </c>
      <c r="D41" s="45">
        <v>190</v>
      </c>
      <c r="E41" s="45">
        <v>190</v>
      </c>
      <c r="F41" s="45">
        <v>190</v>
      </c>
      <c r="G41" s="45">
        <v>200</v>
      </c>
      <c r="H41" s="45">
        <v>220</v>
      </c>
      <c r="I41" s="45">
        <v>240</v>
      </c>
      <c r="J41" s="45">
        <v>230</v>
      </c>
      <c r="K41" s="45">
        <v>270</v>
      </c>
      <c r="L41" s="45">
        <v>320</v>
      </c>
      <c r="M41" s="45">
        <v>320</v>
      </c>
      <c r="N41" s="45">
        <v>280</v>
      </c>
      <c r="O41" s="45">
        <v>260</v>
      </c>
      <c r="P41" s="45">
        <v>160</v>
      </c>
      <c r="Q41" s="45">
        <v>100</v>
      </c>
      <c r="R41" s="45">
        <v>120</v>
      </c>
      <c r="S41" s="45">
        <v>120</v>
      </c>
      <c r="T41" s="45">
        <v>160</v>
      </c>
      <c r="U41" s="45">
        <v>170</v>
      </c>
      <c r="V41" s="45">
        <v>220</v>
      </c>
      <c r="W41" s="45">
        <v>320</v>
      </c>
      <c r="X41" s="45">
        <v>456</v>
      </c>
      <c r="Y41" s="45">
        <v>456</v>
      </c>
      <c r="Z41" s="45">
        <v>456</v>
      </c>
      <c r="AA41" s="45">
        <v>456</v>
      </c>
      <c r="AB41" s="45">
        <v>390</v>
      </c>
      <c r="AC41" s="45">
        <v>320</v>
      </c>
      <c r="AD41" s="45">
        <v>230</v>
      </c>
      <c r="AE41" s="45">
        <v>200</v>
      </c>
      <c r="AF41" s="45">
        <v>220</v>
      </c>
      <c r="AG41" s="52">
        <v>456</v>
      </c>
      <c r="AH41" s="48">
        <f t="shared" si="2"/>
        <v>456</v>
      </c>
      <c r="AI41" s="49">
        <f t="shared" si="3"/>
        <v>100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22</v>
      </c>
      <c r="C43" s="67">
        <v>22</v>
      </c>
      <c r="D43" s="67">
        <v>22</v>
      </c>
      <c r="E43" s="67">
        <v>22</v>
      </c>
      <c r="F43" s="67">
        <v>22</v>
      </c>
      <c r="G43" s="67">
        <v>22</v>
      </c>
      <c r="H43" s="67">
        <v>22</v>
      </c>
      <c r="I43" s="67">
        <v>22</v>
      </c>
      <c r="J43" s="67">
        <v>22</v>
      </c>
      <c r="K43" s="67">
        <v>22</v>
      </c>
      <c r="L43" s="67">
        <v>22</v>
      </c>
      <c r="M43" s="67">
        <v>22</v>
      </c>
      <c r="N43" s="67">
        <v>22</v>
      </c>
      <c r="O43" s="67">
        <v>22</v>
      </c>
      <c r="P43" s="67">
        <v>22.4</v>
      </c>
      <c r="Q43" s="67">
        <v>22.4</v>
      </c>
      <c r="R43" s="67">
        <v>22.4</v>
      </c>
      <c r="S43" s="67">
        <v>22.4</v>
      </c>
      <c r="T43" s="67">
        <v>22.4</v>
      </c>
      <c r="U43" s="67">
        <v>22.5</v>
      </c>
      <c r="V43" s="67">
        <v>22.4</v>
      </c>
      <c r="W43" s="67">
        <v>22.4</v>
      </c>
      <c r="X43" s="67">
        <v>22.5</v>
      </c>
      <c r="Y43" s="67">
        <v>22.5</v>
      </c>
      <c r="Z43" s="67">
        <v>22.5</v>
      </c>
      <c r="AA43" s="67">
        <v>22.5</v>
      </c>
      <c r="AB43" s="67">
        <v>22.5</v>
      </c>
      <c r="AC43" s="67">
        <v>22.5</v>
      </c>
      <c r="AD43" s="67">
        <v>22.5</v>
      </c>
      <c r="AE43" s="67">
        <v>22.5</v>
      </c>
      <c r="AF43" s="67">
        <v>22.5</v>
      </c>
      <c r="AG43" s="68">
        <v>22.1</v>
      </c>
      <c r="AH43" s="48">
        <f t="shared" si="2"/>
        <v>22.5</v>
      </c>
      <c r="AI43" s="49">
        <f t="shared" si="3"/>
        <v>22</v>
      </c>
      <c r="AK43" s="50"/>
    </row>
    <row r="44" spans="1:88" ht="15.75" thickBot="1" x14ac:dyDescent="0.3">
      <c r="A44" s="69" t="s">
        <v>52</v>
      </c>
      <c r="B44" s="61">
        <f t="shared" ref="B44:AG44" si="5">SUM(B41:B43)</f>
        <v>272</v>
      </c>
      <c r="C44" s="61">
        <f t="shared" si="5"/>
        <v>272</v>
      </c>
      <c r="D44" s="61">
        <f t="shared" si="5"/>
        <v>272</v>
      </c>
      <c r="E44" s="61">
        <f t="shared" si="5"/>
        <v>272</v>
      </c>
      <c r="F44" s="61">
        <f t="shared" si="5"/>
        <v>272</v>
      </c>
      <c r="G44" s="61">
        <f t="shared" si="5"/>
        <v>282</v>
      </c>
      <c r="H44" s="61">
        <f t="shared" si="5"/>
        <v>302</v>
      </c>
      <c r="I44" s="61">
        <f t="shared" si="5"/>
        <v>322</v>
      </c>
      <c r="J44" s="61">
        <f t="shared" si="5"/>
        <v>312</v>
      </c>
      <c r="K44" s="61">
        <f t="shared" si="5"/>
        <v>352</v>
      </c>
      <c r="L44" s="61">
        <f t="shared" si="5"/>
        <v>402</v>
      </c>
      <c r="M44" s="61">
        <f t="shared" si="5"/>
        <v>402</v>
      </c>
      <c r="N44" s="61">
        <f t="shared" si="5"/>
        <v>362</v>
      </c>
      <c r="O44" s="61">
        <f t="shared" si="5"/>
        <v>342</v>
      </c>
      <c r="P44" s="61">
        <f t="shared" si="5"/>
        <v>242.4</v>
      </c>
      <c r="Q44" s="61">
        <f t="shared" si="5"/>
        <v>182.4</v>
      </c>
      <c r="R44" s="61">
        <f t="shared" si="5"/>
        <v>202.4</v>
      </c>
      <c r="S44" s="61">
        <f t="shared" si="5"/>
        <v>202.4</v>
      </c>
      <c r="T44" s="61">
        <f t="shared" si="5"/>
        <v>242.4</v>
      </c>
      <c r="U44" s="61">
        <f t="shared" si="5"/>
        <v>252.5</v>
      </c>
      <c r="V44" s="61">
        <f t="shared" si="5"/>
        <v>302.39999999999998</v>
      </c>
      <c r="W44" s="61">
        <f t="shared" si="5"/>
        <v>402.4</v>
      </c>
      <c r="X44" s="61">
        <f t="shared" si="5"/>
        <v>538.5</v>
      </c>
      <c r="Y44" s="61">
        <f t="shared" si="5"/>
        <v>538.5</v>
      </c>
      <c r="Z44" s="61">
        <f t="shared" si="5"/>
        <v>538.5</v>
      </c>
      <c r="AA44" s="61">
        <f t="shared" si="5"/>
        <v>538.5</v>
      </c>
      <c r="AB44" s="61">
        <f t="shared" si="5"/>
        <v>472.5</v>
      </c>
      <c r="AC44" s="61">
        <f t="shared" si="5"/>
        <v>402.5</v>
      </c>
      <c r="AD44" s="61">
        <f t="shared" si="5"/>
        <v>312.5</v>
      </c>
      <c r="AE44" s="61">
        <f t="shared" si="5"/>
        <v>282.5</v>
      </c>
      <c r="AF44" s="61">
        <f t="shared" si="5"/>
        <v>302.5</v>
      </c>
      <c r="AG44" s="62">
        <f t="shared" si="5"/>
        <v>538.1</v>
      </c>
      <c r="AH44" s="48">
        <f t="shared" si="2"/>
        <v>538.5</v>
      </c>
      <c r="AI44" s="49">
        <f t="shared" si="3"/>
        <v>182.4</v>
      </c>
      <c r="AK44" s="50"/>
    </row>
    <row r="45" spans="1:88" x14ac:dyDescent="0.25">
      <c r="A45" s="44" t="s">
        <v>53</v>
      </c>
      <c r="B45" s="45">
        <v>91</v>
      </c>
      <c r="C45" s="45">
        <v>91</v>
      </c>
      <c r="D45" s="45">
        <v>91</v>
      </c>
      <c r="E45" s="45">
        <v>91</v>
      </c>
      <c r="F45" s="45">
        <v>91</v>
      </c>
      <c r="G45" s="45">
        <v>101</v>
      </c>
      <c r="H45" s="45">
        <v>130</v>
      </c>
      <c r="I45" s="45">
        <v>144</v>
      </c>
      <c r="J45" s="45">
        <v>144</v>
      </c>
      <c r="K45" s="45">
        <v>144</v>
      </c>
      <c r="L45" s="45">
        <v>144</v>
      </c>
      <c r="M45" s="45">
        <v>144</v>
      </c>
      <c r="N45" s="45">
        <v>144</v>
      </c>
      <c r="O45" s="45">
        <v>144</v>
      </c>
      <c r="P45" s="45">
        <v>143.69999999999999</v>
      </c>
      <c r="Q45" s="45">
        <v>143.69999999999999</v>
      </c>
      <c r="R45" s="45">
        <v>143.30000000000001</v>
      </c>
      <c r="S45" s="45">
        <v>143.30000000000001</v>
      </c>
      <c r="T45" s="45">
        <v>143.5</v>
      </c>
      <c r="U45" s="45">
        <v>143.5</v>
      </c>
      <c r="V45" s="45">
        <v>143.4</v>
      </c>
      <c r="W45" s="45">
        <v>143.4</v>
      </c>
      <c r="X45" s="45">
        <v>143.4</v>
      </c>
      <c r="Y45" s="45">
        <v>143.30000000000001</v>
      </c>
      <c r="Z45" s="45">
        <v>143.30000000000001</v>
      </c>
      <c r="AA45" s="45">
        <v>143.30000000000001</v>
      </c>
      <c r="AB45" s="45">
        <v>143.30000000000001</v>
      </c>
      <c r="AC45" s="45">
        <v>143.30000000000001</v>
      </c>
      <c r="AD45" s="45">
        <v>143.30000000000001</v>
      </c>
      <c r="AE45" s="45">
        <v>130</v>
      </c>
      <c r="AF45" s="45">
        <v>103</v>
      </c>
      <c r="AG45" s="52">
        <v>144</v>
      </c>
      <c r="AH45" s="48">
        <f t="shared" si="2"/>
        <v>144</v>
      </c>
      <c r="AI45" s="49">
        <f t="shared" si="3"/>
        <v>91</v>
      </c>
      <c r="AK45" s="50"/>
    </row>
    <row r="46" spans="1:88" x14ac:dyDescent="0.25">
      <c r="A46" s="54" t="s">
        <v>54</v>
      </c>
      <c r="B46" s="65">
        <v>50</v>
      </c>
      <c r="C46" s="65">
        <v>50</v>
      </c>
      <c r="D46" s="65">
        <v>50</v>
      </c>
      <c r="E46" s="65">
        <v>50</v>
      </c>
      <c r="F46" s="65">
        <v>50</v>
      </c>
      <c r="G46" s="65">
        <v>62</v>
      </c>
      <c r="H46" s="65">
        <v>72</v>
      </c>
      <c r="I46" s="65">
        <v>72</v>
      </c>
      <c r="J46" s="65">
        <v>72</v>
      </c>
      <c r="K46" s="65">
        <v>72</v>
      </c>
      <c r="L46" s="65">
        <v>72</v>
      </c>
      <c r="M46" s="65">
        <v>72</v>
      </c>
      <c r="N46" s="65">
        <v>72</v>
      </c>
      <c r="O46" s="65">
        <v>72</v>
      </c>
      <c r="P46" s="45">
        <v>71.900000000000006</v>
      </c>
      <c r="Q46" s="45">
        <v>71.900000000000006</v>
      </c>
      <c r="R46" s="45">
        <v>74.400000000000006</v>
      </c>
      <c r="S46" s="45">
        <v>74.400000000000006</v>
      </c>
      <c r="T46" s="65">
        <v>72.900000000000006</v>
      </c>
      <c r="U46" s="65">
        <v>72.900000000000006</v>
      </c>
      <c r="V46" s="65">
        <v>73.5</v>
      </c>
      <c r="W46" s="65">
        <v>73.5</v>
      </c>
      <c r="X46" s="65">
        <v>73.5</v>
      </c>
      <c r="Y46" s="65">
        <v>72.5</v>
      </c>
      <c r="Z46" s="65">
        <v>72.5</v>
      </c>
      <c r="AA46" s="65">
        <v>72.5</v>
      </c>
      <c r="AB46" s="65">
        <v>71</v>
      </c>
      <c r="AC46" s="65">
        <v>71</v>
      </c>
      <c r="AD46" s="65">
        <v>71</v>
      </c>
      <c r="AE46" s="65">
        <v>71</v>
      </c>
      <c r="AF46" s="65">
        <v>60</v>
      </c>
      <c r="AG46" s="55">
        <v>70</v>
      </c>
      <c r="AH46" s="48">
        <f t="shared" si="2"/>
        <v>74.400000000000006</v>
      </c>
      <c r="AI46" s="49">
        <f t="shared" si="3"/>
        <v>50</v>
      </c>
      <c r="AK46" s="50"/>
    </row>
    <row r="47" spans="1:88" x14ac:dyDescent="0.25">
      <c r="A47" s="54" t="s">
        <v>55</v>
      </c>
      <c r="B47" s="65">
        <v>62</v>
      </c>
      <c r="C47" s="65">
        <v>50.1</v>
      </c>
      <c r="D47" s="65">
        <v>50.1</v>
      </c>
      <c r="E47" s="65">
        <v>50.1</v>
      </c>
      <c r="F47" s="65">
        <v>50.1</v>
      </c>
      <c r="G47" s="65">
        <v>70</v>
      </c>
      <c r="H47" s="65">
        <v>70</v>
      </c>
      <c r="I47" s="65">
        <v>70</v>
      </c>
      <c r="J47" s="65">
        <v>70</v>
      </c>
      <c r="K47" s="65">
        <v>70</v>
      </c>
      <c r="L47" s="65">
        <v>70</v>
      </c>
      <c r="M47" s="65">
        <v>70</v>
      </c>
      <c r="N47" s="65">
        <v>70</v>
      </c>
      <c r="O47" s="65">
        <v>70</v>
      </c>
      <c r="P47" s="45">
        <v>71.2</v>
      </c>
      <c r="Q47" s="45">
        <v>71.2</v>
      </c>
      <c r="R47" s="45">
        <v>71.2</v>
      </c>
      <c r="S47" s="45">
        <v>71.2</v>
      </c>
      <c r="T47" s="65">
        <v>70.599999999999994</v>
      </c>
      <c r="U47" s="65">
        <v>70.599999999999994</v>
      </c>
      <c r="V47" s="65">
        <v>70.7</v>
      </c>
      <c r="W47" s="65">
        <v>70.7</v>
      </c>
      <c r="X47" s="65">
        <v>70.7</v>
      </c>
      <c r="Y47" s="65">
        <v>70.7</v>
      </c>
      <c r="Z47" s="65">
        <v>70.7</v>
      </c>
      <c r="AA47" s="65">
        <v>70.7</v>
      </c>
      <c r="AB47" s="65">
        <v>70.5</v>
      </c>
      <c r="AC47" s="65">
        <v>70.5</v>
      </c>
      <c r="AD47" s="65">
        <v>70.5</v>
      </c>
      <c r="AE47" s="65">
        <v>70.5</v>
      </c>
      <c r="AF47" s="65">
        <v>61.3</v>
      </c>
      <c r="AG47" s="55">
        <v>69</v>
      </c>
      <c r="AH47" s="48">
        <f t="shared" si="2"/>
        <v>71.2</v>
      </c>
      <c r="AI47" s="49">
        <f t="shared" si="3"/>
        <v>50.1</v>
      </c>
      <c r="AK47" s="50"/>
    </row>
    <row r="48" spans="1:88" x14ac:dyDescent="0.25">
      <c r="A48" s="54" t="s">
        <v>56</v>
      </c>
      <c r="B48" s="57">
        <v>40.6</v>
      </c>
      <c r="C48" s="57">
        <v>40.6</v>
      </c>
      <c r="D48" s="57">
        <v>40.6</v>
      </c>
      <c r="E48" s="57">
        <v>40.6</v>
      </c>
      <c r="F48" s="57">
        <v>40.6</v>
      </c>
      <c r="G48" s="57">
        <v>40</v>
      </c>
      <c r="H48" s="57">
        <v>50</v>
      </c>
      <c r="I48" s="57">
        <v>61</v>
      </c>
      <c r="J48" s="57">
        <v>61</v>
      </c>
      <c r="K48" s="57">
        <v>61</v>
      </c>
      <c r="L48" s="57">
        <v>61</v>
      </c>
      <c r="M48" s="57">
        <v>61</v>
      </c>
      <c r="N48" s="57">
        <v>61</v>
      </c>
      <c r="O48" s="57">
        <v>61</v>
      </c>
      <c r="P48" s="45">
        <v>60.9</v>
      </c>
      <c r="Q48" s="45">
        <v>60.9</v>
      </c>
      <c r="R48" s="45">
        <v>61.2</v>
      </c>
      <c r="S48" s="45">
        <v>61.2</v>
      </c>
      <c r="T48" s="45">
        <v>61.2</v>
      </c>
      <c r="U48" s="45">
        <v>61.2</v>
      </c>
      <c r="V48" s="65">
        <v>61.2</v>
      </c>
      <c r="W48" s="65">
        <v>61.2</v>
      </c>
      <c r="X48" s="65">
        <v>61.2</v>
      </c>
      <c r="Y48" s="65">
        <v>61.2</v>
      </c>
      <c r="Z48" s="65">
        <v>61.2</v>
      </c>
      <c r="AA48" s="65">
        <v>61.2</v>
      </c>
      <c r="AB48" s="57">
        <v>61.4</v>
      </c>
      <c r="AC48" s="57">
        <v>61.4</v>
      </c>
      <c r="AD48" s="57">
        <v>61.4</v>
      </c>
      <c r="AE48" s="57">
        <v>61.4</v>
      </c>
      <c r="AF48" s="57">
        <v>50.6</v>
      </c>
      <c r="AG48" s="55">
        <v>60</v>
      </c>
      <c r="AH48" s="48">
        <f t="shared" si="2"/>
        <v>61.4</v>
      </c>
      <c r="AI48" s="49">
        <f t="shared" si="3"/>
        <v>40</v>
      </c>
      <c r="AK48" s="50"/>
    </row>
    <row r="49" spans="1:41" x14ac:dyDescent="0.25">
      <c r="A49" s="54" t="s">
        <v>57</v>
      </c>
      <c r="B49" s="57">
        <v>0</v>
      </c>
      <c r="C49" s="57">
        <v>0</v>
      </c>
      <c r="D49" s="57">
        <v>0</v>
      </c>
      <c r="E49" s="57">
        <v>0</v>
      </c>
      <c r="F49" s="57">
        <v>0</v>
      </c>
      <c r="G49" s="57">
        <v>14</v>
      </c>
      <c r="H49" s="57">
        <v>14</v>
      </c>
      <c r="I49" s="57">
        <v>26</v>
      </c>
      <c r="J49" s="57">
        <v>26</v>
      </c>
      <c r="K49" s="57">
        <v>26</v>
      </c>
      <c r="L49" s="57">
        <v>30</v>
      </c>
      <c r="M49" s="57">
        <v>30</v>
      </c>
      <c r="N49" s="57">
        <v>30</v>
      </c>
      <c r="O49" s="57">
        <v>30</v>
      </c>
      <c r="P49" s="45">
        <v>15</v>
      </c>
      <c r="Q49" s="45">
        <v>15</v>
      </c>
      <c r="R49" s="45">
        <v>15</v>
      </c>
      <c r="S49" s="45">
        <v>15</v>
      </c>
      <c r="T49" s="45">
        <v>15</v>
      </c>
      <c r="U49" s="45">
        <v>15</v>
      </c>
      <c r="V49" s="65">
        <v>13.4</v>
      </c>
      <c r="W49" s="65">
        <v>26</v>
      </c>
      <c r="X49" s="65">
        <v>29</v>
      </c>
      <c r="Y49" s="65">
        <v>28.8</v>
      </c>
      <c r="Z49" s="65">
        <v>15</v>
      </c>
      <c r="AA49" s="65">
        <v>15</v>
      </c>
      <c r="AB49" s="57">
        <v>13.5</v>
      </c>
      <c r="AC49" s="57">
        <v>13.5</v>
      </c>
      <c r="AD49" s="57">
        <v>13.5</v>
      </c>
      <c r="AE49" s="57">
        <v>0</v>
      </c>
      <c r="AF49" s="57">
        <v>0</v>
      </c>
      <c r="AG49" s="55">
        <v>30</v>
      </c>
      <c r="AH49" s="48">
        <f t="shared" si="2"/>
        <v>30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12</v>
      </c>
      <c r="Q50" s="65">
        <v>12</v>
      </c>
      <c r="R50" s="45">
        <v>15</v>
      </c>
      <c r="S50" s="45">
        <v>12</v>
      </c>
      <c r="T50" s="45">
        <v>12</v>
      </c>
      <c r="U50" s="45">
        <v>8</v>
      </c>
      <c r="V50" s="45">
        <v>8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45">
        <v>0</v>
      </c>
      <c r="AC50" s="45">
        <v>0</v>
      </c>
      <c r="AD50" s="45">
        <v>0</v>
      </c>
      <c r="AE50" s="45">
        <v>0</v>
      </c>
      <c r="AF50" s="45">
        <v>0</v>
      </c>
      <c r="AG50" s="55">
        <v>25</v>
      </c>
      <c r="AH50" s="48">
        <f t="shared" si="2"/>
        <v>15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14.4</v>
      </c>
      <c r="C51" s="65">
        <v>14.4</v>
      </c>
      <c r="D51" s="65">
        <v>14.4</v>
      </c>
      <c r="E51" s="65">
        <v>14.4</v>
      </c>
      <c r="F51" s="65">
        <v>14.4</v>
      </c>
      <c r="G51" s="65">
        <v>14.4</v>
      </c>
      <c r="H51" s="65">
        <v>14.4</v>
      </c>
      <c r="I51" s="65">
        <v>14.4</v>
      </c>
      <c r="J51" s="65">
        <v>14.4</v>
      </c>
      <c r="K51" s="65">
        <v>14.4</v>
      </c>
      <c r="L51" s="65">
        <v>14.4</v>
      </c>
      <c r="M51" s="65">
        <v>14.4</v>
      </c>
      <c r="N51" s="65">
        <v>14.4</v>
      </c>
      <c r="O51" s="65">
        <v>14.4</v>
      </c>
      <c r="P51" s="65">
        <v>14.1</v>
      </c>
      <c r="Q51" s="65">
        <v>14.1</v>
      </c>
      <c r="R51" s="45">
        <v>14.1</v>
      </c>
      <c r="S51" s="45">
        <v>14.1</v>
      </c>
      <c r="T51" s="45">
        <v>14.1</v>
      </c>
      <c r="U51" s="45">
        <v>14.1</v>
      </c>
      <c r="V51" s="45">
        <v>14.1</v>
      </c>
      <c r="W51" s="45">
        <v>14.1</v>
      </c>
      <c r="X51" s="45">
        <v>14.1</v>
      </c>
      <c r="Y51" s="45">
        <v>14.1</v>
      </c>
      <c r="Z51" s="45">
        <v>14.1</v>
      </c>
      <c r="AA51" s="45">
        <v>14.1</v>
      </c>
      <c r="AB51" s="45">
        <v>14.1</v>
      </c>
      <c r="AC51" s="45">
        <v>14.1</v>
      </c>
      <c r="AD51" s="45">
        <v>14.1</v>
      </c>
      <c r="AE51" s="45">
        <v>14.1</v>
      </c>
      <c r="AF51" s="45">
        <v>14.1</v>
      </c>
      <c r="AG51" s="55">
        <v>24</v>
      </c>
      <c r="AH51" s="48">
        <f t="shared" si="2"/>
        <v>14.4</v>
      </c>
      <c r="AI51" s="49">
        <f t="shared" si="3"/>
        <v>14.1</v>
      </c>
      <c r="AK51" s="50"/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10.4</v>
      </c>
      <c r="C53" s="65">
        <v>10.4</v>
      </c>
      <c r="D53" s="65">
        <v>10.4</v>
      </c>
      <c r="E53" s="65">
        <v>0</v>
      </c>
      <c r="F53" s="65">
        <v>14</v>
      </c>
      <c r="G53" s="65">
        <v>11</v>
      </c>
      <c r="H53" s="65">
        <v>11</v>
      </c>
      <c r="I53" s="65">
        <v>11</v>
      </c>
      <c r="J53" s="65">
        <v>11</v>
      </c>
      <c r="K53" s="65">
        <v>11</v>
      </c>
      <c r="L53" s="65">
        <v>11</v>
      </c>
      <c r="M53" s="65">
        <v>11</v>
      </c>
      <c r="N53" s="65">
        <v>11</v>
      </c>
      <c r="O53" s="65">
        <v>11</v>
      </c>
      <c r="P53" s="65">
        <v>11.2</v>
      </c>
      <c r="Q53" s="65">
        <v>11.2</v>
      </c>
      <c r="R53" s="65">
        <v>11.6</v>
      </c>
      <c r="S53" s="65">
        <v>11.6</v>
      </c>
      <c r="T53" s="65">
        <v>11.6</v>
      </c>
      <c r="U53" s="65">
        <v>11.6</v>
      </c>
      <c r="V53" s="65">
        <v>11.6</v>
      </c>
      <c r="W53" s="65">
        <v>11.6</v>
      </c>
      <c r="X53" s="65">
        <v>11.6</v>
      </c>
      <c r="Y53" s="65">
        <v>11.6</v>
      </c>
      <c r="Z53" s="65">
        <v>11.6</v>
      </c>
      <c r="AA53" s="65">
        <v>11.6</v>
      </c>
      <c r="AB53" s="65">
        <v>11.6</v>
      </c>
      <c r="AC53" s="65">
        <v>11.6</v>
      </c>
      <c r="AD53" s="65">
        <v>11.6</v>
      </c>
      <c r="AE53" s="65">
        <v>11.6</v>
      </c>
      <c r="AF53" s="65">
        <v>11.6</v>
      </c>
      <c r="AG53" s="55">
        <v>14.1</v>
      </c>
      <c r="AH53" s="48">
        <f t="shared" si="2"/>
        <v>14</v>
      </c>
      <c r="AI53" s="49">
        <f t="shared" si="3"/>
        <v>0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14</v>
      </c>
      <c r="C54" s="65">
        <v>14</v>
      </c>
      <c r="D54" s="65">
        <v>14</v>
      </c>
      <c r="E54" s="65">
        <v>14</v>
      </c>
      <c r="F54" s="65">
        <v>14</v>
      </c>
      <c r="G54" s="65">
        <v>14</v>
      </c>
      <c r="H54" s="65">
        <v>14</v>
      </c>
      <c r="I54" s="65">
        <v>14</v>
      </c>
      <c r="J54" s="65">
        <v>14</v>
      </c>
      <c r="K54" s="65">
        <v>14</v>
      </c>
      <c r="L54" s="65">
        <v>14</v>
      </c>
      <c r="M54" s="65">
        <v>14</v>
      </c>
      <c r="N54" s="65">
        <v>14</v>
      </c>
      <c r="O54" s="65">
        <v>14</v>
      </c>
      <c r="P54" s="65">
        <v>11.4</v>
      </c>
      <c r="Q54" s="65">
        <v>10</v>
      </c>
      <c r="R54" s="65">
        <v>10.199999999999999</v>
      </c>
      <c r="S54" s="65">
        <v>10.199999999999999</v>
      </c>
      <c r="T54" s="65">
        <v>10.199999999999999</v>
      </c>
      <c r="U54" s="65">
        <v>10.199999999999999</v>
      </c>
      <c r="V54" s="65">
        <v>10.199999999999999</v>
      </c>
      <c r="W54" s="65">
        <v>10.199999999999999</v>
      </c>
      <c r="X54" s="65">
        <v>13</v>
      </c>
      <c r="Y54" s="65">
        <v>13</v>
      </c>
      <c r="Z54" s="65">
        <v>13</v>
      </c>
      <c r="AA54" s="65">
        <v>13</v>
      </c>
      <c r="AB54" s="65">
        <v>13</v>
      </c>
      <c r="AC54" s="65">
        <v>13</v>
      </c>
      <c r="AD54" s="65">
        <v>13</v>
      </c>
      <c r="AE54" s="65">
        <v>13</v>
      </c>
      <c r="AF54" s="65">
        <v>13</v>
      </c>
      <c r="AG54" s="55">
        <v>14</v>
      </c>
      <c r="AH54" s="48">
        <f t="shared" si="2"/>
        <v>14</v>
      </c>
      <c r="AI54" s="49">
        <f t="shared" si="3"/>
        <v>10</v>
      </c>
      <c r="AK54" s="50"/>
    </row>
    <row r="55" spans="1:41" x14ac:dyDescent="0.25">
      <c r="A55" s="54" t="s">
        <v>63</v>
      </c>
      <c r="B55" s="65">
        <v>6.6</v>
      </c>
      <c r="C55" s="65">
        <v>6.6</v>
      </c>
      <c r="D55" s="65">
        <v>6.6</v>
      </c>
      <c r="E55" s="65">
        <v>6.6</v>
      </c>
      <c r="F55" s="65">
        <v>6.6</v>
      </c>
      <c r="G55" s="65">
        <v>6.6</v>
      </c>
      <c r="H55" s="65">
        <v>6.6</v>
      </c>
      <c r="I55" s="65">
        <v>6.6</v>
      </c>
      <c r="J55" s="65">
        <v>6.6</v>
      </c>
      <c r="K55" s="65">
        <v>6.6</v>
      </c>
      <c r="L55" s="65">
        <v>6.6</v>
      </c>
      <c r="M55" s="65">
        <v>6.6</v>
      </c>
      <c r="N55" s="65">
        <v>6.6</v>
      </c>
      <c r="O55" s="65">
        <v>6.6</v>
      </c>
      <c r="P55" s="65">
        <v>9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0</v>
      </c>
      <c r="AC55" s="65">
        <v>0</v>
      </c>
      <c r="AD55" s="65">
        <v>0</v>
      </c>
      <c r="AE55" s="65">
        <v>0</v>
      </c>
      <c r="AF55" s="65">
        <v>0</v>
      </c>
      <c r="AG55" s="55">
        <v>10.050000000000001</v>
      </c>
      <c r="AH55" s="48">
        <f t="shared" si="2"/>
        <v>9</v>
      </c>
      <c r="AI55" s="49">
        <f t="shared" si="3"/>
        <v>0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:AG58" si="6">SUM(B45:B57)</f>
        <v>298.74</v>
      </c>
      <c r="C58" s="61">
        <f t="shared" si="6"/>
        <v>286.84000000000003</v>
      </c>
      <c r="D58" s="61">
        <f t="shared" si="6"/>
        <v>286.84000000000003</v>
      </c>
      <c r="E58" s="61">
        <f t="shared" si="6"/>
        <v>276.44000000000005</v>
      </c>
      <c r="F58" s="61">
        <f t="shared" si="6"/>
        <v>290.44000000000005</v>
      </c>
      <c r="G58" s="61">
        <f t="shared" si="6"/>
        <v>342.74</v>
      </c>
      <c r="H58" s="61">
        <f t="shared" si="6"/>
        <v>391.74</v>
      </c>
      <c r="I58" s="61">
        <f t="shared" si="6"/>
        <v>428.74</v>
      </c>
      <c r="J58" s="61">
        <f t="shared" si="6"/>
        <v>428.74</v>
      </c>
      <c r="K58" s="61">
        <f t="shared" si="6"/>
        <v>428.74</v>
      </c>
      <c r="L58" s="61">
        <f t="shared" si="6"/>
        <v>432.74</v>
      </c>
      <c r="M58" s="61">
        <f t="shared" si="6"/>
        <v>432.74</v>
      </c>
      <c r="N58" s="61">
        <f t="shared" si="6"/>
        <v>432.74</v>
      </c>
      <c r="O58" s="61">
        <f t="shared" si="6"/>
        <v>432.74</v>
      </c>
      <c r="P58" s="61">
        <f t="shared" si="6"/>
        <v>430.14</v>
      </c>
      <c r="Q58" s="61">
        <f t="shared" si="6"/>
        <v>419.74</v>
      </c>
      <c r="R58" s="61">
        <f t="shared" si="6"/>
        <v>425.74000000000007</v>
      </c>
      <c r="S58" s="61">
        <f t="shared" si="6"/>
        <v>422.74000000000007</v>
      </c>
      <c r="T58" s="61">
        <f t="shared" si="6"/>
        <v>420.84000000000003</v>
      </c>
      <c r="U58" s="61">
        <f t="shared" si="6"/>
        <v>416.84000000000003</v>
      </c>
      <c r="V58" s="61">
        <f t="shared" si="6"/>
        <v>415.84000000000003</v>
      </c>
      <c r="W58" s="61">
        <f t="shared" si="6"/>
        <v>420.44000000000005</v>
      </c>
      <c r="X58" s="61">
        <f t="shared" si="6"/>
        <v>426.24000000000007</v>
      </c>
      <c r="Y58" s="61">
        <f t="shared" si="6"/>
        <v>424.94000000000005</v>
      </c>
      <c r="Z58" s="61">
        <f t="shared" si="6"/>
        <v>411.14000000000004</v>
      </c>
      <c r="AA58" s="61">
        <f t="shared" si="6"/>
        <v>411.14000000000004</v>
      </c>
      <c r="AB58" s="61">
        <f t="shared" si="6"/>
        <v>408.14000000000004</v>
      </c>
      <c r="AC58" s="61">
        <f t="shared" si="6"/>
        <v>408.14000000000004</v>
      </c>
      <c r="AD58" s="61">
        <f t="shared" si="6"/>
        <v>408.14000000000004</v>
      </c>
      <c r="AE58" s="61">
        <f t="shared" si="6"/>
        <v>381.34000000000003</v>
      </c>
      <c r="AF58" s="61">
        <f t="shared" si="6"/>
        <v>323.34000000000009</v>
      </c>
      <c r="AG58" s="62">
        <f t="shared" si="6"/>
        <v>489.91</v>
      </c>
      <c r="AH58" s="48">
        <f t="shared" si="2"/>
        <v>432.74</v>
      </c>
      <c r="AI58" s="49">
        <f t="shared" si="3"/>
        <v>276.44000000000005</v>
      </c>
      <c r="AK58" s="50"/>
    </row>
    <row r="59" spans="1:41" x14ac:dyDescent="0.25">
      <c r="A59" s="44" t="s">
        <v>67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67">
        <v>0</v>
      </c>
      <c r="AB61" s="67">
        <v>0</v>
      </c>
      <c r="AC61" s="67">
        <v>0</v>
      </c>
      <c r="AD61" s="67">
        <v>0</v>
      </c>
      <c r="AE61" s="67">
        <v>0</v>
      </c>
      <c r="AF61" s="67">
        <v>0</v>
      </c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AG62" si="7">SUM(B59:B61)</f>
        <v>0</v>
      </c>
      <c r="C62" s="61">
        <f t="shared" si="7"/>
        <v>0</v>
      </c>
      <c r="D62" s="61">
        <f t="shared" si="7"/>
        <v>0</v>
      </c>
      <c r="E62" s="61">
        <f t="shared" si="7"/>
        <v>0</v>
      </c>
      <c r="F62" s="61">
        <f t="shared" si="7"/>
        <v>0</v>
      </c>
      <c r="G62" s="61">
        <f t="shared" si="7"/>
        <v>0</v>
      </c>
      <c r="H62" s="61">
        <f t="shared" si="7"/>
        <v>0</v>
      </c>
      <c r="I62" s="61">
        <f t="shared" si="7"/>
        <v>0</v>
      </c>
      <c r="J62" s="61">
        <f t="shared" si="7"/>
        <v>0</v>
      </c>
      <c r="K62" s="61">
        <f t="shared" si="7"/>
        <v>0</v>
      </c>
      <c r="L62" s="61">
        <f t="shared" si="7"/>
        <v>0</v>
      </c>
      <c r="M62" s="61">
        <f t="shared" si="7"/>
        <v>0</v>
      </c>
      <c r="N62" s="61">
        <f t="shared" si="7"/>
        <v>0</v>
      </c>
      <c r="O62" s="61">
        <f t="shared" si="7"/>
        <v>0</v>
      </c>
      <c r="P62" s="61">
        <f t="shared" si="7"/>
        <v>0</v>
      </c>
      <c r="Q62" s="61">
        <f t="shared" si="7"/>
        <v>0</v>
      </c>
      <c r="R62" s="61">
        <f t="shared" si="7"/>
        <v>0</v>
      </c>
      <c r="S62" s="61">
        <f t="shared" si="7"/>
        <v>0</v>
      </c>
      <c r="T62" s="61">
        <f t="shared" si="7"/>
        <v>0</v>
      </c>
      <c r="U62" s="61">
        <f t="shared" si="7"/>
        <v>0</v>
      </c>
      <c r="V62" s="61">
        <f t="shared" si="7"/>
        <v>0</v>
      </c>
      <c r="W62" s="61">
        <f t="shared" si="7"/>
        <v>0</v>
      </c>
      <c r="X62" s="61">
        <f t="shared" si="7"/>
        <v>0</v>
      </c>
      <c r="Y62" s="61">
        <f t="shared" si="7"/>
        <v>0</v>
      </c>
      <c r="Z62" s="61">
        <f t="shared" si="7"/>
        <v>0</v>
      </c>
      <c r="AA62" s="61">
        <f t="shared" si="7"/>
        <v>0</v>
      </c>
      <c r="AB62" s="61">
        <f t="shared" si="7"/>
        <v>0</v>
      </c>
      <c r="AC62" s="61">
        <f t="shared" si="7"/>
        <v>0</v>
      </c>
      <c r="AD62" s="61">
        <f t="shared" si="7"/>
        <v>0</v>
      </c>
      <c r="AE62" s="61">
        <f t="shared" si="7"/>
        <v>0</v>
      </c>
      <c r="AF62" s="61">
        <f t="shared" si="7"/>
        <v>0</v>
      </c>
      <c r="AG62" s="62">
        <f t="shared" si="7"/>
        <v>106</v>
      </c>
      <c r="AH62" s="48">
        <f t="shared" si="2"/>
        <v>0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-286</v>
      </c>
      <c r="C65" s="65">
        <v>-300</v>
      </c>
      <c r="D65" s="65">
        <v>-307</v>
      </c>
      <c r="E65" s="65">
        <v>-307</v>
      </c>
      <c r="F65" s="65">
        <v>-301</v>
      </c>
      <c r="G65" s="65">
        <v>-318</v>
      </c>
      <c r="H65" s="65">
        <v>-315</v>
      </c>
      <c r="I65" s="65">
        <v>-328</v>
      </c>
      <c r="J65" s="65">
        <v>-322</v>
      </c>
      <c r="K65" s="65">
        <v>-335</v>
      </c>
      <c r="L65" s="65">
        <v>-338</v>
      </c>
      <c r="M65" s="65">
        <v>-322</v>
      </c>
      <c r="N65" s="65">
        <v>-323</v>
      </c>
      <c r="O65" s="65">
        <v>-337</v>
      </c>
      <c r="P65" s="65">
        <v>-256.3</v>
      </c>
      <c r="Q65" s="65">
        <v>-205</v>
      </c>
      <c r="R65" s="65">
        <v>-210</v>
      </c>
      <c r="S65" s="65">
        <v>-208</v>
      </c>
      <c r="T65" s="65">
        <v>-214</v>
      </c>
      <c r="U65" s="65">
        <v>-239.8</v>
      </c>
      <c r="V65" s="65">
        <v>-242</v>
      </c>
      <c r="W65" s="65">
        <v>-285</v>
      </c>
      <c r="X65" s="65">
        <v>-345</v>
      </c>
      <c r="Y65" s="65">
        <v>-338</v>
      </c>
      <c r="Z65" s="65">
        <v>-401.4</v>
      </c>
      <c r="AA65" s="65">
        <v>-388.4</v>
      </c>
      <c r="AB65" s="65">
        <v>-340.2</v>
      </c>
      <c r="AC65" s="65">
        <v>-350</v>
      </c>
      <c r="AD65" s="65">
        <v>-327</v>
      </c>
      <c r="AE65" s="65">
        <v>-335</v>
      </c>
      <c r="AF65" s="65">
        <v>-325</v>
      </c>
      <c r="AG65" s="75"/>
      <c r="AH65" s="48">
        <f t="shared" si="2"/>
        <v>-205</v>
      </c>
      <c r="AI65" s="49">
        <f t="shared" si="3"/>
        <v>-401.4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76">
        <v>0</v>
      </c>
      <c r="C67" s="76">
        <v>0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6">
        <v>0</v>
      </c>
      <c r="C68" s="76">
        <v>0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6">
        <v>0</v>
      </c>
      <c r="C69" s="76">
        <v>0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6">
        <v>0</v>
      </c>
      <c r="C72" s="76">
        <v>0</v>
      </c>
      <c r="D72" s="76">
        <v>0</v>
      </c>
      <c r="E72" s="76">
        <v>0</v>
      </c>
      <c r="F72" s="76">
        <v>0</v>
      </c>
      <c r="G72" s="76">
        <v>0</v>
      </c>
      <c r="H72" s="76">
        <v>0</v>
      </c>
      <c r="I72" s="76">
        <v>0</v>
      </c>
      <c r="J72" s="76">
        <v>0</v>
      </c>
      <c r="K72" s="76">
        <v>0</v>
      </c>
      <c r="L72" s="76">
        <v>0</v>
      </c>
      <c r="M72" s="76">
        <v>0</v>
      </c>
      <c r="N72" s="76">
        <v>0</v>
      </c>
      <c r="O72" s="76">
        <v>0</v>
      </c>
      <c r="P72" s="76">
        <v>0</v>
      </c>
      <c r="Q72" s="76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6">
        <v>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:AF74" si="8">SUMIF(B63:B73,"&gt;0")</f>
        <v>0</v>
      </c>
      <c r="C74" s="61">
        <f t="shared" si="8"/>
        <v>0</v>
      </c>
      <c r="D74" s="61">
        <f t="shared" si="8"/>
        <v>0</v>
      </c>
      <c r="E74" s="61">
        <f t="shared" si="8"/>
        <v>0</v>
      </c>
      <c r="F74" s="61">
        <f t="shared" si="8"/>
        <v>0</v>
      </c>
      <c r="G74" s="61">
        <f t="shared" si="8"/>
        <v>0</v>
      </c>
      <c r="H74" s="61">
        <f t="shared" si="8"/>
        <v>0</v>
      </c>
      <c r="I74" s="61">
        <f t="shared" si="8"/>
        <v>0</v>
      </c>
      <c r="J74" s="61">
        <f t="shared" si="8"/>
        <v>0</v>
      </c>
      <c r="K74" s="61">
        <f t="shared" si="8"/>
        <v>0</v>
      </c>
      <c r="L74" s="61">
        <f t="shared" si="8"/>
        <v>0</v>
      </c>
      <c r="M74" s="61">
        <f t="shared" si="8"/>
        <v>0</v>
      </c>
      <c r="N74" s="61">
        <f t="shared" si="8"/>
        <v>0</v>
      </c>
      <c r="O74" s="61">
        <f t="shared" si="8"/>
        <v>0</v>
      </c>
      <c r="P74" s="61">
        <f t="shared" si="8"/>
        <v>0</v>
      </c>
      <c r="Q74" s="61">
        <f t="shared" si="8"/>
        <v>0</v>
      </c>
      <c r="R74" s="61">
        <f t="shared" si="8"/>
        <v>0</v>
      </c>
      <c r="S74" s="61">
        <f t="shared" si="8"/>
        <v>0</v>
      </c>
      <c r="T74" s="61">
        <f t="shared" si="8"/>
        <v>0</v>
      </c>
      <c r="U74" s="61">
        <f t="shared" si="8"/>
        <v>0</v>
      </c>
      <c r="V74" s="61">
        <f t="shared" si="8"/>
        <v>0</v>
      </c>
      <c r="W74" s="61">
        <f t="shared" si="8"/>
        <v>0</v>
      </c>
      <c r="X74" s="61">
        <f t="shared" si="8"/>
        <v>0</v>
      </c>
      <c r="Y74" s="61">
        <f t="shared" si="8"/>
        <v>0</v>
      </c>
      <c r="Z74" s="61">
        <f t="shared" si="8"/>
        <v>0</v>
      </c>
      <c r="AA74" s="61">
        <f t="shared" si="8"/>
        <v>0</v>
      </c>
      <c r="AB74" s="61">
        <f t="shared" si="8"/>
        <v>0</v>
      </c>
      <c r="AC74" s="61">
        <f t="shared" si="8"/>
        <v>0</v>
      </c>
      <c r="AD74" s="61">
        <f t="shared" si="8"/>
        <v>0</v>
      </c>
      <c r="AE74" s="61">
        <f t="shared" si="8"/>
        <v>0</v>
      </c>
      <c r="AF74" s="61">
        <f t="shared" si="8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44" t="s">
        <v>83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/>
      <c r="AD75" s="76"/>
      <c r="AE75" s="76"/>
      <c r="AF75" s="76"/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/>
      <c r="AD76" s="77"/>
      <c r="AE76" s="77"/>
      <c r="AF76" s="77"/>
      <c r="AG76" s="75">
        <v>14.4</v>
      </c>
      <c r="AH76" s="48">
        <f t="shared" ref="AH76:AH109" si="9">MAX(B76:AF76)</f>
        <v>0</v>
      </c>
      <c r="AI76" s="49">
        <f t="shared" ref="AI76:AI109" si="10">MIN(B76:AF76)</f>
        <v>0</v>
      </c>
      <c r="AK76" s="50"/>
    </row>
    <row r="77" spans="1:37" ht="15.75" thickBot="1" x14ac:dyDescent="0.3">
      <c r="A77" s="78" t="s">
        <v>85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79">
        <v>0</v>
      </c>
      <c r="AC77" s="79"/>
      <c r="AD77" s="79"/>
      <c r="AE77" s="79"/>
      <c r="AF77" s="79"/>
      <c r="AG77" s="80">
        <v>2</v>
      </c>
      <c r="AH77" s="48">
        <f t="shared" si="9"/>
        <v>0</v>
      </c>
      <c r="AI77" s="49">
        <f t="shared" si="10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9"/>
        <v>0</v>
      </c>
      <c r="AI78" s="49">
        <f t="shared" si="10"/>
        <v>0</v>
      </c>
    </row>
    <row r="79" spans="1:37" ht="15.75" thickBot="1" x14ac:dyDescent="0.3">
      <c r="A79" s="74" t="s">
        <v>87</v>
      </c>
      <c r="B79" s="83">
        <f t="shared" ref="B79:AG79" si="11">B40+B44+B62+B58+B74+B78</f>
        <v>1251.1399999999999</v>
      </c>
      <c r="C79" s="83">
        <f t="shared" si="11"/>
        <v>1226.94</v>
      </c>
      <c r="D79" s="83">
        <f t="shared" si="11"/>
        <v>1226.94</v>
      </c>
      <c r="E79" s="83">
        <f t="shared" si="11"/>
        <v>1216.54</v>
      </c>
      <c r="F79" s="83">
        <f t="shared" si="11"/>
        <v>1230.54</v>
      </c>
      <c r="G79" s="83">
        <f t="shared" si="11"/>
        <v>1292.8400000000001</v>
      </c>
      <c r="H79" s="83">
        <f t="shared" si="11"/>
        <v>1361.8400000000001</v>
      </c>
      <c r="I79" s="83">
        <f t="shared" si="11"/>
        <v>1426.8400000000001</v>
      </c>
      <c r="J79" s="83">
        <f t="shared" si="11"/>
        <v>1448.8400000000001</v>
      </c>
      <c r="K79" s="83">
        <f t="shared" si="11"/>
        <v>1535.84</v>
      </c>
      <c r="L79" s="83">
        <f t="shared" si="11"/>
        <v>1594.84</v>
      </c>
      <c r="M79" s="83">
        <f t="shared" si="11"/>
        <v>1596.84</v>
      </c>
      <c r="N79" s="83">
        <f t="shared" si="11"/>
        <v>1555.84</v>
      </c>
      <c r="O79" s="83">
        <f t="shared" si="11"/>
        <v>1507.74</v>
      </c>
      <c r="P79" s="83">
        <f t="shared" si="11"/>
        <v>1406.74</v>
      </c>
      <c r="Q79" s="83">
        <f t="shared" si="11"/>
        <v>1303.04</v>
      </c>
      <c r="R79" s="83">
        <f t="shared" si="11"/>
        <v>1313.3400000000001</v>
      </c>
      <c r="S79" s="83">
        <f t="shared" si="11"/>
        <v>1320.04</v>
      </c>
      <c r="T79" s="83">
        <f t="shared" si="11"/>
        <v>1353.44</v>
      </c>
      <c r="U79" s="83">
        <f t="shared" si="11"/>
        <v>1375.3400000000001</v>
      </c>
      <c r="V79" s="83">
        <f t="shared" si="11"/>
        <v>1428.1399999999999</v>
      </c>
      <c r="W79" s="83">
        <f t="shared" si="11"/>
        <v>1575.04</v>
      </c>
      <c r="X79" s="83">
        <f t="shared" si="11"/>
        <v>1719.14</v>
      </c>
      <c r="Y79" s="83">
        <f t="shared" si="11"/>
        <v>1681.8400000000001</v>
      </c>
      <c r="Z79" s="83">
        <f t="shared" si="11"/>
        <v>1671.94</v>
      </c>
      <c r="AA79" s="83">
        <f t="shared" si="11"/>
        <v>1626.8400000000001</v>
      </c>
      <c r="AB79" s="83">
        <f t="shared" si="11"/>
        <v>1557.24</v>
      </c>
      <c r="AC79" s="83">
        <f t="shared" si="11"/>
        <v>1487.24</v>
      </c>
      <c r="AD79" s="83">
        <f t="shared" si="11"/>
        <v>1397.24</v>
      </c>
      <c r="AE79" s="83">
        <f t="shared" si="11"/>
        <v>1335.24</v>
      </c>
      <c r="AF79" s="83">
        <f t="shared" si="11"/>
        <v>1298.94</v>
      </c>
      <c r="AG79" s="62">
        <f t="shared" si="11"/>
        <v>1897.1900000000003</v>
      </c>
      <c r="AH79" s="48">
        <f t="shared" si="9"/>
        <v>1719.14</v>
      </c>
      <c r="AI79" s="49">
        <f t="shared" si="10"/>
        <v>1216.54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9"/>
        <v>0</v>
      </c>
      <c r="AI80" s="49">
        <f t="shared" si="10"/>
        <v>0</v>
      </c>
    </row>
    <row r="81" spans="1:37" ht="15.75" thickBot="1" x14ac:dyDescent="0.3">
      <c r="A81" s="74" t="s">
        <v>89</v>
      </c>
      <c r="B81" s="83">
        <f t="shared" ref="B81:AF81" si="12">B79+B80</f>
        <v>1251.1399999999999</v>
      </c>
      <c r="C81" s="83">
        <f t="shared" si="12"/>
        <v>1226.94</v>
      </c>
      <c r="D81" s="83">
        <f t="shared" si="12"/>
        <v>1226.94</v>
      </c>
      <c r="E81" s="83">
        <f t="shared" si="12"/>
        <v>1216.54</v>
      </c>
      <c r="F81" s="83">
        <f t="shared" si="12"/>
        <v>1230.54</v>
      </c>
      <c r="G81" s="83">
        <f t="shared" si="12"/>
        <v>1292.8400000000001</v>
      </c>
      <c r="H81" s="83">
        <f t="shared" si="12"/>
        <v>1361.8400000000001</v>
      </c>
      <c r="I81" s="83">
        <f t="shared" si="12"/>
        <v>1426.8400000000001</v>
      </c>
      <c r="J81" s="83">
        <f t="shared" si="12"/>
        <v>1448.8400000000001</v>
      </c>
      <c r="K81" s="83">
        <f t="shared" si="12"/>
        <v>1535.84</v>
      </c>
      <c r="L81" s="83">
        <f t="shared" si="12"/>
        <v>1594.84</v>
      </c>
      <c r="M81" s="83">
        <f t="shared" si="12"/>
        <v>1596.84</v>
      </c>
      <c r="N81" s="83">
        <f t="shared" si="12"/>
        <v>1555.84</v>
      </c>
      <c r="O81" s="83">
        <f t="shared" si="12"/>
        <v>1507.74</v>
      </c>
      <c r="P81" s="83">
        <f t="shared" si="12"/>
        <v>1406.74</v>
      </c>
      <c r="Q81" s="83">
        <f t="shared" si="12"/>
        <v>1303.04</v>
      </c>
      <c r="R81" s="83">
        <f t="shared" si="12"/>
        <v>1313.3400000000001</v>
      </c>
      <c r="S81" s="83">
        <f t="shared" si="12"/>
        <v>1320.04</v>
      </c>
      <c r="T81" s="83">
        <f t="shared" si="12"/>
        <v>1353.44</v>
      </c>
      <c r="U81" s="83">
        <f t="shared" si="12"/>
        <v>1375.3400000000001</v>
      </c>
      <c r="V81" s="83">
        <f t="shared" si="12"/>
        <v>1428.1399999999999</v>
      </c>
      <c r="W81" s="83">
        <f t="shared" si="12"/>
        <v>1575.04</v>
      </c>
      <c r="X81" s="83">
        <f t="shared" si="12"/>
        <v>1719.14</v>
      </c>
      <c r="Y81" s="83">
        <f t="shared" si="12"/>
        <v>1681.8400000000001</v>
      </c>
      <c r="Z81" s="83">
        <f t="shared" si="12"/>
        <v>1671.94</v>
      </c>
      <c r="AA81" s="83">
        <f t="shared" si="12"/>
        <v>1626.8400000000001</v>
      </c>
      <c r="AB81" s="83">
        <f t="shared" si="12"/>
        <v>1557.24</v>
      </c>
      <c r="AC81" s="83">
        <f t="shared" si="12"/>
        <v>1487.24</v>
      </c>
      <c r="AD81" s="83">
        <f t="shared" si="12"/>
        <v>1397.24</v>
      </c>
      <c r="AE81" s="83">
        <f t="shared" si="12"/>
        <v>1335.24</v>
      </c>
      <c r="AF81" s="83">
        <f t="shared" si="12"/>
        <v>1298.94</v>
      </c>
      <c r="AG81" s="81">
        <f>AG78+AG74+AG62+AG58+AG40+AG80</f>
        <v>1359.0900000000001</v>
      </c>
      <c r="AH81" s="48">
        <f t="shared" si="9"/>
        <v>1719.14</v>
      </c>
      <c r="AI81" s="49">
        <f t="shared" si="10"/>
        <v>1216.54</v>
      </c>
    </row>
    <row r="82" spans="1:37" ht="15.75" thickBot="1" x14ac:dyDescent="0.3">
      <c r="A82" s="74" t="s">
        <v>90</v>
      </c>
      <c r="B82" s="83">
        <f t="shared" ref="B82:AF82" si="13">B81-B89</f>
        <v>965.13999999999987</v>
      </c>
      <c r="C82" s="83">
        <f t="shared" si="13"/>
        <v>926.94</v>
      </c>
      <c r="D82" s="83">
        <f t="shared" si="13"/>
        <v>919.94</v>
      </c>
      <c r="E82" s="83">
        <f t="shared" si="13"/>
        <v>909.54</v>
      </c>
      <c r="F82" s="83">
        <f t="shared" si="13"/>
        <v>929.54</v>
      </c>
      <c r="G82" s="83">
        <f t="shared" si="13"/>
        <v>974.84000000000015</v>
      </c>
      <c r="H82" s="83">
        <f t="shared" si="13"/>
        <v>1046.8400000000001</v>
      </c>
      <c r="I82" s="83">
        <f t="shared" si="13"/>
        <v>1098.8400000000001</v>
      </c>
      <c r="J82" s="83">
        <f t="shared" si="13"/>
        <v>1126.8400000000001</v>
      </c>
      <c r="K82" s="83">
        <f t="shared" si="13"/>
        <v>1200.8399999999999</v>
      </c>
      <c r="L82" s="83">
        <f t="shared" si="13"/>
        <v>1256.8399999999999</v>
      </c>
      <c r="M82" s="83">
        <f t="shared" si="13"/>
        <v>1274.8399999999999</v>
      </c>
      <c r="N82" s="83">
        <f t="shared" si="13"/>
        <v>1232.8399999999999</v>
      </c>
      <c r="O82" s="83">
        <f t="shared" si="13"/>
        <v>1170.74</v>
      </c>
      <c r="P82" s="83">
        <f t="shared" si="13"/>
        <v>1150.44</v>
      </c>
      <c r="Q82" s="83">
        <f t="shared" si="13"/>
        <v>1098.04</v>
      </c>
      <c r="R82" s="83">
        <f t="shared" si="13"/>
        <v>1103.3400000000001</v>
      </c>
      <c r="S82" s="83">
        <f t="shared" si="13"/>
        <v>1112.04</v>
      </c>
      <c r="T82" s="83">
        <f t="shared" si="13"/>
        <v>1139.44</v>
      </c>
      <c r="U82" s="83">
        <f t="shared" si="13"/>
        <v>1135.5400000000002</v>
      </c>
      <c r="V82" s="83">
        <f t="shared" si="13"/>
        <v>1186.1399999999999</v>
      </c>
      <c r="W82" s="83">
        <f t="shared" si="13"/>
        <v>1290.04</v>
      </c>
      <c r="X82" s="83">
        <f t="shared" si="13"/>
        <v>1374.14</v>
      </c>
      <c r="Y82" s="83">
        <f t="shared" si="13"/>
        <v>1343.8400000000001</v>
      </c>
      <c r="Z82" s="83">
        <f t="shared" si="13"/>
        <v>1270.54</v>
      </c>
      <c r="AA82" s="83">
        <f t="shared" si="13"/>
        <v>1238.44</v>
      </c>
      <c r="AB82" s="83">
        <f t="shared" si="13"/>
        <v>1217.04</v>
      </c>
      <c r="AC82" s="83">
        <f t="shared" si="13"/>
        <v>1137.24</v>
      </c>
      <c r="AD82" s="83">
        <f t="shared" si="13"/>
        <v>1070.24</v>
      </c>
      <c r="AE82" s="83">
        <f t="shared" si="13"/>
        <v>1000.24</v>
      </c>
      <c r="AF82" s="83">
        <f t="shared" si="13"/>
        <v>973.94</v>
      </c>
      <c r="AG82" s="81"/>
      <c r="AH82" s="48">
        <f t="shared" si="9"/>
        <v>1374.14</v>
      </c>
      <c r="AI82" s="49">
        <f t="shared" si="10"/>
        <v>909.54</v>
      </c>
    </row>
    <row r="83" spans="1:37" x14ac:dyDescent="0.25">
      <c r="A83" s="44" t="s">
        <v>74</v>
      </c>
      <c r="B83" s="76">
        <f t="shared" ref="B83:AF83" si="14">IF(B66&lt;0,B66*-1,0)</f>
        <v>0</v>
      </c>
      <c r="C83" s="76">
        <f t="shared" si="14"/>
        <v>0</v>
      </c>
      <c r="D83" s="76">
        <f t="shared" si="14"/>
        <v>0</v>
      </c>
      <c r="E83" s="76">
        <f t="shared" si="14"/>
        <v>0</v>
      </c>
      <c r="F83" s="76">
        <f t="shared" si="14"/>
        <v>0</v>
      </c>
      <c r="G83" s="76">
        <f t="shared" si="14"/>
        <v>0</v>
      </c>
      <c r="H83" s="76">
        <f t="shared" si="14"/>
        <v>0</v>
      </c>
      <c r="I83" s="76">
        <f t="shared" si="14"/>
        <v>0</v>
      </c>
      <c r="J83" s="76">
        <f t="shared" si="14"/>
        <v>0</v>
      </c>
      <c r="K83" s="76">
        <f t="shared" si="14"/>
        <v>0</v>
      </c>
      <c r="L83" s="76">
        <f t="shared" si="14"/>
        <v>0</v>
      </c>
      <c r="M83" s="76">
        <f t="shared" si="14"/>
        <v>0</v>
      </c>
      <c r="N83" s="76">
        <f t="shared" si="14"/>
        <v>0</v>
      </c>
      <c r="O83" s="76">
        <f t="shared" si="14"/>
        <v>0</v>
      </c>
      <c r="P83" s="76">
        <f t="shared" si="14"/>
        <v>0</v>
      </c>
      <c r="Q83" s="76">
        <f t="shared" si="14"/>
        <v>0</v>
      </c>
      <c r="R83" s="76">
        <f t="shared" si="14"/>
        <v>0</v>
      </c>
      <c r="S83" s="76">
        <f t="shared" si="14"/>
        <v>0</v>
      </c>
      <c r="T83" s="76">
        <f t="shared" si="14"/>
        <v>0</v>
      </c>
      <c r="U83" s="76">
        <f t="shared" si="14"/>
        <v>0</v>
      </c>
      <c r="V83" s="76">
        <f t="shared" si="14"/>
        <v>0</v>
      </c>
      <c r="W83" s="76">
        <f t="shared" si="14"/>
        <v>0</v>
      </c>
      <c r="X83" s="76">
        <f t="shared" si="14"/>
        <v>0</v>
      </c>
      <c r="Y83" s="76">
        <f t="shared" si="14"/>
        <v>0</v>
      </c>
      <c r="Z83" s="76">
        <f t="shared" si="14"/>
        <v>0</v>
      </c>
      <c r="AA83" s="76">
        <f t="shared" si="14"/>
        <v>0</v>
      </c>
      <c r="AB83" s="76">
        <f t="shared" si="14"/>
        <v>0</v>
      </c>
      <c r="AC83" s="76">
        <f t="shared" si="14"/>
        <v>0</v>
      </c>
      <c r="AD83" s="76">
        <f t="shared" si="14"/>
        <v>0</v>
      </c>
      <c r="AE83" s="76">
        <f t="shared" si="14"/>
        <v>0</v>
      </c>
      <c r="AF83" s="76">
        <f t="shared" si="14"/>
        <v>0</v>
      </c>
      <c r="AG83" s="52"/>
      <c r="AH83" s="48">
        <f t="shared" si="9"/>
        <v>0</v>
      </c>
      <c r="AI83" s="49">
        <f t="shared" si="10"/>
        <v>0</v>
      </c>
    </row>
    <row r="84" spans="1:37" x14ac:dyDescent="0.25">
      <c r="A84" s="54" t="s">
        <v>72</v>
      </c>
      <c r="B84" s="76">
        <f t="shared" ref="B84:AF84" si="15">IF(B64&lt;0,B64*-1,0)</f>
        <v>0</v>
      </c>
      <c r="C84" s="76">
        <f t="shared" si="15"/>
        <v>0</v>
      </c>
      <c r="D84" s="76">
        <f t="shared" si="15"/>
        <v>0</v>
      </c>
      <c r="E84" s="76">
        <f t="shared" si="15"/>
        <v>0</v>
      </c>
      <c r="F84" s="76">
        <f t="shared" si="15"/>
        <v>0</v>
      </c>
      <c r="G84" s="76">
        <f t="shared" si="15"/>
        <v>0</v>
      </c>
      <c r="H84" s="76">
        <f t="shared" si="15"/>
        <v>0</v>
      </c>
      <c r="I84" s="76">
        <f t="shared" si="15"/>
        <v>0</v>
      </c>
      <c r="J84" s="76">
        <f t="shared" si="15"/>
        <v>0</v>
      </c>
      <c r="K84" s="76">
        <f t="shared" si="15"/>
        <v>0</v>
      </c>
      <c r="L84" s="76">
        <f t="shared" si="15"/>
        <v>0</v>
      </c>
      <c r="M84" s="76">
        <f t="shared" si="15"/>
        <v>0</v>
      </c>
      <c r="N84" s="76">
        <f t="shared" si="15"/>
        <v>0</v>
      </c>
      <c r="O84" s="76">
        <f t="shared" si="15"/>
        <v>0</v>
      </c>
      <c r="P84" s="76">
        <f t="shared" si="15"/>
        <v>0</v>
      </c>
      <c r="Q84" s="76">
        <f t="shared" si="15"/>
        <v>0</v>
      </c>
      <c r="R84" s="76">
        <f t="shared" si="15"/>
        <v>0</v>
      </c>
      <c r="S84" s="76">
        <f t="shared" si="15"/>
        <v>0</v>
      </c>
      <c r="T84" s="76">
        <f t="shared" si="15"/>
        <v>0</v>
      </c>
      <c r="U84" s="76">
        <f t="shared" si="15"/>
        <v>0</v>
      </c>
      <c r="V84" s="76">
        <f t="shared" si="15"/>
        <v>0</v>
      </c>
      <c r="W84" s="76">
        <f t="shared" si="15"/>
        <v>0</v>
      </c>
      <c r="X84" s="76">
        <f t="shared" si="15"/>
        <v>0</v>
      </c>
      <c r="Y84" s="76">
        <f t="shared" si="15"/>
        <v>0</v>
      </c>
      <c r="Z84" s="76">
        <f t="shared" si="15"/>
        <v>0</v>
      </c>
      <c r="AA84" s="76">
        <f t="shared" si="15"/>
        <v>0</v>
      </c>
      <c r="AB84" s="76">
        <f t="shared" si="15"/>
        <v>0</v>
      </c>
      <c r="AC84" s="76">
        <f t="shared" si="15"/>
        <v>0</v>
      </c>
      <c r="AD84" s="76">
        <f t="shared" si="15"/>
        <v>0</v>
      </c>
      <c r="AE84" s="76">
        <f t="shared" si="15"/>
        <v>0</v>
      </c>
      <c r="AF84" s="76">
        <f t="shared" si="15"/>
        <v>0</v>
      </c>
      <c r="AG84" s="55"/>
      <c r="AH84" s="48">
        <f t="shared" si="9"/>
        <v>0</v>
      </c>
      <c r="AI84" s="49">
        <f t="shared" si="10"/>
        <v>0</v>
      </c>
    </row>
    <row r="85" spans="1:37" x14ac:dyDescent="0.25">
      <c r="A85" s="78" t="s">
        <v>91</v>
      </c>
      <c r="B85" s="76">
        <f t="shared" ref="B85:AF85" si="16">IF(B67&lt;0,B67*-1,0)</f>
        <v>0</v>
      </c>
      <c r="C85" s="76">
        <f t="shared" si="16"/>
        <v>0</v>
      </c>
      <c r="D85" s="76">
        <f t="shared" si="16"/>
        <v>0</v>
      </c>
      <c r="E85" s="76">
        <f t="shared" si="16"/>
        <v>0</v>
      </c>
      <c r="F85" s="76">
        <f t="shared" si="16"/>
        <v>0</v>
      </c>
      <c r="G85" s="76">
        <f t="shared" si="16"/>
        <v>0</v>
      </c>
      <c r="H85" s="76">
        <f t="shared" si="16"/>
        <v>0</v>
      </c>
      <c r="I85" s="76">
        <f t="shared" si="16"/>
        <v>0</v>
      </c>
      <c r="J85" s="76">
        <f t="shared" si="16"/>
        <v>0</v>
      </c>
      <c r="K85" s="76">
        <f t="shared" si="16"/>
        <v>0</v>
      </c>
      <c r="L85" s="76">
        <f t="shared" si="16"/>
        <v>0</v>
      </c>
      <c r="M85" s="76">
        <f t="shared" si="16"/>
        <v>0</v>
      </c>
      <c r="N85" s="76">
        <f t="shared" si="16"/>
        <v>0</v>
      </c>
      <c r="O85" s="76">
        <f t="shared" si="16"/>
        <v>0</v>
      </c>
      <c r="P85" s="76">
        <f t="shared" si="16"/>
        <v>0</v>
      </c>
      <c r="Q85" s="76">
        <f t="shared" si="16"/>
        <v>0</v>
      </c>
      <c r="R85" s="76">
        <f t="shared" si="16"/>
        <v>0</v>
      </c>
      <c r="S85" s="76">
        <f t="shared" si="16"/>
        <v>0</v>
      </c>
      <c r="T85" s="76">
        <f t="shared" si="16"/>
        <v>0</v>
      </c>
      <c r="U85" s="76">
        <f t="shared" si="16"/>
        <v>0</v>
      </c>
      <c r="V85" s="76">
        <f t="shared" si="16"/>
        <v>0</v>
      </c>
      <c r="W85" s="76">
        <f t="shared" si="16"/>
        <v>0</v>
      </c>
      <c r="X85" s="76">
        <f t="shared" si="16"/>
        <v>0</v>
      </c>
      <c r="Y85" s="76">
        <f t="shared" si="16"/>
        <v>0</v>
      </c>
      <c r="Z85" s="76">
        <f t="shared" si="16"/>
        <v>0</v>
      </c>
      <c r="AA85" s="76">
        <f t="shared" si="16"/>
        <v>0</v>
      </c>
      <c r="AB85" s="76">
        <f t="shared" si="16"/>
        <v>0</v>
      </c>
      <c r="AC85" s="76">
        <f t="shared" si="16"/>
        <v>0</v>
      </c>
      <c r="AD85" s="76">
        <f t="shared" si="16"/>
        <v>0</v>
      </c>
      <c r="AE85" s="76">
        <f t="shared" si="16"/>
        <v>0</v>
      </c>
      <c r="AF85" s="76">
        <f t="shared" si="16"/>
        <v>0</v>
      </c>
      <c r="AG85" s="86"/>
      <c r="AH85" s="48">
        <f t="shared" si="9"/>
        <v>0</v>
      </c>
      <c r="AI85" s="49">
        <f t="shared" si="10"/>
        <v>0</v>
      </c>
    </row>
    <row r="86" spans="1:37" x14ac:dyDescent="0.25">
      <c r="A86" s="78" t="s">
        <v>92</v>
      </c>
      <c r="B86" s="76">
        <f t="shared" ref="B86:AF86" si="17">IF(B65&lt;0,B65*-1,0)</f>
        <v>286</v>
      </c>
      <c r="C86" s="76">
        <f t="shared" si="17"/>
        <v>300</v>
      </c>
      <c r="D86" s="76">
        <f t="shared" si="17"/>
        <v>307</v>
      </c>
      <c r="E86" s="76">
        <f t="shared" si="17"/>
        <v>307</v>
      </c>
      <c r="F86" s="76">
        <f t="shared" si="17"/>
        <v>301</v>
      </c>
      <c r="G86" s="76">
        <f t="shared" si="17"/>
        <v>318</v>
      </c>
      <c r="H86" s="76">
        <f t="shared" si="17"/>
        <v>315</v>
      </c>
      <c r="I86" s="76">
        <f t="shared" si="17"/>
        <v>328</v>
      </c>
      <c r="J86" s="76">
        <f t="shared" si="17"/>
        <v>322</v>
      </c>
      <c r="K86" s="76">
        <f t="shared" si="17"/>
        <v>335</v>
      </c>
      <c r="L86" s="76">
        <f t="shared" si="17"/>
        <v>338</v>
      </c>
      <c r="M86" s="76">
        <f t="shared" si="17"/>
        <v>322</v>
      </c>
      <c r="N86" s="76">
        <f t="shared" si="17"/>
        <v>323</v>
      </c>
      <c r="O86" s="76">
        <f t="shared" si="17"/>
        <v>337</v>
      </c>
      <c r="P86" s="76">
        <f t="shared" si="17"/>
        <v>256.3</v>
      </c>
      <c r="Q86" s="76">
        <f t="shared" si="17"/>
        <v>205</v>
      </c>
      <c r="R86" s="76">
        <f t="shared" si="17"/>
        <v>210</v>
      </c>
      <c r="S86" s="76">
        <f t="shared" si="17"/>
        <v>208</v>
      </c>
      <c r="T86" s="76">
        <f t="shared" si="17"/>
        <v>214</v>
      </c>
      <c r="U86" s="76">
        <f t="shared" si="17"/>
        <v>239.8</v>
      </c>
      <c r="V86" s="76">
        <f t="shared" si="17"/>
        <v>242</v>
      </c>
      <c r="W86" s="76">
        <f t="shared" si="17"/>
        <v>285</v>
      </c>
      <c r="X86" s="76">
        <f t="shared" si="17"/>
        <v>345</v>
      </c>
      <c r="Y86" s="76">
        <f t="shared" si="17"/>
        <v>338</v>
      </c>
      <c r="Z86" s="76">
        <f t="shared" si="17"/>
        <v>401.4</v>
      </c>
      <c r="AA86" s="76">
        <f t="shared" si="17"/>
        <v>388.4</v>
      </c>
      <c r="AB86" s="76">
        <f t="shared" si="17"/>
        <v>340.2</v>
      </c>
      <c r="AC86" s="76">
        <f t="shared" si="17"/>
        <v>350</v>
      </c>
      <c r="AD86" s="76">
        <f t="shared" si="17"/>
        <v>327</v>
      </c>
      <c r="AE86" s="76">
        <f t="shared" si="17"/>
        <v>335</v>
      </c>
      <c r="AF86" s="76">
        <f t="shared" si="17"/>
        <v>325</v>
      </c>
      <c r="AG86" s="86"/>
      <c r="AH86" s="48">
        <f t="shared" si="9"/>
        <v>401.4</v>
      </c>
      <c r="AI86" s="49">
        <f t="shared" si="10"/>
        <v>205</v>
      </c>
    </row>
    <row r="87" spans="1:37" x14ac:dyDescent="0.25">
      <c r="A87" s="78" t="s">
        <v>71</v>
      </c>
      <c r="B87" s="76">
        <f t="shared" ref="B87:AF87" si="18">IF(B63&lt;0,B63*-1,0)</f>
        <v>0</v>
      </c>
      <c r="C87" s="76">
        <f t="shared" si="18"/>
        <v>0</v>
      </c>
      <c r="D87" s="76">
        <f t="shared" si="18"/>
        <v>0</v>
      </c>
      <c r="E87" s="76">
        <f t="shared" si="18"/>
        <v>0</v>
      </c>
      <c r="F87" s="76">
        <f t="shared" si="18"/>
        <v>0</v>
      </c>
      <c r="G87" s="76">
        <f t="shared" si="18"/>
        <v>0</v>
      </c>
      <c r="H87" s="76">
        <f t="shared" si="18"/>
        <v>0</v>
      </c>
      <c r="I87" s="76">
        <f t="shared" si="18"/>
        <v>0</v>
      </c>
      <c r="J87" s="76">
        <f t="shared" si="18"/>
        <v>0</v>
      </c>
      <c r="K87" s="76">
        <f t="shared" si="18"/>
        <v>0</v>
      </c>
      <c r="L87" s="76">
        <f t="shared" si="18"/>
        <v>0</v>
      </c>
      <c r="M87" s="76">
        <f t="shared" si="18"/>
        <v>0</v>
      </c>
      <c r="N87" s="76">
        <f t="shared" si="18"/>
        <v>0</v>
      </c>
      <c r="O87" s="76">
        <f t="shared" si="18"/>
        <v>0</v>
      </c>
      <c r="P87" s="76">
        <f t="shared" si="18"/>
        <v>0</v>
      </c>
      <c r="Q87" s="76">
        <f t="shared" si="18"/>
        <v>0</v>
      </c>
      <c r="R87" s="76">
        <f t="shared" si="18"/>
        <v>0</v>
      </c>
      <c r="S87" s="76">
        <f t="shared" si="18"/>
        <v>0</v>
      </c>
      <c r="T87" s="76">
        <f t="shared" si="18"/>
        <v>0</v>
      </c>
      <c r="U87" s="76">
        <f t="shared" si="18"/>
        <v>0</v>
      </c>
      <c r="V87" s="76">
        <f t="shared" si="18"/>
        <v>0</v>
      </c>
      <c r="W87" s="76">
        <f t="shared" si="18"/>
        <v>0</v>
      </c>
      <c r="X87" s="76">
        <f t="shared" si="18"/>
        <v>0</v>
      </c>
      <c r="Y87" s="76">
        <f t="shared" si="18"/>
        <v>0</v>
      </c>
      <c r="Z87" s="76">
        <f t="shared" si="18"/>
        <v>0</v>
      </c>
      <c r="AA87" s="76">
        <f t="shared" si="18"/>
        <v>0</v>
      </c>
      <c r="AB87" s="76">
        <f t="shared" si="18"/>
        <v>0</v>
      </c>
      <c r="AC87" s="76">
        <f t="shared" si="18"/>
        <v>0</v>
      </c>
      <c r="AD87" s="76">
        <f t="shared" si="18"/>
        <v>0</v>
      </c>
      <c r="AE87" s="76">
        <f t="shared" si="18"/>
        <v>0</v>
      </c>
      <c r="AF87" s="76">
        <f t="shared" si="18"/>
        <v>0</v>
      </c>
      <c r="AG87" s="86"/>
      <c r="AH87" s="48">
        <f t="shared" si="9"/>
        <v>0</v>
      </c>
      <c r="AI87" s="49">
        <f t="shared" si="10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9"/>
        <v>0</v>
      </c>
      <c r="AI88" s="49">
        <f t="shared" si="10"/>
        <v>0</v>
      </c>
    </row>
    <row r="89" spans="1:37" ht="15.75" thickBot="1" x14ac:dyDescent="0.3">
      <c r="A89" s="87" t="s">
        <v>94</v>
      </c>
      <c r="B89" s="61">
        <f t="shared" ref="B89:AF89" si="19">SUM(B83:B88)</f>
        <v>286</v>
      </c>
      <c r="C89" s="61">
        <f t="shared" si="19"/>
        <v>300</v>
      </c>
      <c r="D89" s="61">
        <f t="shared" si="19"/>
        <v>307</v>
      </c>
      <c r="E89" s="61">
        <f t="shared" si="19"/>
        <v>307</v>
      </c>
      <c r="F89" s="61">
        <f t="shared" si="19"/>
        <v>301</v>
      </c>
      <c r="G89" s="61">
        <f t="shared" si="19"/>
        <v>318</v>
      </c>
      <c r="H89" s="61">
        <f t="shared" si="19"/>
        <v>315</v>
      </c>
      <c r="I89" s="61">
        <f t="shared" si="19"/>
        <v>328</v>
      </c>
      <c r="J89" s="61">
        <f t="shared" si="19"/>
        <v>322</v>
      </c>
      <c r="K89" s="61">
        <f t="shared" si="19"/>
        <v>335</v>
      </c>
      <c r="L89" s="61">
        <f t="shared" si="19"/>
        <v>338</v>
      </c>
      <c r="M89" s="61">
        <f t="shared" si="19"/>
        <v>322</v>
      </c>
      <c r="N89" s="61">
        <f t="shared" si="19"/>
        <v>323</v>
      </c>
      <c r="O89" s="61">
        <f t="shared" si="19"/>
        <v>337</v>
      </c>
      <c r="P89" s="61">
        <f t="shared" si="19"/>
        <v>256.3</v>
      </c>
      <c r="Q89" s="61">
        <f t="shared" si="19"/>
        <v>205</v>
      </c>
      <c r="R89" s="61">
        <f t="shared" si="19"/>
        <v>210</v>
      </c>
      <c r="S89" s="61">
        <f t="shared" si="19"/>
        <v>208</v>
      </c>
      <c r="T89" s="61">
        <f t="shared" si="19"/>
        <v>214</v>
      </c>
      <c r="U89" s="61">
        <f t="shared" si="19"/>
        <v>239.8</v>
      </c>
      <c r="V89" s="61">
        <f t="shared" si="19"/>
        <v>242</v>
      </c>
      <c r="W89" s="61">
        <f t="shared" si="19"/>
        <v>285</v>
      </c>
      <c r="X89" s="61">
        <f t="shared" si="19"/>
        <v>345</v>
      </c>
      <c r="Y89" s="61">
        <f t="shared" si="19"/>
        <v>338</v>
      </c>
      <c r="Z89" s="61">
        <f t="shared" si="19"/>
        <v>401.4</v>
      </c>
      <c r="AA89" s="61">
        <f t="shared" si="19"/>
        <v>388.4</v>
      </c>
      <c r="AB89" s="61">
        <f t="shared" si="19"/>
        <v>340.2</v>
      </c>
      <c r="AC89" s="61">
        <f t="shared" si="19"/>
        <v>350</v>
      </c>
      <c r="AD89" s="61">
        <f t="shared" si="19"/>
        <v>327</v>
      </c>
      <c r="AE89" s="61">
        <f t="shared" si="19"/>
        <v>335</v>
      </c>
      <c r="AF89" s="61">
        <f t="shared" si="19"/>
        <v>325</v>
      </c>
      <c r="AG89" s="81"/>
      <c r="AH89" s="48">
        <f t="shared" si="9"/>
        <v>401.4</v>
      </c>
      <c r="AI89" s="49">
        <f t="shared" si="10"/>
        <v>205</v>
      </c>
      <c r="AK89" s="50"/>
    </row>
    <row r="90" spans="1:37" ht="15.75" thickBot="1" x14ac:dyDescent="0.3">
      <c r="A90" s="74" t="s">
        <v>95</v>
      </c>
      <c r="B90" s="61">
        <f t="shared" ref="B90:AF90" si="20">B74-B89</f>
        <v>-286</v>
      </c>
      <c r="C90" s="61">
        <f t="shared" si="20"/>
        <v>-300</v>
      </c>
      <c r="D90" s="61">
        <f t="shared" si="20"/>
        <v>-307</v>
      </c>
      <c r="E90" s="61">
        <f t="shared" si="20"/>
        <v>-307</v>
      </c>
      <c r="F90" s="61">
        <f t="shared" si="20"/>
        <v>-301</v>
      </c>
      <c r="G90" s="61">
        <f t="shared" si="20"/>
        <v>-318</v>
      </c>
      <c r="H90" s="61">
        <f t="shared" si="20"/>
        <v>-315</v>
      </c>
      <c r="I90" s="61">
        <f t="shared" si="20"/>
        <v>-328</v>
      </c>
      <c r="J90" s="61">
        <f t="shared" si="20"/>
        <v>-322</v>
      </c>
      <c r="K90" s="61">
        <f t="shared" si="20"/>
        <v>-335</v>
      </c>
      <c r="L90" s="61">
        <f t="shared" si="20"/>
        <v>-338</v>
      </c>
      <c r="M90" s="61">
        <f t="shared" si="20"/>
        <v>-322</v>
      </c>
      <c r="N90" s="61">
        <f t="shared" si="20"/>
        <v>-323</v>
      </c>
      <c r="O90" s="61">
        <f t="shared" si="20"/>
        <v>-337</v>
      </c>
      <c r="P90" s="61">
        <f t="shared" si="20"/>
        <v>-256.3</v>
      </c>
      <c r="Q90" s="61">
        <f t="shared" si="20"/>
        <v>-205</v>
      </c>
      <c r="R90" s="61">
        <f t="shared" si="20"/>
        <v>-210</v>
      </c>
      <c r="S90" s="61">
        <f t="shared" si="20"/>
        <v>-208</v>
      </c>
      <c r="T90" s="61">
        <f t="shared" si="20"/>
        <v>-214</v>
      </c>
      <c r="U90" s="61">
        <f t="shared" si="20"/>
        <v>-239.8</v>
      </c>
      <c r="V90" s="61">
        <f t="shared" si="20"/>
        <v>-242</v>
      </c>
      <c r="W90" s="61">
        <f t="shared" si="20"/>
        <v>-285</v>
      </c>
      <c r="X90" s="61">
        <f t="shared" si="20"/>
        <v>-345</v>
      </c>
      <c r="Y90" s="61">
        <f t="shared" si="20"/>
        <v>-338</v>
      </c>
      <c r="Z90" s="61">
        <f t="shared" si="20"/>
        <v>-401.4</v>
      </c>
      <c r="AA90" s="61">
        <f t="shared" si="20"/>
        <v>-388.4</v>
      </c>
      <c r="AB90" s="61">
        <f t="shared" si="20"/>
        <v>-340.2</v>
      </c>
      <c r="AC90" s="61">
        <f t="shared" si="20"/>
        <v>-350</v>
      </c>
      <c r="AD90" s="61">
        <f t="shared" si="20"/>
        <v>-327</v>
      </c>
      <c r="AE90" s="61">
        <f t="shared" si="20"/>
        <v>-335</v>
      </c>
      <c r="AF90" s="61">
        <f t="shared" si="20"/>
        <v>-325</v>
      </c>
      <c r="AG90" s="81"/>
      <c r="AH90" s="48">
        <f t="shared" si="9"/>
        <v>-205</v>
      </c>
      <c r="AI90" s="49">
        <f t="shared" si="10"/>
        <v>-401.4</v>
      </c>
    </row>
    <row r="91" spans="1:37" x14ac:dyDescent="0.25">
      <c r="A91" s="88" t="s">
        <v>96</v>
      </c>
      <c r="B91" s="89">
        <v>49.99</v>
      </c>
      <c r="C91" s="89">
        <v>50.02</v>
      </c>
      <c r="D91" s="89">
        <v>50.02</v>
      </c>
      <c r="E91" s="89">
        <v>50.07</v>
      </c>
      <c r="F91" s="89">
        <v>49.963999999999999</v>
      </c>
      <c r="G91" s="89">
        <v>50.04</v>
      </c>
      <c r="H91" s="89">
        <v>49.951999999999998</v>
      </c>
      <c r="I91" s="89">
        <v>49.951999999999998</v>
      </c>
      <c r="J91" s="89">
        <v>49.963999999999999</v>
      </c>
      <c r="K91" s="89">
        <v>49.963999999999999</v>
      </c>
      <c r="L91" s="89">
        <v>49.972999999999999</v>
      </c>
      <c r="M91" s="89">
        <v>50.064</v>
      </c>
      <c r="N91" s="89">
        <v>50.085000000000001</v>
      </c>
      <c r="O91" s="89">
        <v>50.006999999999998</v>
      </c>
      <c r="P91" s="89">
        <v>50.06</v>
      </c>
      <c r="Q91" s="89">
        <v>50.034999999999997</v>
      </c>
      <c r="R91" s="89">
        <v>49.92</v>
      </c>
      <c r="S91" s="89">
        <v>50.042999999999999</v>
      </c>
      <c r="T91" s="89">
        <v>50.006999999999998</v>
      </c>
      <c r="U91" s="89">
        <v>49.984000000000002</v>
      </c>
      <c r="V91" s="89">
        <v>49.975000000000001</v>
      </c>
      <c r="W91" s="89">
        <v>50.029000000000003</v>
      </c>
      <c r="X91" s="89">
        <v>50.003999999999998</v>
      </c>
      <c r="Y91" s="89">
        <v>50.079000000000001</v>
      </c>
      <c r="Z91" s="89">
        <v>50.015999999999998</v>
      </c>
      <c r="AA91" s="89">
        <v>50.030999999999999</v>
      </c>
      <c r="AB91" s="89">
        <v>50.015999999999998</v>
      </c>
      <c r="AC91" s="89">
        <v>50.02</v>
      </c>
      <c r="AD91" s="89">
        <v>50.03</v>
      </c>
      <c r="AE91" s="89">
        <v>50.04</v>
      </c>
      <c r="AF91" s="89">
        <v>49.97</v>
      </c>
      <c r="AG91" s="90"/>
      <c r="AH91" s="48">
        <f t="shared" si="9"/>
        <v>50.085000000000001</v>
      </c>
      <c r="AI91" s="49">
        <f t="shared" si="10"/>
        <v>49.92</v>
      </c>
    </row>
    <row r="92" spans="1:37" x14ac:dyDescent="0.25">
      <c r="A92" s="91" t="s">
        <v>97</v>
      </c>
      <c r="B92" s="65">
        <v>129</v>
      </c>
      <c r="C92" s="65">
        <v>129</v>
      </c>
      <c r="D92" s="65">
        <v>129</v>
      </c>
      <c r="E92" s="65">
        <v>129</v>
      </c>
      <c r="F92" s="65">
        <v>129</v>
      </c>
      <c r="G92" s="65">
        <v>127</v>
      </c>
      <c r="H92" s="65">
        <v>127</v>
      </c>
      <c r="I92" s="65">
        <v>127</v>
      </c>
      <c r="J92" s="65">
        <v>127</v>
      </c>
      <c r="K92" s="65">
        <v>127</v>
      </c>
      <c r="L92" s="65">
        <v>124</v>
      </c>
      <c r="M92" s="65">
        <v>122.4</v>
      </c>
      <c r="N92" s="65">
        <v>122.2</v>
      </c>
      <c r="O92" s="65">
        <v>121.7</v>
      </c>
      <c r="P92" s="65">
        <v>123.2</v>
      </c>
      <c r="Q92" s="65">
        <v>123.6</v>
      </c>
      <c r="R92" s="65">
        <v>124.7</v>
      </c>
      <c r="S92" s="65">
        <v>124.4</v>
      </c>
      <c r="T92" s="65">
        <v>124.5</v>
      </c>
      <c r="U92" s="65">
        <v>124.2</v>
      </c>
      <c r="V92" s="65">
        <v>126</v>
      </c>
      <c r="W92" s="65">
        <v>124.4</v>
      </c>
      <c r="X92" s="65">
        <v>126.5</v>
      </c>
      <c r="Y92" s="65">
        <v>126.9</v>
      </c>
      <c r="Z92" s="65">
        <v>127.4</v>
      </c>
      <c r="AA92" s="65">
        <v>128</v>
      </c>
      <c r="AB92" s="65">
        <v>128.69999999999999</v>
      </c>
      <c r="AC92" s="65">
        <v>128.80000000000001</v>
      </c>
      <c r="AD92" s="65">
        <v>128.30000000000001</v>
      </c>
      <c r="AE92" s="65">
        <v>128.30000000000001</v>
      </c>
      <c r="AF92" s="65">
        <v>128.30000000000001</v>
      </c>
      <c r="AG92" s="92"/>
      <c r="AH92" s="48">
        <f t="shared" si="9"/>
        <v>129</v>
      </c>
      <c r="AI92" s="49">
        <f t="shared" si="10"/>
        <v>121.7</v>
      </c>
    </row>
    <row r="93" spans="1:37" x14ac:dyDescent="0.25">
      <c r="A93" s="91" t="s">
        <v>98</v>
      </c>
      <c r="B93" s="65">
        <v>132</v>
      </c>
      <c r="C93" s="65">
        <v>132</v>
      </c>
      <c r="D93" s="65">
        <v>132</v>
      </c>
      <c r="E93" s="65">
        <v>132</v>
      </c>
      <c r="F93" s="65">
        <v>132</v>
      </c>
      <c r="G93" s="65">
        <v>132</v>
      </c>
      <c r="H93" s="65">
        <v>132</v>
      </c>
      <c r="I93" s="65">
        <v>132</v>
      </c>
      <c r="J93" s="65">
        <v>132</v>
      </c>
      <c r="K93" s="65">
        <v>132</v>
      </c>
      <c r="L93" s="65">
        <v>127</v>
      </c>
      <c r="M93" s="65">
        <v>125.6</v>
      </c>
      <c r="N93" s="65">
        <v>126.1</v>
      </c>
      <c r="O93" s="65">
        <v>125.8</v>
      </c>
      <c r="P93" s="65">
        <v>127.1</v>
      </c>
      <c r="Q93" s="65">
        <v>127.4</v>
      </c>
      <c r="R93" s="65">
        <v>128.19999999999999</v>
      </c>
      <c r="S93" s="65">
        <v>127.9</v>
      </c>
      <c r="T93" s="65">
        <v>128</v>
      </c>
      <c r="U93" s="65">
        <v>127.6</v>
      </c>
      <c r="V93" s="65">
        <v>128.6</v>
      </c>
      <c r="W93" s="65">
        <v>127.3</v>
      </c>
      <c r="X93" s="65">
        <v>129.1</v>
      </c>
      <c r="Y93" s="65">
        <v>129.19999999999999</v>
      </c>
      <c r="Z93" s="65">
        <v>130.1</v>
      </c>
      <c r="AA93" s="65">
        <v>130.1</v>
      </c>
      <c r="AB93" s="65">
        <v>131.1</v>
      </c>
      <c r="AC93" s="65">
        <v>131.69999999999999</v>
      </c>
      <c r="AD93" s="65">
        <v>131.69999999999999</v>
      </c>
      <c r="AE93" s="65">
        <v>131.80000000000001</v>
      </c>
      <c r="AF93" s="65">
        <v>131.80000000000001</v>
      </c>
      <c r="AG93" s="92"/>
      <c r="AH93" s="48">
        <f t="shared" si="9"/>
        <v>132</v>
      </c>
      <c r="AI93" s="49">
        <f t="shared" si="10"/>
        <v>125.6</v>
      </c>
    </row>
    <row r="94" spans="1:37" x14ac:dyDescent="0.25">
      <c r="A94" s="91" t="s">
        <v>99</v>
      </c>
      <c r="B94" s="65">
        <v>130</v>
      </c>
      <c r="C94" s="65">
        <v>130</v>
      </c>
      <c r="D94" s="65">
        <v>130</v>
      </c>
      <c r="E94" s="65">
        <v>130</v>
      </c>
      <c r="F94" s="65">
        <v>130</v>
      </c>
      <c r="G94" s="65">
        <v>130</v>
      </c>
      <c r="H94" s="65">
        <v>130</v>
      </c>
      <c r="I94" s="65">
        <v>130</v>
      </c>
      <c r="J94" s="65">
        <v>130</v>
      </c>
      <c r="K94" s="65">
        <v>130</v>
      </c>
      <c r="L94" s="65">
        <v>129</v>
      </c>
      <c r="M94" s="65">
        <v>129.69999999999999</v>
      </c>
      <c r="N94" s="65">
        <v>130</v>
      </c>
      <c r="O94" s="65">
        <v>130.19999999999999</v>
      </c>
      <c r="P94" s="65">
        <v>128.19999999999999</v>
      </c>
      <c r="Q94" s="65">
        <v>130.30000000000001</v>
      </c>
      <c r="R94" s="65">
        <v>128.30000000000001</v>
      </c>
      <c r="S94" s="65">
        <v>129.9</v>
      </c>
      <c r="T94" s="65">
        <v>129.6</v>
      </c>
      <c r="U94" s="65">
        <v>129.4</v>
      </c>
      <c r="V94" s="65">
        <v>129.9</v>
      </c>
      <c r="W94" s="65">
        <v>127.8</v>
      </c>
      <c r="X94" s="65">
        <v>130.1</v>
      </c>
      <c r="Y94" s="65">
        <v>130.9</v>
      </c>
      <c r="Z94" s="65">
        <v>131.30000000000001</v>
      </c>
      <c r="AA94" s="65">
        <v>131.30000000000001</v>
      </c>
      <c r="AB94" s="65">
        <v>132.69999999999999</v>
      </c>
      <c r="AC94" s="65">
        <v>131</v>
      </c>
      <c r="AD94" s="65">
        <v>131</v>
      </c>
      <c r="AE94" s="65">
        <v>132</v>
      </c>
      <c r="AF94" s="65">
        <v>132</v>
      </c>
      <c r="AG94" s="92"/>
      <c r="AH94" s="48">
        <f t="shared" si="9"/>
        <v>132.69999999999999</v>
      </c>
      <c r="AI94" s="49">
        <f t="shared" si="10"/>
        <v>127.8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9"/>
        <v>0</v>
      </c>
      <c r="AI95" s="49">
        <f t="shared" si="10"/>
        <v>0</v>
      </c>
    </row>
    <row r="96" spans="1:37" x14ac:dyDescent="0.25">
      <c r="A96" s="93" t="s">
        <v>101</v>
      </c>
      <c r="B96" s="94">
        <v>134</v>
      </c>
      <c r="C96" s="94">
        <v>134</v>
      </c>
      <c r="D96" s="94">
        <v>134</v>
      </c>
      <c r="E96" s="94">
        <v>134</v>
      </c>
      <c r="F96" s="94">
        <v>134</v>
      </c>
      <c r="G96" s="94">
        <v>134</v>
      </c>
      <c r="H96" s="94">
        <v>134</v>
      </c>
      <c r="I96" s="94">
        <v>132</v>
      </c>
      <c r="J96" s="94">
        <v>133</v>
      </c>
      <c r="K96" s="94">
        <v>132</v>
      </c>
      <c r="L96" s="94">
        <v>133</v>
      </c>
      <c r="M96" s="94">
        <v>130.69999999999999</v>
      </c>
      <c r="N96" s="94">
        <v>132.9</v>
      </c>
      <c r="O96" s="94">
        <v>133.30000000000001</v>
      </c>
      <c r="P96" s="94">
        <v>132.80000000000001</v>
      </c>
      <c r="Q96" s="94">
        <v>135.19999999999999</v>
      </c>
      <c r="R96" s="94">
        <v>132.80000000000001</v>
      </c>
      <c r="S96" s="94">
        <v>131.1</v>
      </c>
      <c r="T96" s="94">
        <v>132.19999999999999</v>
      </c>
      <c r="U96" s="94">
        <v>132.4</v>
      </c>
      <c r="V96" s="94">
        <v>133.5</v>
      </c>
      <c r="W96" s="94">
        <v>133.1</v>
      </c>
      <c r="X96" s="94">
        <v>134.1</v>
      </c>
      <c r="Y96" s="94">
        <v>133.80000000000001</v>
      </c>
      <c r="Z96" s="94">
        <v>134</v>
      </c>
      <c r="AA96" s="94">
        <v>134</v>
      </c>
      <c r="AB96" s="94">
        <v>134.80000000000001</v>
      </c>
      <c r="AC96" s="94">
        <v>134.80000000000001</v>
      </c>
      <c r="AD96" s="94">
        <v>133.5</v>
      </c>
      <c r="AE96" s="94">
        <v>134</v>
      </c>
      <c r="AF96" s="94">
        <v>134</v>
      </c>
      <c r="AG96" s="95"/>
      <c r="AH96" s="48">
        <f t="shared" si="9"/>
        <v>135.19999999999999</v>
      </c>
      <c r="AI96" s="49">
        <f t="shared" si="10"/>
        <v>130.69999999999999</v>
      </c>
    </row>
    <row r="97" spans="1:37" x14ac:dyDescent="0.25">
      <c r="A97" s="91" t="s">
        <v>102</v>
      </c>
      <c r="B97" s="65">
        <v>134</v>
      </c>
      <c r="C97" s="65">
        <v>134</v>
      </c>
      <c r="D97" s="65">
        <v>134</v>
      </c>
      <c r="E97" s="65">
        <v>134</v>
      </c>
      <c r="F97" s="65">
        <v>134</v>
      </c>
      <c r="G97" s="65">
        <v>134</v>
      </c>
      <c r="H97" s="65">
        <v>134</v>
      </c>
      <c r="I97" s="65">
        <v>125</v>
      </c>
      <c r="J97" s="65">
        <v>126</v>
      </c>
      <c r="K97" s="65">
        <v>128</v>
      </c>
      <c r="L97" s="65">
        <v>127</v>
      </c>
      <c r="M97" s="65">
        <v>124.4</v>
      </c>
      <c r="N97" s="65">
        <v>127.7</v>
      </c>
      <c r="O97" s="65">
        <v>129</v>
      </c>
      <c r="P97" s="65">
        <v>129.6</v>
      </c>
      <c r="Q97" s="65">
        <v>132.4</v>
      </c>
      <c r="R97" s="65">
        <v>127</v>
      </c>
      <c r="S97" s="65">
        <v>125.1</v>
      </c>
      <c r="T97" s="65">
        <v>129.19999999999999</v>
      </c>
      <c r="U97" s="65">
        <v>130.9</v>
      </c>
      <c r="V97" s="65">
        <v>131.1</v>
      </c>
      <c r="W97" s="65">
        <v>132.19999999999999</v>
      </c>
      <c r="X97" s="65">
        <v>131.9</v>
      </c>
      <c r="Y97" s="65">
        <v>131.1</v>
      </c>
      <c r="Z97" s="65">
        <v>132.30000000000001</v>
      </c>
      <c r="AA97" s="65">
        <v>132.30000000000001</v>
      </c>
      <c r="AB97" s="65">
        <v>133.9</v>
      </c>
      <c r="AC97" s="65">
        <v>133.9</v>
      </c>
      <c r="AD97" s="65">
        <v>130</v>
      </c>
      <c r="AE97" s="65">
        <v>130</v>
      </c>
      <c r="AF97" s="65">
        <v>130</v>
      </c>
      <c r="AG97" s="92"/>
      <c r="AH97" s="48">
        <f t="shared" si="9"/>
        <v>134</v>
      </c>
      <c r="AI97" s="49">
        <f t="shared" si="10"/>
        <v>124.4</v>
      </c>
    </row>
    <row r="98" spans="1:37" ht="15.75" thickBot="1" x14ac:dyDescent="0.3">
      <c r="A98" s="91" t="s">
        <v>103</v>
      </c>
      <c r="B98" s="96">
        <v>66.7</v>
      </c>
      <c r="C98" s="96">
        <v>66.7</v>
      </c>
      <c r="D98" s="96">
        <v>66.7</v>
      </c>
      <c r="E98" s="96">
        <v>66.7</v>
      </c>
      <c r="F98" s="96">
        <v>66.7</v>
      </c>
      <c r="G98" s="96">
        <v>66</v>
      </c>
      <c r="H98" s="96">
        <v>65</v>
      </c>
      <c r="I98" s="96">
        <v>65</v>
      </c>
      <c r="J98" s="96">
        <v>65</v>
      </c>
      <c r="K98" s="96">
        <v>65</v>
      </c>
      <c r="L98" s="96">
        <v>63.7</v>
      </c>
      <c r="M98" s="96">
        <v>63.4</v>
      </c>
      <c r="N98" s="96">
        <v>63.5</v>
      </c>
      <c r="O98" s="96">
        <v>63.5</v>
      </c>
      <c r="P98" s="96">
        <v>64.2</v>
      </c>
      <c r="Q98" s="96">
        <v>64.400000000000006</v>
      </c>
      <c r="R98" s="96">
        <v>64.8</v>
      </c>
      <c r="S98" s="96">
        <v>64.5</v>
      </c>
      <c r="T98" s="96">
        <v>64.5</v>
      </c>
      <c r="U98" s="96">
        <v>64.2</v>
      </c>
      <c r="V98" s="96">
        <v>64.7</v>
      </c>
      <c r="W98" s="96">
        <v>64.2</v>
      </c>
      <c r="X98" s="96">
        <v>65</v>
      </c>
      <c r="Y98" s="96">
        <v>65.2</v>
      </c>
      <c r="Z98" s="96">
        <v>65.5</v>
      </c>
      <c r="AA98" s="96">
        <v>65.5</v>
      </c>
      <c r="AB98" s="96">
        <v>65.900000000000006</v>
      </c>
      <c r="AC98" s="96">
        <v>65.900000000000006</v>
      </c>
      <c r="AD98" s="96">
        <v>65.900000000000006</v>
      </c>
      <c r="AE98" s="96">
        <v>66.5</v>
      </c>
      <c r="AF98" s="96">
        <v>66.5</v>
      </c>
      <c r="AG98" s="97"/>
      <c r="AH98" s="48">
        <f t="shared" si="9"/>
        <v>66.7</v>
      </c>
      <c r="AI98" s="49">
        <f t="shared" si="10"/>
        <v>63.4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9"/>
        <v>0</v>
      </c>
      <c r="AI99" s="49">
        <f t="shared" si="10"/>
        <v>0</v>
      </c>
    </row>
    <row r="100" spans="1:37" ht="15.75" thickBot="1" x14ac:dyDescent="0.3">
      <c r="A100" s="99" t="s">
        <v>104</v>
      </c>
      <c r="B100" s="100">
        <f t="shared" ref="B100:AF100" si="21">SUM(B15,B20,B22:B23,B48,B50:B51,B53,B55,B101:B105,B127,B133,B139,B148,B150,B162,B169,B172:B173,B180,B182,B184,B188:B190,B192:B194,B199,B205:B206,B208:B210,B218,B223)</f>
        <v>29</v>
      </c>
      <c r="C100" s="100">
        <f t="shared" si="21"/>
        <v>25.640000000000011</v>
      </c>
      <c r="D100" s="100">
        <f t="shared" si="21"/>
        <v>22.94</v>
      </c>
      <c r="E100" s="100">
        <f t="shared" si="21"/>
        <v>12.539999999999996</v>
      </c>
      <c r="F100" s="100">
        <f t="shared" si="21"/>
        <v>27.539999999999996</v>
      </c>
      <c r="G100" s="100">
        <f t="shared" si="21"/>
        <v>49.94</v>
      </c>
      <c r="H100" s="100">
        <f t="shared" si="21"/>
        <v>63.94</v>
      </c>
      <c r="I100" s="100">
        <f t="shared" si="21"/>
        <v>110.94</v>
      </c>
      <c r="J100" s="100">
        <f t="shared" si="21"/>
        <v>134.94</v>
      </c>
      <c r="K100" s="100">
        <f t="shared" si="21"/>
        <v>181.94</v>
      </c>
      <c r="L100" s="100">
        <f t="shared" si="21"/>
        <v>159.94</v>
      </c>
      <c r="M100" s="100">
        <f t="shared" si="21"/>
        <v>214.44</v>
      </c>
      <c r="N100" s="100">
        <f t="shared" si="21"/>
        <v>191.84</v>
      </c>
      <c r="O100" s="100">
        <f t="shared" si="21"/>
        <v>164.84</v>
      </c>
      <c r="P100" s="100">
        <f t="shared" si="21"/>
        <v>168.33999999999997</v>
      </c>
      <c r="Q100" s="100">
        <f t="shared" si="21"/>
        <v>148.79999999999995</v>
      </c>
      <c r="R100" s="100">
        <f t="shared" si="21"/>
        <v>147.19999999999999</v>
      </c>
      <c r="S100" s="100">
        <f t="shared" si="21"/>
        <v>146.5</v>
      </c>
      <c r="T100" s="100">
        <f t="shared" si="21"/>
        <v>136.29999999999998</v>
      </c>
      <c r="U100" s="100">
        <f t="shared" si="21"/>
        <v>148.29999999999998</v>
      </c>
      <c r="V100" s="100">
        <f t="shared" si="21"/>
        <v>174.1</v>
      </c>
      <c r="W100" s="100">
        <f t="shared" si="21"/>
        <v>222.49999999999994</v>
      </c>
      <c r="X100" s="100">
        <f t="shared" si="21"/>
        <v>244.69999999999996</v>
      </c>
      <c r="Y100" s="100">
        <f t="shared" si="21"/>
        <v>234.7</v>
      </c>
      <c r="Z100" s="100">
        <f t="shared" si="21"/>
        <v>213.6</v>
      </c>
      <c r="AA100" s="100">
        <f t="shared" si="21"/>
        <v>182.9</v>
      </c>
      <c r="AB100" s="100">
        <f t="shared" si="21"/>
        <v>163.39999999999998</v>
      </c>
      <c r="AC100" s="100">
        <f t="shared" si="21"/>
        <v>117.5</v>
      </c>
      <c r="AD100" s="100">
        <f t="shared" si="21"/>
        <v>123.60000000000002</v>
      </c>
      <c r="AE100" s="100">
        <f t="shared" si="21"/>
        <v>90.5</v>
      </c>
      <c r="AF100" s="100">
        <f t="shared" si="21"/>
        <v>47.299999999999983</v>
      </c>
      <c r="AG100" s="101"/>
      <c r="AH100" s="48">
        <f t="shared" si="9"/>
        <v>244.69999999999996</v>
      </c>
      <c r="AI100" s="49">
        <f t="shared" si="10"/>
        <v>12.539999999999996</v>
      </c>
    </row>
    <row r="101" spans="1:37" x14ac:dyDescent="0.25">
      <c r="A101" s="88" t="s">
        <v>105</v>
      </c>
      <c r="B101" s="102">
        <v>23</v>
      </c>
      <c r="C101" s="102">
        <v>24.4</v>
      </c>
      <c r="D101" s="102">
        <v>24</v>
      </c>
      <c r="E101" s="102">
        <v>24</v>
      </c>
      <c r="F101" s="102">
        <v>22</v>
      </c>
      <c r="G101" s="102">
        <v>38</v>
      </c>
      <c r="H101" s="102">
        <v>40</v>
      </c>
      <c r="I101" s="102">
        <v>43</v>
      </c>
      <c r="J101" s="102">
        <v>48</v>
      </c>
      <c r="K101" s="102">
        <v>48</v>
      </c>
      <c r="L101" s="102"/>
      <c r="M101" s="102">
        <v>55.8</v>
      </c>
      <c r="N101" s="102">
        <v>55.4</v>
      </c>
      <c r="O101" s="102">
        <v>56.6</v>
      </c>
      <c r="P101" s="102">
        <v>55.5</v>
      </c>
      <c r="Q101" s="102">
        <v>55.6</v>
      </c>
      <c r="R101" s="102">
        <v>50.3</v>
      </c>
      <c r="S101" s="102">
        <v>50.6</v>
      </c>
      <c r="T101" s="102">
        <v>46.8</v>
      </c>
      <c r="U101" s="102">
        <v>49.7</v>
      </c>
      <c r="V101" s="102">
        <v>49.2</v>
      </c>
      <c r="W101" s="102">
        <v>59.8</v>
      </c>
      <c r="X101" s="102">
        <v>46.1</v>
      </c>
      <c r="Y101" s="102">
        <v>43.4</v>
      </c>
      <c r="Z101" s="102">
        <v>44.7</v>
      </c>
      <c r="AA101" s="102">
        <v>39.9</v>
      </c>
      <c r="AB101" s="102">
        <v>41.8</v>
      </c>
      <c r="AC101" s="102">
        <v>46.5</v>
      </c>
      <c r="AD101" s="102">
        <v>46.7</v>
      </c>
      <c r="AE101" s="102">
        <v>41</v>
      </c>
      <c r="AF101" s="102">
        <v>28</v>
      </c>
      <c r="AG101" s="103">
        <v>75</v>
      </c>
      <c r="AH101" s="48">
        <f t="shared" si="9"/>
        <v>59.8</v>
      </c>
      <c r="AI101" s="49">
        <f t="shared" si="10"/>
        <v>22</v>
      </c>
    </row>
    <row r="102" spans="1:37" x14ac:dyDescent="0.25">
      <c r="A102" s="91" t="s">
        <v>106</v>
      </c>
      <c r="B102" s="104">
        <v>39</v>
      </c>
      <c r="C102" s="104">
        <v>40.9</v>
      </c>
      <c r="D102" s="104">
        <v>40</v>
      </c>
      <c r="E102" s="104">
        <v>40</v>
      </c>
      <c r="F102" s="104">
        <v>39</v>
      </c>
      <c r="G102" s="104">
        <v>59</v>
      </c>
      <c r="H102" s="104">
        <v>61</v>
      </c>
      <c r="I102" s="104">
        <v>66</v>
      </c>
      <c r="J102" s="104">
        <v>74</v>
      </c>
      <c r="K102" s="104">
        <v>74</v>
      </c>
      <c r="L102" s="104"/>
      <c r="M102" s="104">
        <v>86.7</v>
      </c>
      <c r="N102" s="104">
        <v>86.1</v>
      </c>
      <c r="O102" s="104">
        <v>88.5</v>
      </c>
      <c r="P102" s="104">
        <v>87.1</v>
      </c>
      <c r="Q102" s="104">
        <v>85.8</v>
      </c>
      <c r="R102" s="104">
        <v>77.7</v>
      </c>
      <c r="S102" s="104">
        <v>79.5</v>
      </c>
      <c r="T102" s="104">
        <v>72.7</v>
      </c>
      <c r="U102" s="104">
        <v>78.5</v>
      </c>
      <c r="V102" s="104">
        <v>75.3</v>
      </c>
      <c r="W102" s="104">
        <v>87.1</v>
      </c>
      <c r="X102" s="104">
        <v>67.8</v>
      </c>
      <c r="Y102" s="104">
        <v>61.8</v>
      </c>
      <c r="Z102" s="104">
        <v>64.2</v>
      </c>
      <c r="AA102" s="104">
        <v>56.2</v>
      </c>
      <c r="AB102" s="104">
        <v>59.9</v>
      </c>
      <c r="AC102" s="104">
        <v>67.900000000000006</v>
      </c>
      <c r="AD102" s="104">
        <v>66.8</v>
      </c>
      <c r="AE102" s="104">
        <v>60.4</v>
      </c>
      <c r="AF102" s="104">
        <v>46</v>
      </c>
      <c r="AG102" s="103">
        <v>240</v>
      </c>
      <c r="AH102" s="48">
        <f t="shared" si="9"/>
        <v>88.5</v>
      </c>
      <c r="AI102" s="49">
        <f t="shared" si="10"/>
        <v>39</v>
      </c>
    </row>
    <row r="103" spans="1:37" x14ac:dyDescent="0.25">
      <c r="A103" s="91" t="s">
        <v>107</v>
      </c>
      <c r="B103" s="104">
        <v>-130</v>
      </c>
      <c r="C103" s="104">
        <v>-128</v>
      </c>
      <c r="D103" s="104">
        <v>-129</v>
      </c>
      <c r="E103" s="104">
        <v>-129</v>
      </c>
      <c r="F103" s="104">
        <v>-128</v>
      </c>
      <c r="G103" s="104">
        <v>-137</v>
      </c>
      <c r="H103" s="104">
        <v>-137</v>
      </c>
      <c r="I103" s="104">
        <v>-121</v>
      </c>
      <c r="J103" s="104">
        <v>-120</v>
      </c>
      <c r="K103" s="104">
        <v>-96</v>
      </c>
      <c r="L103" s="104"/>
      <c r="M103" s="104">
        <f>-43-45</f>
        <v>-88</v>
      </c>
      <c r="N103" s="104">
        <f>-50.2-54.2</f>
        <v>-104.4</v>
      </c>
      <c r="O103" s="104">
        <f>-59.3-63.1</f>
        <v>-122.4</v>
      </c>
      <c r="P103" s="104">
        <f>-65.5-69.1</f>
        <v>-134.6</v>
      </c>
      <c r="Q103" s="104">
        <f>-65-68.3</f>
        <v>-133.30000000000001</v>
      </c>
      <c r="R103" s="104">
        <f>-58.6-62.6</f>
        <v>-121.2</v>
      </c>
      <c r="S103" s="104">
        <v>-124.6</v>
      </c>
      <c r="T103" s="104">
        <f>-58.1-61.7</f>
        <v>-119.80000000000001</v>
      </c>
      <c r="U103" s="104">
        <v>-123.6</v>
      </c>
      <c r="V103" s="104">
        <f>-48.8-51.9</f>
        <v>-100.69999999999999</v>
      </c>
      <c r="W103" s="104">
        <v>-83</v>
      </c>
      <c r="X103" s="104">
        <v>-39</v>
      </c>
      <c r="Y103" s="104">
        <f>-11.2-12.6</f>
        <v>-23.799999999999997</v>
      </c>
      <c r="Z103" s="104">
        <v>-49.7</v>
      </c>
      <c r="AA103" s="104">
        <v>-50</v>
      </c>
      <c r="AB103" s="104">
        <f>-35-37.1</f>
        <v>-72.099999999999994</v>
      </c>
      <c r="AC103" s="104">
        <v>-123</v>
      </c>
      <c r="AD103" s="104">
        <v>-116</v>
      </c>
      <c r="AE103" s="104">
        <v>-130</v>
      </c>
      <c r="AF103" s="104">
        <v>-134</v>
      </c>
      <c r="AG103" s="103">
        <v>240</v>
      </c>
      <c r="AH103" s="48">
        <f t="shared" si="9"/>
        <v>-23.799999999999997</v>
      </c>
      <c r="AI103" s="49">
        <f t="shared" si="10"/>
        <v>-137</v>
      </c>
    </row>
    <row r="104" spans="1:37" x14ac:dyDescent="0.25">
      <c r="A104" s="91" t="s">
        <v>108</v>
      </c>
      <c r="B104" s="104">
        <v>-11</v>
      </c>
      <c r="C104" s="104">
        <v>-12.6</v>
      </c>
      <c r="D104" s="104">
        <v>-13</v>
      </c>
      <c r="E104" s="104">
        <v>-13</v>
      </c>
      <c r="F104" s="104">
        <v>-10</v>
      </c>
      <c r="G104" s="104">
        <v>-11</v>
      </c>
      <c r="H104" s="104">
        <v>-11</v>
      </c>
      <c r="I104" s="104">
        <v>-7</v>
      </c>
      <c r="J104" s="104">
        <v>-7</v>
      </c>
      <c r="K104" s="104">
        <v>1</v>
      </c>
      <c r="L104" s="104"/>
      <c r="M104" s="104">
        <v>0</v>
      </c>
      <c r="N104" s="104">
        <v>-5.2</v>
      </c>
      <c r="O104" s="104">
        <v>-7.8</v>
      </c>
      <c r="P104" s="104">
        <v>-5.6</v>
      </c>
      <c r="Q104" s="104">
        <v>-4</v>
      </c>
      <c r="R104" s="104">
        <v>-2.8</v>
      </c>
      <c r="S104" s="104">
        <v>-3.9</v>
      </c>
      <c r="T104" s="104">
        <v>-3.6</v>
      </c>
      <c r="U104" s="104">
        <v>-1.8</v>
      </c>
      <c r="V104" s="104">
        <v>4.5999999999999996</v>
      </c>
      <c r="W104" s="104">
        <v>6.7</v>
      </c>
      <c r="X104" s="104">
        <v>17.600000000000001</v>
      </c>
      <c r="Y104" s="104">
        <v>19.2</v>
      </c>
      <c r="Z104" s="104">
        <v>16.600000000000001</v>
      </c>
      <c r="AA104" s="104">
        <v>13.9</v>
      </c>
      <c r="AB104" s="104">
        <v>10.7</v>
      </c>
      <c r="AC104" s="104">
        <v>3</v>
      </c>
      <c r="AD104" s="104">
        <v>3</v>
      </c>
      <c r="AE104" s="104">
        <v>-4</v>
      </c>
      <c r="AF104" s="104">
        <v>-5</v>
      </c>
      <c r="AG104" s="103">
        <v>60</v>
      </c>
      <c r="AH104" s="48">
        <f t="shared" si="9"/>
        <v>19.2</v>
      </c>
      <c r="AI104" s="49">
        <f t="shared" si="10"/>
        <v>-13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/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0</v>
      </c>
      <c r="Y105" s="106">
        <v>0</v>
      </c>
      <c r="Z105" s="106">
        <v>0</v>
      </c>
      <c r="AA105" s="106">
        <v>0</v>
      </c>
      <c r="AB105" s="106">
        <v>0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9"/>
        <v>0</v>
      </c>
      <c r="AI105" s="49">
        <f t="shared" si="10"/>
        <v>0</v>
      </c>
    </row>
    <row r="106" spans="1:37" x14ac:dyDescent="0.25">
      <c r="A106" s="105" t="s">
        <v>110</v>
      </c>
      <c r="B106" s="106">
        <v>3</v>
      </c>
      <c r="C106" s="106">
        <v>6</v>
      </c>
      <c r="D106" s="106">
        <v>8</v>
      </c>
      <c r="E106" s="106">
        <v>8</v>
      </c>
      <c r="F106" s="106">
        <v>-8</v>
      </c>
      <c r="G106" s="106">
        <v>-13</v>
      </c>
      <c r="H106" s="106">
        <v>-11</v>
      </c>
      <c r="I106" s="106">
        <v>-20</v>
      </c>
      <c r="J106" s="106">
        <v>-6</v>
      </c>
      <c r="K106" s="106">
        <v>1</v>
      </c>
      <c r="L106" s="106"/>
      <c r="M106" s="106">
        <v>16</v>
      </c>
      <c r="N106" s="106">
        <v>9.1999999999999993</v>
      </c>
      <c r="O106" s="106">
        <v>-6</v>
      </c>
      <c r="P106" s="106">
        <v>-14.5</v>
      </c>
      <c r="Q106" s="106">
        <v>-5.5</v>
      </c>
      <c r="R106" s="106">
        <v>-3.1</v>
      </c>
      <c r="S106" s="106">
        <v>-9.6999999999999993</v>
      </c>
      <c r="T106" s="106">
        <v>0</v>
      </c>
      <c r="U106" s="106">
        <v>-2.1</v>
      </c>
      <c r="V106" s="106">
        <v>11.8</v>
      </c>
      <c r="W106" s="106">
        <v>11.6</v>
      </c>
      <c r="X106" s="106">
        <v>49.3</v>
      </c>
      <c r="Y106" s="106">
        <v>57</v>
      </c>
      <c r="Z106" s="106">
        <v>35.1</v>
      </c>
      <c r="AA106" s="106">
        <v>31.8</v>
      </c>
      <c r="AB106" s="106">
        <v>16.5</v>
      </c>
      <c r="AC106" s="106">
        <v>28</v>
      </c>
      <c r="AD106" s="106">
        <v>24</v>
      </c>
      <c r="AE106" s="106">
        <v>28</v>
      </c>
      <c r="AF106" s="106">
        <v>6</v>
      </c>
      <c r="AG106" s="107"/>
      <c r="AH106" s="48">
        <f t="shared" si="9"/>
        <v>57</v>
      </c>
      <c r="AI106" s="49">
        <f t="shared" si="10"/>
        <v>-20</v>
      </c>
    </row>
    <row r="107" spans="1:37" x14ac:dyDescent="0.25">
      <c r="A107" s="105" t="s">
        <v>111</v>
      </c>
      <c r="B107" s="106">
        <v>16</v>
      </c>
      <c r="C107" s="106">
        <v>5</v>
      </c>
      <c r="D107" s="106">
        <v>8</v>
      </c>
      <c r="E107" s="106">
        <v>8</v>
      </c>
      <c r="F107" s="106">
        <v>11</v>
      </c>
      <c r="G107" s="106">
        <v>-5</v>
      </c>
      <c r="H107" s="106">
        <v>-5</v>
      </c>
      <c r="I107" s="106">
        <v>-7</v>
      </c>
      <c r="J107" s="106">
        <v>-7</v>
      </c>
      <c r="K107" s="106">
        <v>-7</v>
      </c>
      <c r="L107" s="106"/>
      <c r="M107" s="106">
        <v>3.2</v>
      </c>
      <c r="N107" s="106">
        <v>-1.1000000000000001</v>
      </c>
      <c r="O107" s="106">
        <v>-6.3</v>
      </c>
      <c r="P107" s="106">
        <v>-7.8</v>
      </c>
      <c r="Q107" s="106">
        <v>-17.600000000000001</v>
      </c>
      <c r="R107" s="106">
        <v>-13.5</v>
      </c>
      <c r="S107" s="106">
        <v>-14.9</v>
      </c>
      <c r="T107" s="106">
        <v>-3.6</v>
      </c>
      <c r="U107" s="106">
        <v>-2.5</v>
      </c>
      <c r="V107" s="106">
        <v>0.4</v>
      </c>
      <c r="W107" s="106">
        <v>-0.5</v>
      </c>
      <c r="X107" s="106">
        <v>31</v>
      </c>
      <c r="Y107" s="106">
        <v>28.2</v>
      </c>
      <c r="Z107" s="106">
        <v>18.7</v>
      </c>
      <c r="AA107" s="106">
        <v>14.9</v>
      </c>
      <c r="AB107" s="106">
        <v>9.9</v>
      </c>
      <c r="AC107" s="106">
        <v>12</v>
      </c>
      <c r="AD107" s="106">
        <v>16</v>
      </c>
      <c r="AE107" s="106">
        <v>1</v>
      </c>
      <c r="AF107" s="106">
        <v>8</v>
      </c>
      <c r="AG107" s="108"/>
      <c r="AH107" s="48">
        <f t="shared" si="9"/>
        <v>31</v>
      </c>
      <c r="AI107" s="49">
        <f t="shared" si="10"/>
        <v>-17.600000000000001</v>
      </c>
    </row>
    <row r="108" spans="1:37" x14ac:dyDescent="0.25">
      <c r="A108" s="109" t="s">
        <v>112</v>
      </c>
      <c r="B108" s="94">
        <v>88</v>
      </c>
      <c r="C108" s="94">
        <v>88</v>
      </c>
      <c r="D108" s="94">
        <v>89</v>
      </c>
      <c r="E108" s="94">
        <v>89</v>
      </c>
      <c r="F108" s="94">
        <v>87</v>
      </c>
      <c r="G108" s="94">
        <v>86</v>
      </c>
      <c r="H108" s="94">
        <v>82</v>
      </c>
      <c r="I108" s="94">
        <v>80</v>
      </c>
      <c r="J108" s="94">
        <v>74</v>
      </c>
      <c r="K108" s="94">
        <v>74</v>
      </c>
      <c r="L108" s="94"/>
      <c r="M108" s="94">
        <v>68</v>
      </c>
      <c r="N108" s="94">
        <v>73.900000000000006</v>
      </c>
      <c r="O108" s="94">
        <v>80.8</v>
      </c>
      <c r="P108" s="94">
        <v>74.5</v>
      </c>
      <c r="Q108" s="94">
        <v>72.599999999999994</v>
      </c>
      <c r="R108" s="94">
        <v>66.400000000000006</v>
      </c>
      <c r="S108" s="94">
        <v>75.8</v>
      </c>
      <c r="T108" s="94">
        <v>72</v>
      </c>
      <c r="U108" s="94">
        <v>63</v>
      </c>
      <c r="V108" s="94">
        <v>65.2</v>
      </c>
      <c r="W108" s="94">
        <v>50.2</v>
      </c>
      <c r="X108" s="94">
        <v>54.7</v>
      </c>
      <c r="Y108" s="94">
        <v>60.4</v>
      </c>
      <c r="Z108" s="94">
        <v>60.8</v>
      </c>
      <c r="AA108" s="94">
        <v>53.6</v>
      </c>
      <c r="AB108" s="94">
        <v>68.8</v>
      </c>
      <c r="AC108" s="94">
        <v>76.5</v>
      </c>
      <c r="AD108" s="94">
        <v>78</v>
      </c>
      <c r="AE108" s="94">
        <v>82</v>
      </c>
      <c r="AF108" s="94">
        <v>86</v>
      </c>
      <c r="AG108" s="108"/>
      <c r="AH108" s="48">
        <f t="shared" si="9"/>
        <v>89</v>
      </c>
      <c r="AI108" s="49">
        <f t="shared" si="10"/>
        <v>50.2</v>
      </c>
    </row>
    <row r="109" spans="1:37" ht="15.75" thickBot="1" x14ac:dyDescent="0.3">
      <c r="A109" s="109" t="s">
        <v>113</v>
      </c>
      <c r="B109" s="94">
        <v>95</v>
      </c>
      <c r="C109" s="94">
        <v>92</v>
      </c>
      <c r="D109" s="94">
        <v>88</v>
      </c>
      <c r="E109" s="94">
        <v>80</v>
      </c>
      <c r="F109" s="94">
        <v>85</v>
      </c>
      <c r="G109" s="94">
        <v>97</v>
      </c>
      <c r="H109" s="94">
        <v>82</v>
      </c>
      <c r="I109" s="94">
        <v>85</v>
      </c>
      <c r="J109" s="94">
        <v>87</v>
      </c>
      <c r="K109" s="94">
        <v>87</v>
      </c>
      <c r="L109" s="94"/>
      <c r="M109" s="94">
        <v>65.3</v>
      </c>
      <c r="N109" s="94">
        <v>73.900000000000006</v>
      </c>
      <c r="O109" s="94">
        <v>90.3</v>
      </c>
      <c r="P109" s="94">
        <v>96.9</v>
      </c>
      <c r="Q109" s="94">
        <v>97.1</v>
      </c>
      <c r="R109" s="94">
        <v>87.1</v>
      </c>
      <c r="S109" s="94">
        <v>93.4</v>
      </c>
      <c r="T109" s="94">
        <v>85.6</v>
      </c>
      <c r="U109" s="94">
        <v>87.7</v>
      </c>
      <c r="V109" s="94">
        <v>72.2</v>
      </c>
      <c r="W109" s="94">
        <v>64.2</v>
      </c>
      <c r="X109" s="94">
        <v>26.2</v>
      </c>
      <c r="Y109" s="94">
        <v>17.2</v>
      </c>
      <c r="Z109" s="94">
        <v>37.1</v>
      </c>
      <c r="AA109" s="94">
        <v>37.200000000000003</v>
      </c>
      <c r="AB109" s="94">
        <v>51.7</v>
      </c>
      <c r="AC109" s="94">
        <v>93</v>
      </c>
      <c r="AD109" s="94">
        <v>88</v>
      </c>
      <c r="AE109" s="94">
        <v>93</v>
      </c>
      <c r="AF109" s="94">
        <v>96</v>
      </c>
      <c r="AG109" s="108"/>
      <c r="AH109" s="48">
        <f t="shared" si="9"/>
        <v>97.1</v>
      </c>
      <c r="AI109" s="49">
        <f t="shared" si="10"/>
        <v>17.2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22">SUM(B111:B215)</f>
        <v>0</v>
      </c>
      <c r="C216" s="125">
        <f t="shared" si="22"/>
        <v>0</v>
      </c>
      <c r="D216" s="125">
        <f t="shared" si="22"/>
        <v>0</v>
      </c>
      <c r="E216" s="125">
        <f t="shared" si="22"/>
        <v>0</v>
      </c>
      <c r="F216" s="125">
        <f t="shared" si="22"/>
        <v>0</v>
      </c>
      <c r="G216" s="125">
        <f t="shared" si="22"/>
        <v>0</v>
      </c>
      <c r="H216" s="125">
        <f t="shared" si="22"/>
        <v>0</v>
      </c>
      <c r="I216" s="125">
        <f t="shared" si="22"/>
        <v>0</v>
      </c>
      <c r="J216" s="125">
        <f t="shared" si="22"/>
        <v>0</v>
      </c>
      <c r="K216" s="125">
        <f t="shared" si="22"/>
        <v>0</v>
      </c>
      <c r="L216" s="125">
        <f t="shared" si="22"/>
        <v>0</v>
      </c>
      <c r="M216" s="125">
        <f t="shared" si="22"/>
        <v>0</v>
      </c>
      <c r="N216" s="125">
        <f t="shared" si="22"/>
        <v>0</v>
      </c>
      <c r="O216" s="125">
        <f t="shared" si="22"/>
        <v>0</v>
      </c>
      <c r="P216" s="125">
        <f t="shared" si="22"/>
        <v>0</v>
      </c>
      <c r="Q216" s="125">
        <f t="shared" si="22"/>
        <v>0</v>
      </c>
      <c r="R216" s="125">
        <f t="shared" si="22"/>
        <v>0</v>
      </c>
      <c r="S216" s="125">
        <f t="shared" si="22"/>
        <v>0</v>
      </c>
      <c r="T216" s="125">
        <f t="shared" si="22"/>
        <v>0</v>
      </c>
      <c r="U216" s="125">
        <f t="shared" si="22"/>
        <v>0</v>
      </c>
      <c r="V216" s="125">
        <f t="shared" si="22"/>
        <v>0</v>
      </c>
      <c r="W216" s="125">
        <f t="shared" si="22"/>
        <v>0</v>
      </c>
      <c r="X216" s="125">
        <f t="shared" si="22"/>
        <v>0</v>
      </c>
      <c r="Y216" s="125">
        <f t="shared" si="22"/>
        <v>0</v>
      </c>
      <c r="Z216" s="125">
        <f t="shared" si="22"/>
        <v>0</v>
      </c>
      <c r="AA216" s="125">
        <f t="shared" si="22"/>
        <v>0</v>
      </c>
      <c r="AB216" s="125">
        <f t="shared" si="22"/>
        <v>0</v>
      </c>
      <c r="AC216" s="125">
        <f t="shared" si="22"/>
        <v>0</v>
      </c>
      <c r="AD216" s="125">
        <f t="shared" si="22"/>
        <v>0</v>
      </c>
      <c r="AE216" s="125">
        <f t="shared" si="22"/>
        <v>0</v>
      </c>
      <c r="AF216" s="126">
        <f t="shared" si="22"/>
        <v>0</v>
      </c>
      <c r="AG216" s="127">
        <f t="shared" si="22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23">AF218</f>
        <v>0</v>
      </c>
      <c r="C218" s="129">
        <v>0.3</v>
      </c>
      <c r="D218" s="129">
        <f t="shared" ref="D218:P223" si="24">C218</f>
        <v>0.3</v>
      </c>
      <c r="E218" s="129">
        <f t="shared" si="24"/>
        <v>0.3</v>
      </c>
      <c r="F218" s="129">
        <f t="shared" si="24"/>
        <v>0.3</v>
      </c>
      <c r="G218" s="129">
        <f t="shared" si="24"/>
        <v>0.3</v>
      </c>
      <c r="H218" s="129">
        <f t="shared" si="24"/>
        <v>0.3</v>
      </c>
      <c r="I218" s="129">
        <f t="shared" si="24"/>
        <v>0.3</v>
      </c>
      <c r="J218" s="129">
        <f t="shared" si="24"/>
        <v>0.3</v>
      </c>
      <c r="K218" s="129">
        <f t="shared" si="24"/>
        <v>0.3</v>
      </c>
      <c r="L218" s="129">
        <f t="shared" si="24"/>
        <v>0.3</v>
      </c>
      <c r="M218" s="129">
        <f t="shared" si="24"/>
        <v>0.3</v>
      </c>
      <c r="N218" s="129">
        <f t="shared" si="24"/>
        <v>0.3</v>
      </c>
      <c r="O218" s="129">
        <f t="shared" si="24"/>
        <v>0.3</v>
      </c>
      <c r="P218" s="129">
        <f t="shared" si="24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23"/>
        <v>0</v>
      </c>
      <c r="C219" s="117">
        <v>0.4</v>
      </c>
      <c r="D219" s="117">
        <f t="shared" si="24"/>
        <v>0.4</v>
      </c>
      <c r="E219" s="117">
        <f t="shared" si="24"/>
        <v>0.4</v>
      </c>
      <c r="F219" s="117">
        <f t="shared" si="24"/>
        <v>0.4</v>
      </c>
      <c r="G219" s="117">
        <f t="shared" si="24"/>
        <v>0.4</v>
      </c>
      <c r="H219" s="117">
        <f t="shared" si="24"/>
        <v>0.4</v>
      </c>
      <c r="I219" s="117">
        <f t="shared" si="24"/>
        <v>0.4</v>
      </c>
      <c r="J219" s="117">
        <f t="shared" si="24"/>
        <v>0.4</v>
      </c>
      <c r="K219" s="117">
        <f t="shared" si="24"/>
        <v>0.4</v>
      </c>
      <c r="L219" s="117">
        <f t="shared" si="24"/>
        <v>0.4</v>
      </c>
      <c r="M219" s="117">
        <f t="shared" si="24"/>
        <v>0.4</v>
      </c>
      <c r="N219" s="117">
        <f t="shared" si="24"/>
        <v>0.4</v>
      </c>
      <c r="O219" s="117">
        <f t="shared" si="24"/>
        <v>0.4</v>
      </c>
      <c r="P219" s="117">
        <f t="shared" si="24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23"/>
        <v>0</v>
      </c>
      <c r="C220" s="117">
        <v>1.5</v>
      </c>
      <c r="D220" s="117">
        <f t="shared" si="24"/>
        <v>1.5</v>
      </c>
      <c r="E220" s="117">
        <f t="shared" si="24"/>
        <v>1.5</v>
      </c>
      <c r="F220" s="117">
        <f t="shared" si="24"/>
        <v>1.5</v>
      </c>
      <c r="G220" s="117">
        <f t="shared" si="24"/>
        <v>1.5</v>
      </c>
      <c r="H220" s="117">
        <f t="shared" si="24"/>
        <v>1.5</v>
      </c>
      <c r="I220" s="117">
        <f t="shared" si="24"/>
        <v>1.5</v>
      </c>
      <c r="J220" s="117">
        <f t="shared" si="24"/>
        <v>1.5</v>
      </c>
      <c r="K220" s="117">
        <f t="shared" si="24"/>
        <v>1.5</v>
      </c>
      <c r="L220" s="117">
        <f t="shared" si="24"/>
        <v>1.5</v>
      </c>
      <c r="M220" s="117">
        <f t="shared" si="24"/>
        <v>1.5</v>
      </c>
      <c r="N220" s="117">
        <f t="shared" si="24"/>
        <v>1.5</v>
      </c>
      <c r="O220" s="117">
        <f t="shared" si="24"/>
        <v>1.5</v>
      </c>
      <c r="P220" s="117">
        <f t="shared" si="24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23"/>
        <v>0</v>
      </c>
      <c r="C221" s="117">
        <v>0.3</v>
      </c>
      <c r="D221" s="117">
        <f t="shared" si="24"/>
        <v>0.3</v>
      </c>
      <c r="E221" s="117">
        <f t="shared" si="24"/>
        <v>0.3</v>
      </c>
      <c r="F221" s="117">
        <f t="shared" si="24"/>
        <v>0.3</v>
      </c>
      <c r="G221" s="117">
        <f t="shared" si="24"/>
        <v>0.3</v>
      </c>
      <c r="H221" s="117">
        <f t="shared" si="24"/>
        <v>0.3</v>
      </c>
      <c r="I221" s="117">
        <f t="shared" si="24"/>
        <v>0.3</v>
      </c>
      <c r="J221" s="117">
        <f t="shared" si="24"/>
        <v>0.3</v>
      </c>
      <c r="K221" s="117">
        <f t="shared" si="24"/>
        <v>0.3</v>
      </c>
      <c r="L221" s="117">
        <f t="shared" si="24"/>
        <v>0.3</v>
      </c>
      <c r="M221" s="117">
        <f t="shared" si="24"/>
        <v>0.3</v>
      </c>
      <c r="N221" s="117">
        <f t="shared" si="24"/>
        <v>0.3</v>
      </c>
      <c r="O221" s="117">
        <f t="shared" si="24"/>
        <v>0.3</v>
      </c>
      <c r="P221" s="117">
        <f t="shared" si="24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23"/>
        <v>0</v>
      </c>
      <c r="C222" s="117">
        <v>0.4</v>
      </c>
      <c r="D222" s="117">
        <f t="shared" si="24"/>
        <v>0.4</v>
      </c>
      <c r="E222" s="117">
        <f t="shared" si="24"/>
        <v>0.4</v>
      </c>
      <c r="F222" s="117">
        <f t="shared" si="24"/>
        <v>0.4</v>
      </c>
      <c r="G222" s="117">
        <f t="shared" si="24"/>
        <v>0.4</v>
      </c>
      <c r="H222" s="117">
        <f t="shared" si="24"/>
        <v>0.4</v>
      </c>
      <c r="I222" s="117">
        <f t="shared" si="24"/>
        <v>0.4</v>
      </c>
      <c r="J222" s="117">
        <f t="shared" si="24"/>
        <v>0.4</v>
      </c>
      <c r="K222" s="117">
        <f t="shared" si="24"/>
        <v>0.4</v>
      </c>
      <c r="L222" s="117">
        <f t="shared" si="24"/>
        <v>0.4</v>
      </c>
      <c r="M222" s="117">
        <f t="shared" si="24"/>
        <v>0.4</v>
      </c>
      <c r="N222" s="117">
        <f t="shared" si="24"/>
        <v>0.4</v>
      </c>
      <c r="O222" s="117">
        <f t="shared" si="24"/>
        <v>0.4</v>
      </c>
      <c r="P222" s="117">
        <f t="shared" si="24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23"/>
        <v>0</v>
      </c>
      <c r="C223" s="121">
        <v>0.64</v>
      </c>
      <c r="D223" s="121">
        <f t="shared" si="24"/>
        <v>0.64</v>
      </c>
      <c r="E223" s="121">
        <f t="shared" si="24"/>
        <v>0.64</v>
      </c>
      <c r="F223" s="121">
        <f t="shared" si="24"/>
        <v>0.64</v>
      </c>
      <c r="G223" s="121">
        <f t="shared" si="24"/>
        <v>0.64</v>
      </c>
      <c r="H223" s="121">
        <f t="shared" si="24"/>
        <v>0.64</v>
      </c>
      <c r="I223" s="121">
        <f t="shared" si="24"/>
        <v>0.64</v>
      </c>
      <c r="J223" s="121">
        <f t="shared" si="24"/>
        <v>0.64</v>
      </c>
      <c r="K223" s="121">
        <f t="shared" si="24"/>
        <v>0.64</v>
      </c>
      <c r="L223" s="121">
        <f t="shared" si="24"/>
        <v>0.64</v>
      </c>
      <c r="M223" s="121">
        <f t="shared" si="24"/>
        <v>0.64</v>
      </c>
      <c r="N223" s="121">
        <f t="shared" si="24"/>
        <v>0.64</v>
      </c>
      <c r="O223" s="121">
        <f t="shared" si="24"/>
        <v>0.64</v>
      </c>
      <c r="P223" s="121">
        <f t="shared" si="24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5">SUM(B218:B223)</f>
        <v>0</v>
      </c>
      <c r="C224" s="125">
        <f t="shared" si="25"/>
        <v>3.54</v>
      </c>
      <c r="D224" s="125">
        <f t="shared" si="25"/>
        <v>3.54</v>
      </c>
      <c r="E224" s="125">
        <f t="shared" si="25"/>
        <v>3.54</v>
      </c>
      <c r="F224" s="125">
        <f t="shared" si="25"/>
        <v>3.54</v>
      </c>
      <c r="G224" s="125">
        <f t="shared" si="25"/>
        <v>3.54</v>
      </c>
      <c r="H224" s="125">
        <f t="shared" si="25"/>
        <v>3.54</v>
      </c>
      <c r="I224" s="125">
        <f t="shared" si="25"/>
        <v>3.54</v>
      </c>
      <c r="J224" s="125">
        <f t="shared" si="25"/>
        <v>3.54</v>
      </c>
      <c r="K224" s="125">
        <f t="shared" si="25"/>
        <v>3.54</v>
      </c>
      <c r="L224" s="125">
        <f t="shared" si="25"/>
        <v>3.54</v>
      </c>
      <c r="M224" s="125">
        <f t="shared" si="25"/>
        <v>3.54</v>
      </c>
      <c r="N224" s="125">
        <f t="shared" si="25"/>
        <v>3.54</v>
      </c>
      <c r="O224" s="125">
        <f t="shared" si="25"/>
        <v>3.54</v>
      </c>
      <c r="P224" s="125">
        <f t="shared" si="25"/>
        <v>3.54</v>
      </c>
      <c r="Q224" s="125">
        <f t="shared" si="25"/>
        <v>0</v>
      </c>
      <c r="R224" s="125">
        <f t="shared" si="25"/>
        <v>0</v>
      </c>
      <c r="S224" s="125">
        <f t="shared" si="25"/>
        <v>0</v>
      </c>
      <c r="T224" s="125">
        <f t="shared" si="25"/>
        <v>0</v>
      </c>
      <c r="U224" s="125">
        <f t="shared" si="25"/>
        <v>0</v>
      </c>
      <c r="V224" s="125">
        <f t="shared" si="25"/>
        <v>0</v>
      </c>
      <c r="W224" s="125">
        <f t="shared" si="25"/>
        <v>0</v>
      </c>
      <c r="X224" s="125">
        <f t="shared" si="25"/>
        <v>0</v>
      </c>
      <c r="Y224" s="125">
        <f t="shared" si="25"/>
        <v>0</v>
      </c>
      <c r="Z224" s="125">
        <f t="shared" si="25"/>
        <v>0</v>
      </c>
      <c r="AA224" s="125">
        <f t="shared" si="25"/>
        <v>0</v>
      </c>
      <c r="AB224" s="125">
        <f t="shared" si="25"/>
        <v>0</v>
      </c>
      <c r="AC224" s="125">
        <f t="shared" si="25"/>
        <v>0</v>
      </c>
      <c r="AD224" s="125">
        <f t="shared" si="25"/>
        <v>0</v>
      </c>
      <c r="AE224" s="125">
        <f t="shared" si="25"/>
        <v>0</v>
      </c>
      <c r="AF224" s="125">
        <f t="shared" si="25"/>
        <v>0</v>
      </c>
      <c r="AG224" s="134">
        <f t="shared" si="25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1596.84</v>
      </c>
      <c r="C233" s="150">
        <f>INDEX(G9:N9,1,MATCH(MAX(G81:N81),G81:N81,0))</f>
        <v>0.33333333333333331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24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2079/06/24)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2079/06/24)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26">B81</f>
        <v>1251.1399999999999</v>
      </c>
      <c r="U238" s="159">
        <f t="shared" si="26"/>
        <v>1226.94</v>
      </c>
      <c r="V238" s="159">
        <f t="shared" si="26"/>
        <v>1226.94</v>
      </c>
      <c r="W238" s="159">
        <f t="shared" si="26"/>
        <v>1216.54</v>
      </c>
      <c r="X238" s="159">
        <f t="shared" si="26"/>
        <v>1230.54</v>
      </c>
      <c r="Y238" s="159">
        <f t="shared" si="26"/>
        <v>1292.8400000000001</v>
      </c>
      <c r="Z238" s="159">
        <f t="shared" si="26"/>
        <v>1361.8400000000001</v>
      </c>
      <c r="AA238" s="159">
        <f t="shared" si="26"/>
        <v>1426.8400000000001</v>
      </c>
      <c r="AB238" s="159">
        <f t="shared" si="26"/>
        <v>1448.8400000000001</v>
      </c>
      <c r="AC238" s="159">
        <f t="shared" si="26"/>
        <v>1535.84</v>
      </c>
      <c r="AD238" s="159">
        <f t="shared" si="26"/>
        <v>1594.84</v>
      </c>
      <c r="AE238" s="159">
        <f t="shared" si="26"/>
        <v>1596.84</v>
      </c>
      <c r="AF238" s="159">
        <f t="shared" si="26"/>
        <v>1555.84</v>
      </c>
      <c r="AG238" s="159">
        <f t="shared" si="26"/>
        <v>1507.74</v>
      </c>
      <c r="AH238" s="159">
        <f t="shared" si="26"/>
        <v>1406.74</v>
      </c>
      <c r="AI238" s="159">
        <f t="shared" si="26"/>
        <v>1303.04</v>
      </c>
      <c r="AJ238" s="159">
        <f t="shared" si="26"/>
        <v>1313.3400000000001</v>
      </c>
      <c r="AK238" s="159">
        <f t="shared" si="26"/>
        <v>1320.04</v>
      </c>
      <c r="AL238" s="159">
        <f t="shared" si="26"/>
        <v>1353.44</v>
      </c>
      <c r="AM238" s="159">
        <f t="shared" si="26"/>
        <v>1375.3400000000001</v>
      </c>
      <c r="AN238" s="159">
        <f t="shared" si="26"/>
        <v>1428.1399999999999</v>
      </c>
      <c r="AO238" s="159">
        <f t="shared" si="26"/>
        <v>1575.04</v>
      </c>
      <c r="AP238" s="159">
        <f t="shared" si="26"/>
        <v>1719.14</v>
      </c>
      <c r="AQ238" s="159">
        <f t="shared" si="26"/>
        <v>1681.8400000000001</v>
      </c>
      <c r="AR238" s="159">
        <f t="shared" si="26"/>
        <v>1671.94</v>
      </c>
      <c r="AS238" s="159">
        <f t="shared" si="26"/>
        <v>1626.8400000000001</v>
      </c>
      <c r="AT238" s="159">
        <f t="shared" si="26"/>
        <v>1557.24</v>
      </c>
      <c r="AU238" s="159">
        <f t="shared" si="26"/>
        <v>1487.24</v>
      </c>
      <c r="AV238" s="159">
        <f t="shared" si="26"/>
        <v>1397.24</v>
      </c>
      <c r="AW238" s="159">
        <f t="shared" si="26"/>
        <v>1335.24</v>
      </c>
      <c r="AX238" s="159">
        <f t="shared" si="26"/>
        <v>1298.94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27">C223</f>
        <v>0.64</v>
      </c>
      <c r="C259" s="162">
        <f t="shared" si="27"/>
        <v>0.64</v>
      </c>
      <c r="D259" s="162">
        <f t="shared" si="27"/>
        <v>0.64</v>
      </c>
      <c r="E259" s="162">
        <f t="shared" si="27"/>
        <v>0.64</v>
      </c>
      <c r="F259" s="162">
        <f t="shared" si="27"/>
        <v>0.64</v>
      </c>
      <c r="G259" s="162">
        <f t="shared" si="27"/>
        <v>0.64</v>
      </c>
      <c r="H259" s="162">
        <f t="shared" si="27"/>
        <v>0.64</v>
      </c>
      <c r="I259" s="162">
        <f t="shared" si="27"/>
        <v>0.64</v>
      </c>
      <c r="J259" s="162">
        <f t="shared" si="27"/>
        <v>0.64</v>
      </c>
      <c r="K259" s="162">
        <f t="shared" si="27"/>
        <v>0.64</v>
      </c>
      <c r="L259" s="162">
        <f t="shared" si="27"/>
        <v>0.64</v>
      </c>
      <c r="M259" s="162">
        <f t="shared" si="27"/>
        <v>0.64</v>
      </c>
      <c r="N259" s="162">
        <f t="shared" si="27"/>
        <v>0.64</v>
      </c>
      <c r="O259" s="162">
        <f t="shared" si="27"/>
        <v>0.64</v>
      </c>
      <c r="P259" s="162">
        <f t="shared" si="27"/>
        <v>0</v>
      </c>
      <c r="Q259" s="162">
        <f t="shared" si="27"/>
        <v>0</v>
      </c>
      <c r="R259" s="162">
        <f t="shared" si="27"/>
        <v>0</v>
      </c>
      <c r="S259" s="162">
        <f t="shared" si="27"/>
        <v>0</v>
      </c>
      <c r="T259" s="162">
        <f t="shared" si="27"/>
        <v>0</v>
      </c>
      <c r="U259" s="162">
        <f t="shared" si="27"/>
        <v>0</v>
      </c>
      <c r="V259" s="162">
        <f t="shared" si="27"/>
        <v>0</v>
      </c>
      <c r="W259" s="162">
        <f t="shared" si="27"/>
        <v>0</v>
      </c>
      <c r="X259" s="162">
        <f t="shared" si="27"/>
        <v>0</v>
      </c>
      <c r="Y259" s="162">
        <f t="shared" si="27"/>
        <v>0</v>
      </c>
      <c r="Z259" s="162">
        <f t="shared" si="27"/>
        <v>0</v>
      </c>
      <c r="AA259" s="162">
        <f t="shared" si="27"/>
        <v>0</v>
      </c>
      <c r="AB259" s="162">
        <f t="shared" si="27"/>
        <v>0</v>
      </c>
      <c r="AC259" s="162">
        <f t="shared" si="27"/>
        <v>0</v>
      </c>
      <c r="AD259" s="162">
        <f t="shared" si="27"/>
        <v>0</v>
      </c>
      <c r="AE259" s="162">
        <f t="shared" si="27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28">IF(B227&lt;100,"",B227-520)</f>
        <v/>
      </c>
      <c r="C260" s="163" t="str">
        <f t="shared" si="28"/>
        <v/>
      </c>
      <c r="D260" s="163" t="str">
        <f t="shared" si="28"/>
        <v/>
      </c>
      <c r="E260" s="163" t="str">
        <f t="shared" si="28"/>
        <v/>
      </c>
      <c r="F260" s="163" t="str">
        <f t="shared" si="28"/>
        <v/>
      </c>
      <c r="G260" s="163" t="str">
        <f t="shared" si="28"/>
        <v/>
      </c>
      <c r="H260" s="163" t="str">
        <f t="shared" si="28"/>
        <v/>
      </c>
      <c r="I260" s="163" t="str">
        <f t="shared" si="28"/>
        <v/>
      </c>
      <c r="J260" s="163" t="str">
        <f t="shared" si="28"/>
        <v/>
      </c>
      <c r="K260" s="163" t="str">
        <f t="shared" si="28"/>
        <v/>
      </c>
      <c r="L260" s="163" t="str">
        <f t="shared" si="28"/>
        <v/>
      </c>
      <c r="M260" s="163" t="str">
        <f t="shared" si="28"/>
        <v/>
      </c>
      <c r="N260" s="163" t="str">
        <f t="shared" si="28"/>
        <v/>
      </c>
      <c r="O260" s="163" t="str">
        <f t="shared" si="28"/>
        <v/>
      </c>
      <c r="P260" s="163" t="str">
        <f t="shared" si="28"/>
        <v/>
      </c>
      <c r="Q260" s="163" t="str">
        <f t="shared" si="28"/>
        <v/>
      </c>
      <c r="R260" s="163" t="str">
        <f t="shared" si="28"/>
        <v/>
      </c>
      <c r="S260" s="163" t="str">
        <f t="shared" si="28"/>
        <v/>
      </c>
      <c r="T260" s="163" t="str">
        <f t="shared" si="28"/>
        <v/>
      </c>
      <c r="U260" s="163" t="str">
        <f t="shared" si="28"/>
        <v/>
      </c>
      <c r="V260" s="163" t="str">
        <f t="shared" si="28"/>
        <v/>
      </c>
      <c r="W260" s="163" t="str">
        <f t="shared" si="28"/>
        <v/>
      </c>
      <c r="X260" s="163" t="str">
        <f t="shared" si="28"/>
        <v/>
      </c>
      <c r="Y260" s="163" t="str">
        <f t="shared" si="28"/>
        <v/>
      </c>
      <c r="Z260" s="163" t="str">
        <f t="shared" si="28"/>
        <v/>
      </c>
      <c r="AA260" s="163" t="str">
        <f t="shared" si="28"/>
        <v/>
      </c>
      <c r="AB260" s="163" t="str">
        <f t="shared" si="28"/>
        <v/>
      </c>
      <c r="AC260" s="163" t="str">
        <f t="shared" si="28"/>
        <v/>
      </c>
      <c r="AD260" s="163" t="str">
        <f t="shared" si="28"/>
        <v/>
      </c>
      <c r="AE260" s="163" t="str">
        <f t="shared" si="28"/>
        <v/>
      </c>
      <c r="AF260" s="163" t="str">
        <f t="shared" si="28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29">IF(B228&lt;100,"",B228-620)</f>
        <v/>
      </c>
      <c r="C261" s="163" t="str">
        <f t="shared" si="29"/>
        <v/>
      </c>
      <c r="D261" s="163" t="str">
        <f t="shared" si="29"/>
        <v/>
      </c>
      <c r="E261" s="163" t="str">
        <f t="shared" si="29"/>
        <v/>
      </c>
      <c r="F261" s="163" t="str">
        <f t="shared" si="29"/>
        <v/>
      </c>
      <c r="G261" s="163" t="str">
        <f t="shared" si="29"/>
        <v/>
      </c>
      <c r="H261" s="163" t="str">
        <f t="shared" si="29"/>
        <v/>
      </c>
      <c r="I261" s="163" t="str">
        <f t="shared" si="29"/>
        <v/>
      </c>
      <c r="J261" s="163" t="str">
        <f t="shared" si="29"/>
        <v/>
      </c>
      <c r="K261" s="163" t="str">
        <f t="shared" si="29"/>
        <v/>
      </c>
      <c r="L261" s="163" t="str">
        <f t="shared" si="29"/>
        <v/>
      </c>
      <c r="M261" s="163" t="str">
        <f t="shared" si="29"/>
        <v/>
      </c>
      <c r="N261" s="163" t="str">
        <f t="shared" si="29"/>
        <v/>
      </c>
      <c r="O261" s="163" t="str">
        <f t="shared" si="29"/>
        <v/>
      </c>
      <c r="P261" s="163" t="str">
        <f t="shared" si="29"/>
        <v/>
      </c>
      <c r="Q261" s="163" t="str">
        <f t="shared" si="29"/>
        <v/>
      </c>
      <c r="R261" s="163" t="str">
        <f t="shared" si="29"/>
        <v/>
      </c>
      <c r="S261" s="163" t="str">
        <f t="shared" si="29"/>
        <v/>
      </c>
      <c r="T261" s="163" t="str">
        <f t="shared" si="29"/>
        <v/>
      </c>
      <c r="U261" s="163" t="str">
        <f t="shared" si="29"/>
        <v/>
      </c>
      <c r="V261" s="163" t="str">
        <f t="shared" si="29"/>
        <v/>
      </c>
      <c r="W261" s="163" t="str">
        <f t="shared" si="29"/>
        <v/>
      </c>
      <c r="X261" s="163" t="str">
        <f t="shared" si="29"/>
        <v/>
      </c>
      <c r="Y261" s="163" t="str">
        <f t="shared" si="29"/>
        <v/>
      </c>
      <c r="Z261" s="163" t="str">
        <f t="shared" si="29"/>
        <v/>
      </c>
      <c r="AA261" s="163" t="str">
        <f t="shared" si="29"/>
        <v/>
      </c>
      <c r="AB261" s="163" t="str">
        <f t="shared" si="29"/>
        <v/>
      </c>
      <c r="AC261" s="163" t="str">
        <f t="shared" si="29"/>
        <v/>
      </c>
      <c r="AD261" s="163" t="str">
        <f t="shared" si="29"/>
        <v/>
      </c>
      <c r="AE261" s="163" t="str">
        <f t="shared" si="29"/>
        <v/>
      </c>
      <c r="AF261" s="163" t="str">
        <f t="shared" si="29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0">IF(B229&lt;100,"",B229-330)</f>
        <v/>
      </c>
      <c r="C262" s="163" t="str">
        <f t="shared" si="30"/>
        <v/>
      </c>
      <c r="D262" s="163" t="str">
        <f t="shared" si="30"/>
        <v/>
      </c>
      <c r="E262" s="163" t="str">
        <f t="shared" si="30"/>
        <v/>
      </c>
      <c r="F262" s="163" t="str">
        <f t="shared" si="30"/>
        <v/>
      </c>
      <c r="G262" s="163" t="str">
        <f t="shared" si="30"/>
        <v/>
      </c>
      <c r="H262" s="163" t="str">
        <f t="shared" si="30"/>
        <v/>
      </c>
      <c r="I262" s="163" t="str">
        <f t="shared" si="30"/>
        <v/>
      </c>
      <c r="J262" s="163" t="str">
        <f t="shared" si="30"/>
        <v/>
      </c>
      <c r="K262" s="163" t="str">
        <f t="shared" si="30"/>
        <v/>
      </c>
      <c r="L262" s="163" t="str">
        <f t="shared" si="30"/>
        <v/>
      </c>
      <c r="M262" s="163" t="str">
        <f t="shared" si="30"/>
        <v/>
      </c>
      <c r="N262" s="163" t="str">
        <f t="shared" si="30"/>
        <v/>
      </c>
      <c r="O262" s="163" t="str">
        <f t="shared" si="30"/>
        <v/>
      </c>
      <c r="P262" s="163" t="str">
        <f t="shared" si="30"/>
        <v/>
      </c>
      <c r="Q262" s="163" t="str">
        <f t="shared" si="30"/>
        <v/>
      </c>
      <c r="R262" s="163" t="str">
        <f t="shared" si="30"/>
        <v/>
      </c>
      <c r="S262" s="163" t="str">
        <f t="shared" si="30"/>
        <v/>
      </c>
      <c r="T262" s="163" t="str">
        <f t="shared" si="30"/>
        <v/>
      </c>
      <c r="U262" s="163" t="str">
        <f t="shared" si="30"/>
        <v/>
      </c>
      <c r="V262" s="163" t="str">
        <f t="shared" si="30"/>
        <v/>
      </c>
      <c r="W262" s="163" t="str">
        <f t="shared" si="30"/>
        <v/>
      </c>
      <c r="X262" s="163" t="str">
        <f t="shared" si="30"/>
        <v/>
      </c>
      <c r="Y262" s="163" t="str">
        <f t="shared" si="30"/>
        <v/>
      </c>
      <c r="Z262" s="163" t="str">
        <f t="shared" si="30"/>
        <v/>
      </c>
      <c r="AA262" s="163" t="str">
        <f t="shared" si="30"/>
        <v/>
      </c>
      <c r="AB262" s="163" t="str">
        <f t="shared" si="30"/>
        <v/>
      </c>
      <c r="AC262" s="163" t="str">
        <f t="shared" si="30"/>
        <v/>
      </c>
      <c r="AD262" s="163" t="str">
        <f t="shared" si="30"/>
        <v/>
      </c>
      <c r="AE262" s="163" t="str">
        <f t="shared" si="30"/>
        <v/>
      </c>
      <c r="AF262" s="163" t="str">
        <f t="shared" si="30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1">IF(B230&lt;100,"",B230-1500)</f>
        <v/>
      </c>
      <c r="C263" s="163" t="str">
        <f t="shared" si="31"/>
        <v/>
      </c>
      <c r="D263" s="163" t="str">
        <f t="shared" si="31"/>
        <v/>
      </c>
      <c r="E263" s="163" t="str">
        <f t="shared" si="31"/>
        <v/>
      </c>
      <c r="F263" s="163" t="str">
        <f t="shared" si="31"/>
        <v/>
      </c>
      <c r="G263" s="163" t="str">
        <f t="shared" si="31"/>
        <v/>
      </c>
      <c r="H263" s="163" t="str">
        <f t="shared" si="31"/>
        <v/>
      </c>
      <c r="I263" s="163" t="str">
        <f t="shared" si="31"/>
        <v/>
      </c>
      <c r="J263" s="163" t="str">
        <f t="shared" si="31"/>
        <v/>
      </c>
      <c r="K263" s="163" t="str">
        <f t="shared" si="31"/>
        <v/>
      </c>
      <c r="L263" s="163" t="str">
        <f t="shared" si="31"/>
        <v/>
      </c>
      <c r="M263" s="163" t="str">
        <f t="shared" si="31"/>
        <v/>
      </c>
      <c r="N263" s="163" t="str">
        <f t="shared" si="31"/>
        <v/>
      </c>
      <c r="O263" s="163" t="str">
        <f t="shared" si="31"/>
        <v/>
      </c>
      <c r="P263" s="163" t="str">
        <f t="shared" si="31"/>
        <v/>
      </c>
      <c r="Q263" s="163" t="str">
        <f t="shared" si="31"/>
        <v/>
      </c>
      <c r="R263" s="163" t="str">
        <f t="shared" si="31"/>
        <v/>
      </c>
      <c r="S263" s="163" t="str">
        <f t="shared" si="31"/>
        <v/>
      </c>
      <c r="T263" s="163" t="str">
        <f t="shared" si="31"/>
        <v/>
      </c>
      <c r="U263" s="163" t="str">
        <f t="shared" si="31"/>
        <v/>
      </c>
      <c r="V263" s="163" t="str">
        <f t="shared" si="31"/>
        <v/>
      </c>
      <c r="W263" s="163" t="str">
        <f t="shared" si="31"/>
        <v/>
      </c>
      <c r="X263" s="163" t="str">
        <f t="shared" si="31"/>
        <v/>
      </c>
      <c r="Y263" s="163" t="str">
        <f t="shared" si="31"/>
        <v/>
      </c>
      <c r="Z263" s="163" t="str">
        <f t="shared" si="31"/>
        <v/>
      </c>
      <c r="AA263" s="163" t="str">
        <f t="shared" si="31"/>
        <v/>
      </c>
      <c r="AB263" s="163" t="str">
        <f t="shared" si="31"/>
        <v/>
      </c>
      <c r="AC263" s="163" t="str">
        <f t="shared" si="31"/>
        <v/>
      </c>
      <c r="AD263" s="163" t="str">
        <f t="shared" si="31"/>
        <v/>
      </c>
      <c r="AE263" s="163" t="str">
        <f t="shared" si="31"/>
        <v/>
      </c>
      <c r="AF263" s="163" t="str">
        <f t="shared" si="31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X11:AF11 B16:AF16 B20:AF23">
    <cfRule type="expression" dxfId="4256" priority="244">
      <formula>B$9&gt;=20/24</formula>
    </cfRule>
    <cfRule type="expression" dxfId="4255" priority="245">
      <formula>AND(B$9&gt;=14/24,B$9&lt;20/24)</formula>
    </cfRule>
    <cfRule type="expression" dxfId="4254" priority="246">
      <formula>AND(B$9&gt;=8/24,B$9&lt;14/24)</formula>
    </cfRule>
    <cfRule type="expression" dxfId="4253" priority="247">
      <formula>B$9&lt;8/24</formula>
    </cfRule>
  </conditionalFormatting>
  <conditionalFormatting sqref="AL4:AL6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4252" priority="239">
      <formula>S$9&gt;=20/24</formula>
    </cfRule>
    <cfRule type="expression" dxfId="4251" priority="240">
      <formula>AND(S$9&gt;=14/24,S$9&lt;20/24)</formula>
    </cfRule>
    <cfRule type="expression" dxfId="4250" priority="241">
      <formula>AND(S$9&gt;=8/24,S$9&lt;14/24)</formula>
    </cfRule>
    <cfRule type="expression" dxfId="4249" priority="242">
      <formula>S$9&lt;8/24</formula>
    </cfRule>
  </conditionalFormatting>
  <conditionalFormatting sqref="AG57 B12:W16 S39:AF39 X11:AF16 B18:AF18 B20:AF23 B37:AF37">
    <cfRule type="expression" dxfId="4248" priority="238">
      <formula>B11&gt;$AG11</formula>
    </cfRule>
  </conditionalFormatting>
  <conditionalFormatting sqref="A91:A101 A11:A14 A51:A78 A87:A89 A194:A224 A38:A49 A110:A181 A34:A35 A83:A85 A80:A81 A103:A105 A31:A32 A18:A29 A16">
    <cfRule type="expression" dxfId="4247" priority="237">
      <formula>$AH11=0</formula>
    </cfRule>
  </conditionalFormatting>
  <conditionalFormatting sqref="A106">
    <cfRule type="expression" dxfId="4246" priority="236">
      <formula>$AH106=0</formula>
    </cfRule>
  </conditionalFormatting>
  <conditionalFormatting sqref="AL35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4245" priority="234">
      <formula>$AH37=0</formula>
    </cfRule>
  </conditionalFormatting>
  <conditionalFormatting sqref="A90">
    <cfRule type="expression" dxfId="4244" priority="233">
      <formula>$AH90=0</formula>
    </cfRule>
  </conditionalFormatting>
  <conditionalFormatting sqref="A15">
    <cfRule type="expression" dxfId="4243" priority="232">
      <formula>$AH15=0</formula>
    </cfRule>
  </conditionalFormatting>
  <conditionalFormatting sqref="A188:A193">
    <cfRule type="expression" dxfId="4242" priority="231">
      <formula>$AH188=0</formula>
    </cfRule>
  </conditionalFormatting>
  <conditionalFormatting sqref="A182:A187">
    <cfRule type="expression" dxfId="4241" priority="230">
      <formula>$AH182=0</formula>
    </cfRule>
  </conditionalFormatting>
  <conditionalFormatting sqref="A50">
    <cfRule type="expression" dxfId="4240" priority="229">
      <formula>$AH50=0</formula>
    </cfRule>
  </conditionalFormatting>
  <conditionalFormatting sqref="A86">
    <cfRule type="expression" dxfId="4239" priority="228">
      <formula>$AH86=0</formula>
    </cfRule>
  </conditionalFormatting>
  <conditionalFormatting sqref="C91:AF91">
    <cfRule type="expression" dxfId="4238" priority="224">
      <formula>C$9&gt;=20/24</formula>
    </cfRule>
    <cfRule type="expression" dxfId="4237" priority="225">
      <formula>AND(C$9&gt;=14/24,C$9&lt;20/24)</formula>
    </cfRule>
    <cfRule type="expression" dxfId="4236" priority="226">
      <formula>AND(C$9&gt;=8/24,C$9&lt;14/24)</formula>
    </cfRule>
    <cfRule type="expression" dxfId="4235" priority="227">
      <formula>C$9&lt;8/24</formula>
    </cfRule>
  </conditionalFormatting>
  <conditionalFormatting sqref="AL36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234" priority="250">
      <formula>C$9&gt;=20/24</formula>
    </cfRule>
    <cfRule type="expression" dxfId="4233" priority="251">
      <formula>AND(C$9&gt;=14/24,C$9&lt;20/24)</formula>
    </cfRule>
    <cfRule type="expression" dxfId="4232" priority="252">
      <formula>AND(C$9&gt;=8/24,C$9&lt;14/24)</formula>
    </cfRule>
    <cfRule type="expression" dxfId="4231" priority="253">
      <formula>C$9&lt;8/24</formula>
    </cfRule>
  </conditionalFormatting>
  <conditionalFormatting sqref="A225">
    <cfRule type="expression" dxfId="4230" priority="254">
      <formula>$AH225=0</formula>
    </cfRule>
  </conditionalFormatting>
  <conditionalFormatting sqref="AG237">
    <cfRule type="expression" dxfId="4229" priority="255">
      <formula>B$9&gt;=20/24</formula>
    </cfRule>
    <cfRule type="expression" dxfId="4228" priority="256">
      <formula>AND(B$9&gt;=14/24,B$9&lt;20/24)</formula>
    </cfRule>
    <cfRule type="expression" dxfId="4227" priority="257">
      <formula>AND(B$9&gt;=8/24,B$9&lt;14/24)</formula>
    </cfRule>
    <cfRule type="expression" dxfId="4226" priority="258">
      <formula>B$9&lt;8/24</formula>
    </cfRule>
  </conditionalFormatting>
  <conditionalFormatting sqref="S8">
    <cfRule type="expression" dxfId="4225" priority="219">
      <formula>U$9&gt;=20/24</formula>
    </cfRule>
    <cfRule type="expression" dxfId="4224" priority="220">
      <formula>AND(U$9&gt;=14/24,U$9&lt;20/24)</formula>
    </cfRule>
    <cfRule type="expression" dxfId="4223" priority="221">
      <formula>AND(U$9&gt;=8/24,U$9&lt;14/24)</formula>
    </cfRule>
    <cfRule type="expression" dxfId="4222" priority="222">
      <formula>U$9&lt;8/24</formula>
    </cfRule>
  </conditionalFormatting>
  <conditionalFormatting sqref="AB8">
    <cfRule type="expression" dxfId="4221" priority="215">
      <formula>AD$9&gt;=20/24</formula>
    </cfRule>
    <cfRule type="expression" dxfId="4220" priority="216">
      <formula>AND(AD$9&gt;=14/24,AD$9&lt;20/24)</formula>
    </cfRule>
    <cfRule type="expression" dxfId="4219" priority="217">
      <formula>AND(AD$9&gt;=8/24,AD$9&lt;14/24)</formula>
    </cfRule>
    <cfRule type="expression" dxfId="4218" priority="218">
      <formula>AD$9&lt;8/24</formula>
    </cfRule>
  </conditionalFormatting>
  <conditionalFormatting sqref="AH237:AX237">
    <cfRule type="expression" dxfId="4217" priority="259">
      <formula>AG$9&gt;=20/24</formula>
    </cfRule>
    <cfRule type="expression" dxfId="4216" priority="260">
      <formula>AND(AG$9&gt;=14/24,AG$9&lt;20/24)</formula>
    </cfRule>
    <cfRule type="expression" dxfId="4215" priority="261">
      <formula>AND(AG$9&gt;=8/24,AG$9&lt;14/24)</formula>
    </cfRule>
    <cfRule type="expression" dxfId="4214" priority="262">
      <formula>AG$9&lt;8/24</formula>
    </cfRule>
  </conditionalFormatting>
  <conditionalFormatting sqref="T237">
    <cfRule type="expression" dxfId="4213" priority="263">
      <formula>AX$9&gt;=20/24</formula>
    </cfRule>
    <cfRule type="expression" dxfId="4212" priority="264">
      <formula>AND(AX$9&gt;=14/24,AX$9&lt;20/24)</formula>
    </cfRule>
    <cfRule type="expression" dxfId="4211" priority="265">
      <formula>AND(AX$9&gt;=8/24,AX$9&lt;14/24)</formula>
    </cfRule>
    <cfRule type="expression" dxfId="4210" priority="266">
      <formula>AX$9&lt;8/24</formula>
    </cfRule>
  </conditionalFormatting>
  <conditionalFormatting sqref="A107:A108">
    <cfRule type="expression" dxfId="4209" priority="214">
      <formula>$AH107=0</formula>
    </cfRule>
  </conditionalFormatting>
  <conditionalFormatting sqref="G46:O47 T46:AF47 P63:AF63">
    <cfRule type="expression" dxfId="4208" priority="210">
      <formula>G$9&gt;=20/24</formula>
    </cfRule>
    <cfRule type="expression" dxfId="4207" priority="211">
      <formula>AND(G$9&gt;=14/24,G$9&lt;20/24)</formula>
    </cfRule>
    <cfRule type="expression" dxfId="4206" priority="212">
      <formula>AND(G$9&gt;=8/24,G$9&lt;14/24)</formula>
    </cfRule>
    <cfRule type="expression" dxfId="4205" priority="213">
      <formula>G$9&lt;8/24</formula>
    </cfRule>
  </conditionalFormatting>
  <conditionalFormatting sqref="G45:O45 T45:AF45">
    <cfRule type="expression" dxfId="4204" priority="206">
      <formula>G$9&gt;=20/24</formula>
    </cfRule>
    <cfRule type="expression" dxfId="4203" priority="207">
      <formula>AND(G$9&gt;=14/24,G$9&lt;20/24)</formula>
    </cfRule>
    <cfRule type="expression" dxfId="4202" priority="208">
      <formula>AND(G$9&gt;=8/24,G$9&lt;14/24)</formula>
    </cfRule>
    <cfRule type="expression" dxfId="4201" priority="209">
      <formula>G$9&lt;8/24</formula>
    </cfRule>
  </conditionalFormatting>
  <conditionalFormatting sqref="G45:O47 T45:AF47">
    <cfRule type="expression" dxfId="4200" priority="205">
      <formula>G45&gt;$AG45</formula>
    </cfRule>
  </conditionalFormatting>
  <conditionalFormatting sqref="C88:AF88 P64:AA65 M39:R39 U66:AA73 C75:AF78 S59:AF61 X12:AF14 T38:AF38 X25:AF27 X29:AF29 X18:AF18 X31:AF34 AB64:AF73 M92:AF98">
    <cfRule type="expression" dxfId="4199" priority="201">
      <formula>C$9&gt;=20/24</formula>
    </cfRule>
    <cfRule type="expression" dxfId="4198" priority="202">
      <formula>AND(C$9&gt;=14/24,C$9&lt;20/24)</formula>
    </cfRule>
    <cfRule type="expression" dxfId="4197" priority="203">
      <formula>AND(C$9&gt;=8/24,C$9&lt;14/24)</formula>
    </cfRule>
    <cfRule type="expression" dxfId="4196" priority="204">
      <formula>C$9&lt;8/24</formula>
    </cfRule>
  </conditionalFormatting>
  <conditionalFormatting sqref="X35:AF35">
    <cfRule type="expression" dxfId="4195" priority="197">
      <formula>X$9&gt;=20/24</formula>
    </cfRule>
    <cfRule type="expression" dxfId="4194" priority="198">
      <formula>AND(X$9&gt;=14/24,X$9&lt;20/24)</formula>
    </cfRule>
    <cfRule type="expression" dxfId="4193" priority="199">
      <formula>AND(X$9&gt;=8/24,X$9&lt;14/24)</formula>
    </cfRule>
    <cfRule type="expression" dxfId="4192" priority="200">
      <formula>X$9&lt;8/24</formula>
    </cfRule>
  </conditionalFormatting>
  <conditionalFormatting sqref="C57:AF57 G48:O48 M39:R39 AB48:AF49 S59:AF61 T38:AF38 X25:AF29 X31:AF35">
    <cfRule type="expression" dxfId="4191" priority="196">
      <formula>C25&gt;$AG25</formula>
    </cfRule>
  </conditionalFormatting>
  <conditionalFormatting sqref="X37:AF37">
    <cfRule type="expression" dxfId="4190" priority="192">
      <formula>X$9&gt;=20/24</formula>
    </cfRule>
    <cfRule type="expression" dxfId="4189" priority="193">
      <formula>AND(X$9&gt;=14/24,X$9&lt;20/24)</formula>
    </cfRule>
    <cfRule type="expression" dxfId="4188" priority="194">
      <formula>AND(X$9&gt;=8/24,X$9&lt;14/24)</formula>
    </cfRule>
    <cfRule type="expression" dxfId="4187" priority="195">
      <formula>X$9&lt;8/24</formula>
    </cfRule>
  </conditionalFormatting>
  <conditionalFormatting sqref="X15:AF15">
    <cfRule type="expression" dxfId="4186" priority="188">
      <formula>X$9&gt;=20/24</formula>
    </cfRule>
    <cfRule type="expression" dxfId="4185" priority="189">
      <formula>AND(X$9&gt;=14/24,X$9&lt;20/24)</formula>
    </cfRule>
    <cfRule type="expression" dxfId="4184" priority="190">
      <formula>AND(X$9&gt;=8/24,X$9&lt;14/24)</formula>
    </cfRule>
    <cfRule type="expression" dxfId="4183" priority="191">
      <formula>X$9&lt;8/24</formula>
    </cfRule>
  </conditionalFormatting>
  <conditionalFormatting sqref="X36:AF36">
    <cfRule type="expression" dxfId="4182" priority="184">
      <formula>X$9&gt;=20/24</formula>
    </cfRule>
    <cfRule type="expression" dxfId="4181" priority="185">
      <formula>AND(X$9&gt;=14/24,X$9&lt;20/24)</formula>
    </cfRule>
    <cfRule type="expression" dxfId="4180" priority="186">
      <formula>AND(X$9&gt;=8/24,X$9&lt;14/24)</formula>
    </cfRule>
    <cfRule type="expression" dxfId="4179" priority="187">
      <formula>X$9&lt;8/24</formula>
    </cfRule>
  </conditionalFormatting>
  <conditionalFormatting sqref="X36:AF36">
    <cfRule type="expression" dxfId="4178" priority="183">
      <formula>X36&gt;$AG36</formula>
    </cfRule>
  </conditionalFormatting>
  <conditionalFormatting sqref="V48:AA49">
    <cfRule type="expression" dxfId="4177" priority="179">
      <formula>V$9&gt;=20/24</formula>
    </cfRule>
    <cfRule type="expression" dxfId="4176" priority="180">
      <formula>AND(V$9&gt;=14/24,V$9&lt;20/24)</formula>
    </cfRule>
    <cfRule type="expression" dxfId="4175" priority="181">
      <formula>AND(V$9&gt;=8/24,V$9&lt;14/24)</formula>
    </cfRule>
    <cfRule type="expression" dxfId="4174" priority="182">
      <formula>V$9&lt;8/24</formula>
    </cfRule>
  </conditionalFormatting>
  <conditionalFormatting sqref="V48:AA49">
    <cfRule type="expression" dxfId="4173" priority="178">
      <formula>V48&gt;$AG48</formula>
    </cfRule>
  </conditionalFormatting>
  <conditionalFormatting sqref="R50:R51 P45:R49 S45:S51 T48:U51 V50:AF51">
    <cfRule type="expression" dxfId="4172" priority="174">
      <formula>P$9&gt;=20/24</formula>
    </cfRule>
    <cfRule type="expression" dxfId="4171" priority="175">
      <formula>AND(P$9&gt;=14/24,P$9&lt;20/24)</formula>
    </cfRule>
    <cfRule type="expression" dxfId="4170" priority="176">
      <formula>AND(P$9&gt;=8/24,P$9&lt;14/24)</formula>
    </cfRule>
    <cfRule type="expression" dxfId="4169" priority="177">
      <formula>P$9&lt;8/24</formula>
    </cfRule>
  </conditionalFormatting>
  <conditionalFormatting sqref="R50:R51 P45:R49 S45:S51 T48:U51 V50:AF51">
    <cfRule type="expression" dxfId="4168" priority="173">
      <formula>P45&gt;$AG45</formula>
    </cfRule>
  </conditionalFormatting>
  <conditionalFormatting sqref="X28:AF28">
    <cfRule type="expression" dxfId="4167" priority="169">
      <formula>X$9&gt;=20/24</formula>
    </cfRule>
    <cfRule type="expression" dxfId="4166" priority="170">
      <formula>AND(X$9&gt;=14/24,X$9&lt;20/24)</formula>
    </cfRule>
    <cfRule type="expression" dxfId="4165" priority="171">
      <formula>AND(X$9&gt;=8/24,X$9&lt;14/24)</formula>
    </cfRule>
    <cfRule type="expression" dxfId="4164" priority="172">
      <formula>X$9&lt;8/24</formula>
    </cfRule>
  </conditionalFormatting>
  <conditionalFormatting sqref="X19:AF19 X24:AF24">
    <cfRule type="expression" dxfId="4163" priority="165">
      <formula>X$9&gt;=20/24</formula>
    </cfRule>
    <cfRule type="expression" dxfId="4162" priority="166">
      <formula>AND(X$9&gt;=14/24,X$9&lt;20/24)</formula>
    </cfRule>
    <cfRule type="expression" dxfId="4161" priority="167">
      <formula>AND(X$9&gt;=8/24,X$9&lt;14/24)</formula>
    </cfRule>
    <cfRule type="expression" dxfId="4160" priority="168">
      <formula>X$9&lt;8/24</formula>
    </cfRule>
  </conditionalFormatting>
  <conditionalFormatting sqref="X19:AF19 X24:AF24">
    <cfRule type="expression" dxfId="4159" priority="164">
      <formula>X19&gt;$AG19</formula>
    </cfRule>
  </conditionalFormatting>
  <conditionalFormatting sqref="B101 B80:AF80 B89:AF89 B103:B108 B11:W11">
    <cfRule type="expression" dxfId="4158" priority="146">
      <formula>B$9&gt;=20/24</formula>
    </cfRule>
    <cfRule type="expression" dxfId="4157" priority="147">
      <formula>AND(B$9&gt;=14/24,B$9&lt;20/24)</formula>
    </cfRule>
    <cfRule type="expression" dxfId="4156" priority="148">
      <formula>AND(B$9&gt;=8/24,B$9&lt;14/24)</formula>
    </cfRule>
    <cfRule type="expression" dxfId="4155" priority="149">
      <formula>B$9&lt;8/24</formula>
    </cfRule>
  </conditionalFormatting>
  <conditionalFormatting sqref="B39:L39">
    <cfRule type="expression" dxfId="4154" priority="142">
      <formula>B$9&gt;=20/24</formula>
    </cfRule>
    <cfRule type="expression" dxfId="4153" priority="143">
      <formula>AND(B$9&gt;=14/24,B$9&lt;20/24)</formula>
    </cfRule>
    <cfRule type="expression" dxfId="4152" priority="144">
      <formula>AND(B$9&gt;=8/24,B$9&lt;14/24)</formula>
    </cfRule>
    <cfRule type="expression" dxfId="4151" priority="145">
      <formula>B$9&lt;8/24</formula>
    </cfRule>
  </conditionalFormatting>
  <conditionalFormatting sqref="B39:L39 B11:W11">
    <cfRule type="expression" dxfId="4150" priority="141">
      <formula>B11&gt;$AG11</formula>
    </cfRule>
  </conditionalFormatting>
  <conditionalFormatting sqref="B91">
    <cfRule type="expression" dxfId="4149" priority="137">
      <formula>B$9&gt;=20/24</formula>
    </cfRule>
    <cfRule type="expression" dxfId="4148" priority="138">
      <formula>AND(B$9&gt;=14/24,B$9&lt;20/24)</formula>
    </cfRule>
    <cfRule type="expression" dxfId="4147" priority="139">
      <formula>AND(B$9&gt;=8/24,B$9&lt;14/24)</formula>
    </cfRule>
    <cfRule type="expression" dxfId="4146" priority="140">
      <formula>B$9&lt;8/24</formula>
    </cfRule>
  </conditionalFormatting>
  <conditionalFormatting sqref="B46:F47 B63:O63 B38:S38">
    <cfRule type="expression" dxfId="4145" priority="133">
      <formula>B$9&gt;=20/24</formula>
    </cfRule>
    <cfRule type="expression" dxfId="4144" priority="134">
      <formula>AND(B$9&gt;=14/24,B$9&lt;20/24)</formula>
    </cfRule>
    <cfRule type="expression" dxfId="4143" priority="135">
      <formula>AND(B$9&gt;=8/24,B$9&lt;14/24)</formula>
    </cfRule>
    <cfRule type="expression" dxfId="4142" priority="136">
      <formula>B$9&lt;8/24</formula>
    </cfRule>
  </conditionalFormatting>
  <conditionalFormatting sqref="B45:F45">
    <cfRule type="expression" dxfId="4141" priority="129">
      <formula>B$9&gt;=20/24</formula>
    </cfRule>
    <cfRule type="expression" dxfId="4140" priority="130">
      <formula>AND(B$9&gt;=14/24,B$9&lt;20/24)</formula>
    </cfRule>
    <cfRule type="expression" dxfId="4139" priority="131">
      <formula>AND(B$9&gt;=8/24,B$9&lt;14/24)</formula>
    </cfRule>
    <cfRule type="expression" dxfId="4138" priority="132">
      <formula>B$9&lt;8/24</formula>
    </cfRule>
  </conditionalFormatting>
  <conditionalFormatting sqref="B45:F47 B38:S38">
    <cfRule type="expression" dxfId="4137" priority="128">
      <formula>B38&gt;$AG38</formula>
    </cfRule>
  </conditionalFormatting>
  <conditionalFormatting sqref="B59:B62 B75:B79 B81:AF81 B88 C62:AG62 C79:AG79 B90:AF90 B92:L98 B64:O73 C59:R61 P66:T73 B12:W14 B18:W18 B25:W27 B29:W29 B31:W34">
    <cfRule type="expression" dxfId="4136" priority="124">
      <formula>B$9&gt;=20/24</formula>
    </cfRule>
    <cfRule type="expression" dxfId="4135" priority="125">
      <formula>AND(B$9&gt;=14/24,B$9&lt;20/24)</formula>
    </cfRule>
    <cfRule type="expression" dxfId="4134" priority="126">
      <formula>AND(B$9&gt;=8/24,B$9&lt;14/24)</formula>
    </cfRule>
    <cfRule type="expression" dxfId="4133" priority="127">
      <formula>B$9&lt;8/24</formula>
    </cfRule>
  </conditionalFormatting>
  <conditionalFormatting sqref="B35:W35">
    <cfRule type="expression" dxfId="4132" priority="120">
      <formula>B$9&gt;=20/24</formula>
    </cfRule>
    <cfRule type="expression" dxfId="4131" priority="121">
      <formula>AND(B$9&gt;=14/24,B$9&lt;20/24)</formula>
    </cfRule>
    <cfRule type="expression" dxfId="4130" priority="122">
      <formula>AND(B$9&gt;=8/24,B$9&lt;14/24)</formula>
    </cfRule>
    <cfRule type="expression" dxfId="4129" priority="123">
      <formula>B$9&lt;8/24</formula>
    </cfRule>
  </conditionalFormatting>
  <conditionalFormatting sqref="B57:B62 B40:AG40 C58:AG58 C62:AG62 B48:F49 G49:O49 C59:R61 B25:W29 B31:W35">
    <cfRule type="expression" dxfId="4128" priority="119">
      <formula>B25&gt;$AG25</formula>
    </cfRule>
  </conditionalFormatting>
  <conditionalFormatting sqref="B37:W37">
    <cfRule type="expression" dxfId="4127" priority="115">
      <formula>B$9&gt;=20/24</formula>
    </cfRule>
    <cfRule type="expression" dxfId="4126" priority="116">
      <formula>AND(B$9&gt;=14/24,B$9&lt;20/24)</formula>
    </cfRule>
    <cfRule type="expression" dxfId="4125" priority="117">
      <formula>AND(B$9&gt;=8/24,B$9&lt;14/24)</formula>
    </cfRule>
    <cfRule type="expression" dxfId="4124" priority="118">
      <formula>B$9&lt;8/24</formula>
    </cfRule>
  </conditionalFormatting>
  <conditionalFormatting sqref="B15:W15">
    <cfRule type="expression" dxfId="4123" priority="111">
      <formula>B$9&gt;=20/24</formula>
    </cfRule>
    <cfRule type="expression" dxfId="4122" priority="112">
      <formula>AND(B$9&gt;=14/24,B$9&lt;20/24)</formula>
    </cfRule>
    <cfRule type="expression" dxfId="4121" priority="113">
      <formula>AND(B$9&gt;=8/24,B$9&lt;14/24)</formula>
    </cfRule>
    <cfRule type="expression" dxfId="4120" priority="114">
      <formula>B$9&lt;8/24</formula>
    </cfRule>
  </conditionalFormatting>
  <conditionalFormatting sqref="B36:W36">
    <cfRule type="expression" dxfId="4119" priority="107">
      <formula>B$9&gt;=20/24</formula>
    </cfRule>
    <cfRule type="expression" dxfId="4118" priority="108">
      <formula>AND(B$9&gt;=14/24,B$9&lt;20/24)</formula>
    </cfRule>
    <cfRule type="expression" dxfId="4117" priority="109">
      <formula>AND(B$9&gt;=8/24,B$9&lt;14/24)</formula>
    </cfRule>
    <cfRule type="expression" dxfId="4116" priority="110">
      <formula>B$9&lt;8/24</formula>
    </cfRule>
  </conditionalFormatting>
  <conditionalFormatting sqref="B36:W36">
    <cfRule type="expression" dxfId="4115" priority="106">
      <formula>B36&gt;$AG36</formula>
    </cfRule>
  </conditionalFormatting>
  <conditionalFormatting sqref="B50:Q56 R52:AF56">
    <cfRule type="expression" dxfId="4114" priority="102">
      <formula>B$9&gt;=20/24</formula>
    </cfRule>
    <cfRule type="expression" dxfId="4113" priority="103">
      <formula>AND(B$9&gt;=14/24,B$9&lt;20/24)</formula>
    </cfRule>
    <cfRule type="expression" dxfId="4112" priority="104">
      <formula>AND(B$9&gt;=8/24,B$9&lt;14/24)</formula>
    </cfRule>
    <cfRule type="expression" dxfId="4111" priority="105">
      <formula>B$9&lt;8/24</formula>
    </cfRule>
  </conditionalFormatting>
  <conditionalFormatting sqref="B50:Q56 R52:AF56">
    <cfRule type="expression" dxfId="4110" priority="101">
      <formula>B50&gt;$AG50</formula>
    </cfRule>
  </conditionalFormatting>
  <conditionalFormatting sqref="B28:W28">
    <cfRule type="expression" dxfId="4109" priority="97">
      <formula>B$9&gt;=20/24</formula>
    </cfRule>
    <cfRule type="expression" dxfId="4108" priority="98">
      <formula>AND(B$9&gt;=14/24,B$9&lt;20/24)</formula>
    </cfRule>
    <cfRule type="expression" dxfId="4107" priority="99">
      <formula>AND(B$9&gt;=8/24,B$9&lt;14/24)</formula>
    </cfRule>
    <cfRule type="expression" dxfId="4106" priority="100">
      <formula>B$9&lt;8/24</formula>
    </cfRule>
  </conditionalFormatting>
  <conditionalFormatting sqref="B24:W24 B19:W19">
    <cfRule type="expression" dxfId="4105" priority="93">
      <formula>B$9&gt;=20/24</formula>
    </cfRule>
    <cfRule type="expression" dxfId="4104" priority="94">
      <formula>AND(B$9&gt;=14/24,B$9&lt;20/24)</formula>
    </cfRule>
    <cfRule type="expression" dxfId="4103" priority="95">
      <formula>AND(B$9&gt;=8/24,B$9&lt;14/24)</formula>
    </cfRule>
    <cfRule type="expression" dxfId="4102" priority="96">
      <formula>B$9&lt;8/24</formula>
    </cfRule>
  </conditionalFormatting>
  <conditionalFormatting sqref="B24:W24 B19:W19">
    <cfRule type="expression" dxfId="4101" priority="92">
      <formula>B19&gt;$AG19</formula>
    </cfRule>
  </conditionalFormatting>
  <conditionalFormatting sqref="A36">
    <cfRule type="expression" dxfId="4100" priority="91">
      <formula>$AH36=0</formula>
    </cfRule>
  </conditionalFormatting>
  <conditionalFormatting sqref="B74:AF74">
    <cfRule type="expression" dxfId="4099" priority="87">
      <formula>B$9&gt;=20/24</formula>
    </cfRule>
    <cfRule type="expression" dxfId="4098" priority="88">
      <formula>AND(B$9&gt;=14/24,B$9&lt;20/24)</formula>
    </cfRule>
    <cfRule type="expression" dxfId="4097" priority="89">
      <formula>AND(B$9&gt;=8/24,B$9&lt;14/24)</formula>
    </cfRule>
    <cfRule type="expression" dxfId="4096" priority="90">
      <formula>B$9&lt;8/24</formula>
    </cfRule>
  </conditionalFormatting>
  <conditionalFormatting sqref="B83:AF87">
    <cfRule type="expression" dxfId="4095" priority="83">
      <formula>B$9&gt;=20/24</formula>
    </cfRule>
    <cfRule type="expression" dxfId="4094" priority="84">
      <formula>AND(B$9&gt;=14/24,B$9&lt;20/24)</formula>
    </cfRule>
    <cfRule type="expression" dxfId="4093" priority="85">
      <formula>AND(B$9&gt;=8/24,B$9&lt;14/24)</formula>
    </cfRule>
    <cfRule type="expression" dxfId="4092" priority="86">
      <formula>B$9&lt;8/24</formula>
    </cfRule>
  </conditionalFormatting>
  <conditionalFormatting sqref="AL37 AL34 AL18:AL29 AL7:AL16 AL31:AL32">
    <cfRule type="iconSet" priority="267">
      <iconSet iconSet="3TrafficLights2" reverse="1">
        <cfvo type="percent" val="0"/>
        <cfvo type="num" val="1"/>
        <cfvo type="num" val="1"/>
      </iconSet>
    </cfRule>
  </conditionalFormatting>
  <conditionalFormatting sqref="E41:M41 N41:AF43">
    <cfRule type="expression" dxfId="4091" priority="79">
      <formula>E$9&gt;=20/24</formula>
    </cfRule>
    <cfRule type="expression" dxfId="4090" priority="80">
      <formula>AND(E$9&gt;=14/24,E$9&lt;20/24)</formula>
    </cfRule>
    <cfRule type="expression" dxfId="4089" priority="81">
      <formula>AND(E$9&gt;=8/24,E$9&lt;14/24)</formula>
    </cfRule>
    <cfRule type="expression" dxfId="4088" priority="82">
      <formula>E$9&lt;8/24</formula>
    </cfRule>
  </conditionalFormatting>
  <conditionalFormatting sqref="E41:M41 N41:AF43">
    <cfRule type="expression" dxfId="4087" priority="78">
      <formula>E41&gt;$AG41</formula>
    </cfRule>
  </conditionalFormatting>
  <conditionalFormatting sqref="B41:B44 C44:AG44 C41:D43 E42:M43">
    <cfRule type="expression" dxfId="4086" priority="74">
      <formula>B$9&gt;=20/24</formula>
    </cfRule>
    <cfRule type="expression" dxfId="4085" priority="75">
      <formula>AND(B$9&gt;=14/24,B$9&lt;20/24)</formula>
    </cfRule>
    <cfRule type="expression" dxfId="4084" priority="76">
      <formula>AND(B$9&gt;=8/24,B$9&lt;14/24)</formula>
    </cfRule>
    <cfRule type="expression" dxfId="4083" priority="77">
      <formula>B$9&lt;8/24</formula>
    </cfRule>
  </conditionalFormatting>
  <conditionalFormatting sqref="B41:B44 C44:AG44 C41:D43 E42:M43">
    <cfRule type="expression" dxfId="4082" priority="73">
      <formula>B41&gt;$AG41</formula>
    </cfRule>
  </conditionalFormatting>
  <conditionalFormatting sqref="C99:AF99">
    <cfRule type="expression" dxfId="4081" priority="69">
      <formula>C$9&gt;=20/24</formula>
    </cfRule>
    <cfRule type="expression" dxfId="4080" priority="70">
      <formula>AND(C$9&gt;=14/24,C$9&lt;20/24)</formula>
    </cfRule>
    <cfRule type="expression" dxfId="4079" priority="71">
      <formula>AND(C$9&gt;=8/24,C$9&lt;14/24)</formula>
    </cfRule>
    <cfRule type="expression" dxfId="4078" priority="72">
      <formula>C$9&lt;8/24</formula>
    </cfRule>
  </conditionalFormatting>
  <conditionalFormatting sqref="B99">
    <cfRule type="expression" dxfId="4077" priority="65">
      <formula>B$9&gt;=20/24</formula>
    </cfRule>
    <cfRule type="expression" dxfId="4076" priority="66">
      <formula>AND(B$9&gt;=14/24,B$9&lt;20/24)</formula>
    </cfRule>
    <cfRule type="expression" dxfId="4075" priority="67">
      <formula>AND(B$9&gt;=8/24,B$9&lt;14/24)</formula>
    </cfRule>
    <cfRule type="expression" dxfId="4074" priority="68">
      <formula>B$9&lt;8/24</formula>
    </cfRule>
  </conditionalFormatting>
  <conditionalFormatting sqref="AL33">
    <cfRule type="iconSet" priority="64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4073" priority="59">
      <formula>$AH33=0</formula>
    </cfRule>
  </conditionalFormatting>
  <conditionalFormatting sqref="A82">
    <cfRule type="expression" dxfId="4072" priority="57">
      <formula>$AH82=0</formula>
    </cfRule>
  </conditionalFormatting>
  <conditionalFormatting sqref="A79">
    <cfRule type="expression" dxfId="4071" priority="58">
      <formula>$AH79=0</formula>
    </cfRule>
  </conditionalFormatting>
  <conditionalFormatting sqref="A109">
    <cfRule type="expression" dxfId="4070" priority="48">
      <formula>$AH109=0</formula>
    </cfRule>
  </conditionalFormatting>
  <conditionalFormatting sqref="C102:AF102">
    <cfRule type="expression" dxfId="4069" priority="44">
      <formula>C$9&gt;=20/24</formula>
    </cfRule>
    <cfRule type="expression" dxfId="4068" priority="45">
      <formula>AND(C$9&gt;=14/24,C$9&lt;20/24)</formula>
    </cfRule>
    <cfRule type="expression" dxfId="4067" priority="46">
      <formula>AND(C$9&gt;=8/24,C$9&lt;14/24)</formula>
    </cfRule>
    <cfRule type="expression" dxfId="4066" priority="47">
      <formula>C$9&lt;8/24</formula>
    </cfRule>
  </conditionalFormatting>
  <conditionalFormatting sqref="A102">
    <cfRule type="expression" dxfId="4065" priority="43">
      <formula>$AH102=0</formula>
    </cfRule>
  </conditionalFormatting>
  <conditionalFormatting sqref="B102">
    <cfRule type="expression" dxfId="4064" priority="39">
      <formula>B$9&gt;=20/24</formula>
    </cfRule>
    <cfRule type="expression" dxfId="4063" priority="40">
      <formula>AND(B$9&gt;=14/24,B$9&lt;20/24)</formula>
    </cfRule>
    <cfRule type="expression" dxfId="4062" priority="41">
      <formula>AND(B$9&gt;=8/24,B$9&lt;14/24)</formula>
    </cfRule>
    <cfRule type="expression" dxfId="4061" priority="42">
      <formula>B$9&lt;8/24</formula>
    </cfRule>
  </conditionalFormatting>
  <conditionalFormatting sqref="B17:AF17">
    <cfRule type="expression" dxfId="4060" priority="32">
      <formula>B17&gt;$AG17</formula>
    </cfRule>
  </conditionalFormatting>
  <conditionalFormatting sqref="A17">
    <cfRule type="expression" dxfId="4059" priority="31">
      <formula>$AH17=0</formula>
    </cfRule>
  </conditionalFormatting>
  <conditionalFormatting sqref="X17:AF17">
    <cfRule type="expression" dxfId="4058" priority="27">
      <formula>X$9&gt;=20/24</formula>
    </cfRule>
    <cfRule type="expression" dxfId="4057" priority="28">
      <formula>AND(X$9&gt;=14/24,X$9&lt;20/24)</formula>
    </cfRule>
    <cfRule type="expression" dxfId="4056" priority="29">
      <formula>AND(X$9&gt;=8/24,X$9&lt;14/24)</formula>
    </cfRule>
    <cfRule type="expression" dxfId="4055" priority="30">
      <formula>X$9&lt;8/24</formula>
    </cfRule>
  </conditionalFormatting>
  <conditionalFormatting sqref="B17:W17">
    <cfRule type="expression" dxfId="4054" priority="23">
      <formula>B$9&gt;=20/24</formula>
    </cfRule>
    <cfRule type="expression" dxfId="4053" priority="24">
      <formula>AND(B$9&gt;=14/24,B$9&lt;20/24)</formula>
    </cfRule>
    <cfRule type="expression" dxfId="4052" priority="25">
      <formula>AND(B$9&gt;=8/24,B$9&lt;14/24)</formula>
    </cfRule>
    <cfRule type="expression" dxfId="4051" priority="26">
      <formula>B$9&lt;8/24</formula>
    </cfRule>
  </conditionalFormatting>
  <conditionalFormatting sqref="AL17">
    <cfRule type="iconSet" priority="33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4050" priority="21">
      <formula>$AH30=0</formula>
    </cfRule>
  </conditionalFormatting>
  <conditionalFormatting sqref="X30:AF30">
    <cfRule type="expression" dxfId="4049" priority="17">
      <formula>X$9&gt;=20/24</formula>
    </cfRule>
    <cfRule type="expression" dxfId="4048" priority="18">
      <formula>AND(X$9&gt;=14/24,X$9&lt;20/24)</formula>
    </cfRule>
    <cfRule type="expression" dxfId="4047" priority="19">
      <formula>AND(X$9&gt;=8/24,X$9&lt;14/24)</formula>
    </cfRule>
    <cfRule type="expression" dxfId="4046" priority="20">
      <formula>X$9&lt;8/24</formula>
    </cfRule>
  </conditionalFormatting>
  <conditionalFormatting sqref="X30:AF30">
    <cfRule type="expression" dxfId="4045" priority="16">
      <formula>X30&gt;$AG30</formula>
    </cfRule>
  </conditionalFormatting>
  <conditionalFormatting sqref="B30:W30">
    <cfRule type="expression" dxfId="4044" priority="7">
      <formula>B$9&gt;=20/24</formula>
    </cfRule>
    <cfRule type="expression" dxfId="4043" priority="8">
      <formula>AND(B$9&gt;=14/24,B$9&lt;20/24)</formula>
    </cfRule>
    <cfRule type="expression" dxfId="4042" priority="9">
      <formula>AND(B$9&gt;=8/24,B$9&lt;14/24)</formula>
    </cfRule>
    <cfRule type="expression" dxfId="4041" priority="10">
      <formula>B$9&lt;8/24</formula>
    </cfRule>
  </conditionalFormatting>
  <conditionalFormatting sqref="B30:W30">
    <cfRule type="expression" dxfId="4040" priority="6">
      <formula>B30&gt;$AG30</formula>
    </cfRule>
  </conditionalFormatting>
  <conditionalFormatting sqref="AL30">
    <cfRule type="iconSet" priority="22">
      <iconSet iconSet="3TrafficLights2" reverse="1">
        <cfvo type="percent" val="0"/>
        <cfvo type="num" val="1"/>
        <cfvo type="num" val="1"/>
      </iconSet>
    </cfRule>
  </conditionalFormatting>
  <conditionalFormatting sqref="AK11">
    <cfRule type="expression" dxfId="4039" priority="5">
      <formula>AK11&gt;$AG11</formula>
    </cfRule>
  </conditionalFormatting>
  <conditionalFormatting sqref="AK11">
    <cfRule type="expression" dxfId="4038" priority="1">
      <formula>AK$9&gt;=20/24</formula>
    </cfRule>
    <cfRule type="expression" dxfId="4037" priority="2">
      <formula>AND(AK$9&gt;=14/24,AK$9&lt;20/24)</formula>
    </cfRule>
    <cfRule type="expression" dxfId="4036" priority="3">
      <formula>AND(AK$9&gt;=8/24,AK$9&lt;14/24)</formula>
    </cfRule>
    <cfRule type="expression" dxfId="4035" priority="4">
      <formula>AK$9&lt;8/24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0" id="{E8976699-6B43-461C-AC58-7003BAAB2852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1" id="{70E4A954-76D2-40AC-BE7F-480F8DAACD3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2" id="{01223098-ECFF-4C77-8942-99C2A0F0136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3" id="{1A700EB6-F078-4EBF-B441-219D8F21013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53" id="{6A088A35-BC2D-4249-B4C1-B5655142D1E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4" id="{53B1E1FF-68D4-445C-98CB-FCBE5AD9282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5" id="{2817BB80-FDAA-4E7A-B293-4FD69258CADB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6" id="{F6E55136-38CA-443B-B371-53543E3ABD0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9" id="{E6F5BFB2-1E06-4647-A2BC-D1AF7E305EE4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0" id="{06263285-C0F0-432B-9515-22BAAD64D81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1" id="{73B87D2C-2DC3-4B36-BD40-1365FA4597EA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2" id="{5D2643F4-BEFF-40B0-92B5-8620A8DC347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J270"/>
  <sheetViews>
    <sheetView zoomScale="90" zoomScaleNormal="90" workbookViewId="0">
      <pane xSplit="1" ySplit="10" topLeftCell="D35" activePane="bottomRight" state="frozen"/>
      <selection activeCell="AK109" sqref="AK109"/>
      <selection pane="topRight" activeCell="AK109" sqref="AK109"/>
      <selection pane="bottomLeft" activeCell="AK109" sqref="AK109"/>
      <selection pane="bottomRight" activeCell="AK109" sqref="AK10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459.91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2079/06/25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1609MW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1273.69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Load=1158</v>
      </c>
      <c r="B7" s="35">
        <f t="shared" ref="B7:AF7" si="1">B81</f>
        <v>1217.8400000000001</v>
      </c>
      <c r="C7" s="35">
        <f t="shared" si="1"/>
        <v>1224.74</v>
      </c>
      <c r="D7" s="35">
        <f t="shared" si="1"/>
        <v>1204.44</v>
      </c>
      <c r="E7" s="35">
        <f t="shared" si="1"/>
        <v>1178.54</v>
      </c>
      <c r="F7" s="35">
        <f t="shared" si="1"/>
        <v>1158.1400000000001</v>
      </c>
      <c r="G7" s="35">
        <f t="shared" si="1"/>
        <v>1266.24</v>
      </c>
      <c r="H7" s="35">
        <f t="shared" si="1"/>
        <v>1299.74</v>
      </c>
      <c r="I7" s="35">
        <f t="shared" si="1"/>
        <v>1368.84</v>
      </c>
      <c r="J7" s="35">
        <f t="shared" si="1"/>
        <v>1476.24</v>
      </c>
      <c r="K7" s="35">
        <f t="shared" si="1"/>
        <v>1477.3400000000001</v>
      </c>
      <c r="L7" s="35">
        <f t="shared" si="1"/>
        <v>1565.44</v>
      </c>
      <c r="M7" s="35">
        <f t="shared" si="1"/>
        <v>1609.3400000000001</v>
      </c>
      <c r="N7" s="35">
        <f t="shared" si="1"/>
        <v>1547.24</v>
      </c>
      <c r="O7" s="35">
        <f t="shared" si="1"/>
        <v>1547.24</v>
      </c>
      <c r="P7" s="35">
        <f t="shared" si="1"/>
        <v>1446.6399999999999</v>
      </c>
      <c r="Q7" s="35">
        <f t="shared" si="1"/>
        <v>1416.6399999999999</v>
      </c>
      <c r="R7" s="35">
        <f t="shared" si="1"/>
        <v>1299.94</v>
      </c>
      <c r="S7" s="35">
        <f t="shared" si="1"/>
        <v>1289.94</v>
      </c>
      <c r="T7" s="35">
        <f t="shared" si="1"/>
        <v>1324.94</v>
      </c>
      <c r="U7" s="35">
        <f t="shared" si="1"/>
        <v>1383.94</v>
      </c>
      <c r="V7" s="35">
        <f t="shared" si="1"/>
        <v>1394.94</v>
      </c>
      <c r="W7" s="35">
        <f t="shared" si="1"/>
        <v>1533.44</v>
      </c>
      <c r="X7" s="35">
        <f t="shared" si="1"/>
        <v>1717.44</v>
      </c>
      <c r="Y7" s="35">
        <f t="shared" si="1"/>
        <v>1626.94</v>
      </c>
      <c r="Z7" s="35">
        <f t="shared" si="1"/>
        <v>1576.94</v>
      </c>
      <c r="AA7" s="35">
        <f t="shared" si="1"/>
        <v>1581.94</v>
      </c>
      <c r="AB7" s="35">
        <f t="shared" si="1"/>
        <v>1512.34</v>
      </c>
      <c r="AC7" s="35">
        <f t="shared" si="1"/>
        <v>1473.24</v>
      </c>
      <c r="AD7" s="35">
        <f t="shared" si="1"/>
        <v>1410.74</v>
      </c>
      <c r="AE7" s="35">
        <f t="shared" si="1"/>
        <v>1306.44</v>
      </c>
      <c r="AF7" s="35">
        <f t="shared" si="1"/>
        <v>1284.3399999999999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44.1</v>
      </c>
      <c r="C11" s="45">
        <v>44.1</v>
      </c>
      <c r="D11" s="45">
        <v>43.7</v>
      </c>
      <c r="E11" s="45">
        <v>44.1</v>
      </c>
      <c r="F11" s="45">
        <v>44.1</v>
      </c>
      <c r="G11" s="45">
        <v>44.1</v>
      </c>
      <c r="H11" s="45">
        <v>44.1</v>
      </c>
      <c r="I11" s="45">
        <v>44.1</v>
      </c>
      <c r="J11" s="45">
        <v>44.1</v>
      </c>
      <c r="K11" s="45">
        <v>44.1</v>
      </c>
      <c r="L11" s="45">
        <v>42.3</v>
      </c>
      <c r="M11" s="45">
        <v>42.3</v>
      </c>
      <c r="N11" s="45">
        <v>42.3</v>
      </c>
      <c r="O11" s="45">
        <v>42.3</v>
      </c>
      <c r="P11" s="45">
        <v>42.3</v>
      </c>
      <c r="Q11" s="45">
        <v>42.3</v>
      </c>
      <c r="R11" s="45">
        <v>42.3</v>
      </c>
      <c r="S11" s="45">
        <v>42.3</v>
      </c>
      <c r="T11" s="45">
        <v>42.3</v>
      </c>
      <c r="U11" s="45">
        <v>42.3</v>
      </c>
      <c r="V11" s="45">
        <v>42.3</v>
      </c>
      <c r="W11" s="45">
        <v>42.3</v>
      </c>
      <c r="X11" s="46">
        <v>42.7</v>
      </c>
      <c r="Y11" s="46">
        <v>42.7</v>
      </c>
      <c r="Z11" s="46">
        <v>42.7</v>
      </c>
      <c r="AA11" s="46">
        <v>42.7</v>
      </c>
      <c r="AB11" s="46">
        <v>43.8</v>
      </c>
      <c r="AC11" s="46">
        <v>43.8</v>
      </c>
      <c r="AD11" s="46">
        <v>43.8</v>
      </c>
      <c r="AE11" s="46">
        <v>44</v>
      </c>
      <c r="AF11" s="46">
        <v>44</v>
      </c>
      <c r="AG11" s="47">
        <v>52.4</v>
      </c>
      <c r="AH11" s="48">
        <f>MAX(B11:AF11)</f>
        <v>44.1</v>
      </c>
      <c r="AI11" s="49">
        <f>MIN(B11:AF11)</f>
        <v>42.3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50.6</v>
      </c>
      <c r="C12" s="45">
        <v>50.6</v>
      </c>
      <c r="D12" s="45">
        <v>50.6</v>
      </c>
      <c r="E12" s="45">
        <v>50.6</v>
      </c>
      <c r="F12" s="45">
        <v>50.6</v>
      </c>
      <c r="G12" s="45">
        <v>50.6</v>
      </c>
      <c r="H12" s="45">
        <v>50.6</v>
      </c>
      <c r="I12" s="45">
        <v>50.6</v>
      </c>
      <c r="J12" s="45">
        <v>50.6</v>
      </c>
      <c r="K12" s="45">
        <v>50.6</v>
      </c>
      <c r="L12" s="45">
        <v>50.6</v>
      </c>
      <c r="M12" s="45">
        <v>50.6</v>
      </c>
      <c r="N12" s="45">
        <v>50.6</v>
      </c>
      <c r="O12" s="45">
        <v>50.6</v>
      </c>
      <c r="P12" s="45">
        <v>50.6</v>
      </c>
      <c r="Q12" s="45">
        <v>50.6</v>
      </c>
      <c r="R12" s="45">
        <v>50.6</v>
      </c>
      <c r="S12" s="45">
        <v>50.6</v>
      </c>
      <c r="T12" s="45">
        <v>50.6</v>
      </c>
      <c r="U12" s="45">
        <v>50.6</v>
      </c>
      <c r="V12" s="45">
        <v>50.6</v>
      </c>
      <c r="W12" s="45">
        <v>50.6</v>
      </c>
      <c r="X12" s="45">
        <v>50.6</v>
      </c>
      <c r="Y12" s="45">
        <v>50.6</v>
      </c>
      <c r="Z12" s="45">
        <v>50.6</v>
      </c>
      <c r="AA12" s="45">
        <v>50.6</v>
      </c>
      <c r="AB12" s="45">
        <v>50.6</v>
      </c>
      <c r="AC12" s="45">
        <v>50.6</v>
      </c>
      <c r="AD12" s="45">
        <v>50.6</v>
      </c>
      <c r="AE12" s="45">
        <v>50.6</v>
      </c>
      <c r="AF12" s="45">
        <v>50.6</v>
      </c>
      <c r="AG12" s="51">
        <v>50</v>
      </c>
      <c r="AH12" s="48">
        <f t="shared" ref="AH12:AH75" si="2">MAX(B12:AF12)</f>
        <v>50.6</v>
      </c>
      <c r="AI12" s="49">
        <f t="shared" ref="AI12:AI75" si="3">MIN(B12:AF12)</f>
        <v>50.6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40.200000000000003</v>
      </c>
      <c r="C13" s="45">
        <v>40.200000000000003</v>
      </c>
      <c r="D13" s="45">
        <v>40.200000000000003</v>
      </c>
      <c r="E13" s="45">
        <v>40.200000000000003</v>
      </c>
      <c r="F13" s="45">
        <v>40.200000000000003</v>
      </c>
      <c r="G13" s="45">
        <v>40.200000000000003</v>
      </c>
      <c r="H13" s="45">
        <v>38</v>
      </c>
      <c r="I13" s="45">
        <v>37</v>
      </c>
      <c r="J13" s="45">
        <v>37</v>
      </c>
      <c r="K13" s="45">
        <v>35.6</v>
      </c>
      <c r="L13" s="45">
        <v>35.5</v>
      </c>
      <c r="M13" s="45">
        <v>35.5</v>
      </c>
      <c r="N13" s="45">
        <v>35.5</v>
      </c>
      <c r="O13" s="45">
        <v>35.5</v>
      </c>
      <c r="P13" s="45">
        <v>35.5</v>
      </c>
      <c r="Q13" s="45">
        <v>35.5</v>
      </c>
      <c r="R13" s="45">
        <v>35.799999999999997</v>
      </c>
      <c r="S13" s="45">
        <v>35.799999999999997</v>
      </c>
      <c r="T13" s="45">
        <v>35.799999999999997</v>
      </c>
      <c r="U13" s="45">
        <v>35.799999999999997</v>
      </c>
      <c r="V13" s="45">
        <v>35.799999999999997</v>
      </c>
      <c r="W13" s="45">
        <v>35.799999999999997</v>
      </c>
      <c r="X13" s="45">
        <v>38.299999999999997</v>
      </c>
      <c r="Y13" s="45">
        <v>38.299999999999997</v>
      </c>
      <c r="Z13" s="45">
        <v>38.299999999999997</v>
      </c>
      <c r="AA13" s="45">
        <v>38.299999999999997</v>
      </c>
      <c r="AB13" s="45">
        <v>37.6</v>
      </c>
      <c r="AC13" s="45">
        <v>37.6</v>
      </c>
      <c r="AD13" s="45">
        <v>37.6</v>
      </c>
      <c r="AE13" s="45">
        <v>38.1</v>
      </c>
      <c r="AF13" s="45">
        <v>38.1</v>
      </c>
      <c r="AG13" s="51">
        <v>45</v>
      </c>
      <c r="AH13" s="48">
        <f t="shared" si="2"/>
        <v>40.200000000000003</v>
      </c>
      <c r="AI13" s="49">
        <f t="shared" si="3"/>
        <v>35.5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21</v>
      </c>
      <c r="C14" s="45">
        <v>21</v>
      </c>
      <c r="D14" s="45">
        <v>21</v>
      </c>
      <c r="E14" s="45">
        <v>21</v>
      </c>
      <c r="F14" s="45">
        <v>21</v>
      </c>
      <c r="G14" s="45">
        <v>21</v>
      </c>
      <c r="H14" s="45">
        <v>21</v>
      </c>
      <c r="I14" s="45">
        <v>25</v>
      </c>
      <c r="J14" s="45">
        <v>28</v>
      </c>
      <c r="K14" s="45">
        <v>28</v>
      </c>
      <c r="L14" s="45">
        <v>28</v>
      </c>
      <c r="M14" s="45">
        <v>28</v>
      </c>
      <c r="N14" s="45">
        <v>26</v>
      </c>
      <c r="O14" s="45">
        <v>24</v>
      </c>
      <c r="P14" s="45">
        <v>23</v>
      </c>
      <c r="Q14" s="45">
        <v>23</v>
      </c>
      <c r="R14" s="45">
        <v>23.5</v>
      </c>
      <c r="S14" s="45">
        <v>23.5</v>
      </c>
      <c r="T14" s="45">
        <v>23.5</v>
      </c>
      <c r="U14" s="45">
        <v>23.5</v>
      </c>
      <c r="V14" s="45">
        <v>23.5</v>
      </c>
      <c r="W14" s="45">
        <v>23.5</v>
      </c>
      <c r="X14" s="45">
        <v>23.5</v>
      </c>
      <c r="Y14" s="45">
        <v>23.5</v>
      </c>
      <c r="Z14" s="45">
        <v>23.5</v>
      </c>
      <c r="AA14" s="45">
        <v>23.5</v>
      </c>
      <c r="AB14" s="45">
        <v>23.5</v>
      </c>
      <c r="AC14" s="45">
        <v>24.5</v>
      </c>
      <c r="AD14" s="45">
        <v>24.5</v>
      </c>
      <c r="AE14" s="45">
        <v>24.5</v>
      </c>
      <c r="AF14" s="45">
        <v>21</v>
      </c>
      <c r="AG14" s="51">
        <v>42</v>
      </c>
      <c r="AH14" s="48">
        <f t="shared" si="2"/>
        <v>28</v>
      </c>
      <c r="AI14" s="49">
        <f t="shared" si="3"/>
        <v>21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30</v>
      </c>
      <c r="K15" s="45">
        <v>30</v>
      </c>
      <c r="L15" s="45">
        <v>30</v>
      </c>
      <c r="M15" s="45">
        <v>30</v>
      </c>
      <c r="N15" s="45">
        <v>22.4</v>
      </c>
      <c r="O15" s="45">
        <v>22.4</v>
      </c>
      <c r="P15" s="45">
        <v>21.1</v>
      </c>
      <c r="Q15" s="45">
        <v>21.1</v>
      </c>
      <c r="R15" s="45">
        <v>21.2</v>
      </c>
      <c r="S15" s="45">
        <v>21.2</v>
      </c>
      <c r="T15" s="45">
        <v>21.2</v>
      </c>
      <c r="U15" s="45">
        <v>22.2</v>
      </c>
      <c r="V15" s="45">
        <v>22.2</v>
      </c>
      <c r="W15" s="45">
        <v>22.2</v>
      </c>
      <c r="X15" s="45">
        <v>22.6</v>
      </c>
      <c r="Y15" s="45">
        <v>22.6</v>
      </c>
      <c r="Z15" s="45">
        <v>22.6</v>
      </c>
      <c r="AA15" s="45">
        <v>22.6</v>
      </c>
      <c r="AB15" s="45">
        <v>22.6</v>
      </c>
      <c r="AC15" s="45">
        <v>0</v>
      </c>
      <c r="AD15" s="45">
        <v>0</v>
      </c>
      <c r="AE15" s="45">
        <v>0</v>
      </c>
      <c r="AF15" s="45">
        <v>0</v>
      </c>
      <c r="AG15" s="52">
        <v>30</v>
      </c>
      <c r="AH15" s="48">
        <f t="shared" si="2"/>
        <v>30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20.399999999999999</v>
      </c>
      <c r="C16" s="45">
        <v>20.399999999999999</v>
      </c>
      <c r="D16" s="45">
        <v>20.399999999999999</v>
      </c>
      <c r="E16" s="45">
        <v>20.399999999999999</v>
      </c>
      <c r="F16" s="45">
        <v>20.399999999999999</v>
      </c>
      <c r="G16" s="45">
        <v>20.399999999999999</v>
      </c>
      <c r="H16" s="45">
        <v>20.399999999999999</v>
      </c>
      <c r="I16" s="45">
        <v>20.399999999999999</v>
      </c>
      <c r="J16" s="45">
        <v>20.399999999999999</v>
      </c>
      <c r="K16" s="45">
        <v>20.399999999999999</v>
      </c>
      <c r="L16" s="45">
        <v>20.399999999999999</v>
      </c>
      <c r="M16" s="45">
        <v>20.399999999999999</v>
      </c>
      <c r="N16" s="45">
        <v>20.399999999999999</v>
      </c>
      <c r="O16" s="45">
        <v>20.399999999999999</v>
      </c>
      <c r="P16" s="45">
        <v>20.399999999999999</v>
      </c>
      <c r="Q16" s="45">
        <v>20.399999999999999</v>
      </c>
      <c r="R16" s="45">
        <v>20.399999999999999</v>
      </c>
      <c r="S16" s="45">
        <v>20.399999999999999</v>
      </c>
      <c r="T16" s="45">
        <v>20.399999999999999</v>
      </c>
      <c r="U16" s="45">
        <v>20.399999999999999</v>
      </c>
      <c r="V16" s="45">
        <v>20.399999999999999</v>
      </c>
      <c r="W16" s="45">
        <v>20.399999999999999</v>
      </c>
      <c r="X16" s="45">
        <v>19.600000000000001</v>
      </c>
      <c r="Y16" s="45">
        <v>19.600000000000001</v>
      </c>
      <c r="Z16" s="45">
        <v>19.600000000000001</v>
      </c>
      <c r="AA16" s="45">
        <v>19.600000000000001</v>
      </c>
      <c r="AB16" s="45">
        <v>19.600000000000001</v>
      </c>
      <c r="AC16" s="45">
        <v>19.600000000000001</v>
      </c>
      <c r="AD16" s="45">
        <v>19.600000000000001</v>
      </c>
      <c r="AE16" s="45">
        <v>19.600000000000001</v>
      </c>
      <c r="AF16" s="45">
        <v>19.600000000000001</v>
      </c>
      <c r="AG16" s="51">
        <v>24.2</v>
      </c>
      <c r="AH16" s="48">
        <f t="shared" si="2"/>
        <v>20.399999999999999</v>
      </c>
      <c r="AI16" s="49">
        <f t="shared" si="3"/>
        <v>19.600000000000001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27</v>
      </c>
      <c r="L17" s="45">
        <v>27</v>
      </c>
      <c r="M17" s="45">
        <v>27</v>
      </c>
      <c r="N17" s="45">
        <v>27</v>
      </c>
      <c r="O17" s="45">
        <v>27</v>
      </c>
      <c r="P17" s="45">
        <v>27</v>
      </c>
      <c r="Q17" s="45">
        <v>27</v>
      </c>
      <c r="R17" s="45">
        <v>25</v>
      </c>
      <c r="S17" s="45">
        <v>25</v>
      </c>
      <c r="T17" s="45">
        <v>25</v>
      </c>
      <c r="U17" s="45">
        <v>25</v>
      </c>
      <c r="V17" s="45">
        <v>26</v>
      </c>
      <c r="W17" s="45">
        <v>26</v>
      </c>
      <c r="X17" s="45">
        <v>25</v>
      </c>
      <c r="Y17" s="45">
        <v>25</v>
      </c>
      <c r="Z17" s="45">
        <v>25</v>
      </c>
      <c r="AA17" s="45">
        <v>25</v>
      </c>
      <c r="AB17" s="45">
        <v>25</v>
      </c>
      <c r="AC17" s="45">
        <v>13.5</v>
      </c>
      <c r="AD17" s="45">
        <v>0</v>
      </c>
      <c r="AE17" s="45">
        <v>0</v>
      </c>
      <c r="AF17" s="45">
        <v>0</v>
      </c>
      <c r="AG17" s="52">
        <v>30</v>
      </c>
      <c r="AH17" s="48">
        <f t="shared" si="2"/>
        <v>27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21.5</v>
      </c>
      <c r="C18" s="45">
        <v>21.5</v>
      </c>
      <c r="D18" s="45">
        <v>21.5</v>
      </c>
      <c r="E18" s="45">
        <v>21.5</v>
      </c>
      <c r="F18" s="45">
        <v>21.5</v>
      </c>
      <c r="G18" s="45">
        <v>21.5</v>
      </c>
      <c r="H18" s="45">
        <v>21.5</v>
      </c>
      <c r="I18" s="45">
        <v>21.5</v>
      </c>
      <c r="J18" s="45">
        <v>21.5</v>
      </c>
      <c r="K18" s="45">
        <v>22</v>
      </c>
      <c r="L18" s="45">
        <v>22</v>
      </c>
      <c r="M18" s="45">
        <v>22</v>
      </c>
      <c r="N18" s="45">
        <v>21.7</v>
      </c>
      <c r="O18" s="45">
        <v>21.7</v>
      </c>
      <c r="P18" s="45">
        <v>21.7</v>
      </c>
      <c r="Q18" s="45">
        <v>21.7</v>
      </c>
      <c r="R18" s="45">
        <v>21.1</v>
      </c>
      <c r="S18" s="45">
        <v>21.1</v>
      </c>
      <c r="T18" s="45">
        <v>21.1</v>
      </c>
      <c r="U18" s="45">
        <v>21.1</v>
      </c>
      <c r="V18" s="45">
        <v>21.1</v>
      </c>
      <c r="W18" s="45">
        <v>21.1</v>
      </c>
      <c r="X18" s="45">
        <v>20.9</v>
      </c>
      <c r="Y18" s="45">
        <v>20.9</v>
      </c>
      <c r="Z18" s="45">
        <v>20.9</v>
      </c>
      <c r="AA18" s="45">
        <v>20.9</v>
      </c>
      <c r="AB18" s="45">
        <v>20.9</v>
      </c>
      <c r="AC18" s="45">
        <v>20.9</v>
      </c>
      <c r="AD18" s="45">
        <v>20.9</v>
      </c>
      <c r="AE18" s="45">
        <v>20.9</v>
      </c>
      <c r="AF18" s="45">
        <v>20.9</v>
      </c>
      <c r="AG18" s="51">
        <v>25</v>
      </c>
      <c r="AH18" s="48">
        <f t="shared" si="2"/>
        <v>22</v>
      </c>
      <c r="AI18" s="49">
        <f t="shared" si="3"/>
        <v>20.9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21</v>
      </c>
      <c r="C19" s="45">
        <v>21</v>
      </c>
      <c r="D19" s="45">
        <v>21</v>
      </c>
      <c r="E19" s="45">
        <v>21</v>
      </c>
      <c r="F19" s="45">
        <v>21</v>
      </c>
      <c r="G19" s="45">
        <v>21</v>
      </c>
      <c r="H19" s="45">
        <v>21</v>
      </c>
      <c r="I19" s="45">
        <v>21</v>
      </c>
      <c r="J19" s="45">
        <v>21</v>
      </c>
      <c r="K19" s="45">
        <v>21</v>
      </c>
      <c r="L19" s="45">
        <v>21</v>
      </c>
      <c r="M19" s="45">
        <v>21</v>
      </c>
      <c r="N19" s="45">
        <v>21</v>
      </c>
      <c r="O19" s="45">
        <v>21</v>
      </c>
      <c r="P19" s="45">
        <v>21</v>
      </c>
      <c r="Q19" s="45">
        <v>21</v>
      </c>
      <c r="R19" s="45">
        <v>21</v>
      </c>
      <c r="S19" s="45">
        <v>21</v>
      </c>
      <c r="T19" s="45">
        <v>21</v>
      </c>
      <c r="U19" s="45">
        <v>21</v>
      </c>
      <c r="V19" s="45">
        <v>21</v>
      </c>
      <c r="W19" s="45">
        <v>21</v>
      </c>
      <c r="X19" s="45">
        <v>21</v>
      </c>
      <c r="Y19" s="45">
        <v>21</v>
      </c>
      <c r="Z19" s="45">
        <v>21</v>
      </c>
      <c r="AA19" s="45">
        <v>21</v>
      </c>
      <c r="AB19" s="45">
        <v>21</v>
      </c>
      <c r="AC19" s="45">
        <v>21</v>
      </c>
      <c r="AD19" s="45">
        <v>21</v>
      </c>
      <c r="AE19" s="45">
        <v>21</v>
      </c>
      <c r="AF19" s="45">
        <v>21</v>
      </c>
      <c r="AG19" s="51">
        <v>25</v>
      </c>
      <c r="AH19" s="48">
        <f t="shared" si="2"/>
        <v>21</v>
      </c>
      <c r="AI19" s="49">
        <f t="shared" si="3"/>
        <v>21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18</v>
      </c>
      <c r="C20" s="45">
        <v>18</v>
      </c>
      <c r="D20" s="45">
        <v>18</v>
      </c>
      <c r="E20" s="45">
        <v>18</v>
      </c>
      <c r="F20" s="45">
        <v>18</v>
      </c>
      <c r="G20" s="45">
        <v>18</v>
      </c>
      <c r="H20" s="45">
        <v>18</v>
      </c>
      <c r="I20" s="45">
        <v>18</v>
      </c>
      <c r="J20" s="45">
        <v>18</v>
      </c>
      <c r="K20" s="45">
        <v>18</v>
      </c>
      <c r="L20" s="45">
        <v>18</v>
      </c>
      <c r="M20" s="45">
        <v>18</v>
      </c>
      <c r="N20" s="45">
        <v>18</v>
      </c>
      <c r="O20" s="45">
        <v>18</v>
      </c>
      <c r="P20" s="45">
        <v>18</v>
      </c>
      <c r="Q20" s="45">
        <v>18</v>
      </c>
      <c r="R20" s="45">
        <v>18</v>
      </c>
      <c r="S20" s="45">
        <v>18</v>
      </c>
      <c r="T20" s="45">
        <v>18</v>
      </c>
      <c r="U20" s="45">
        <v>18</v>
      </c>
      <c r="V20" s="45">
        <v>18</v>
      </c>
      <c r="W20" s="45">
        <v>18</v>
      </c>
      <c r="X20" s="45">
        <v>18</v>
      </c>
      <c r="Y20" s="45">
        <v>18</v>
      </c>
      <c r="Z20" s="45">
        <v>18</v>
      </c>
      <c r="AA20" s="45">
        <v>18</v>
      </c>
      <c r="AB20" s="45">
        <v>18</v>
      </c>
      <c r="AC20" s="45">
        <v>18</v>
      </c>
      <c r="AD20" s="45">
        <v>18</v>
      </c>
      <c r="AE20" s="45">
        <v>18</v>
      </c>
      <c r="AF20" s="45">
        <v>18</v>
      </c>
      <c r="AG20" s="51">
        <v>25</v>
      </c>
      <c r="AH20" s="48">
        <f t="shared" si="2"/>
        <v>18</v>
      </c>
      <c r="AI20" s="49">
        <f t="shared" si="3"/>
        <v>18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18.2</v>
      </c>
      <c r="C21" s="45">
        <v>18.2</v>
      </c>
      <c r="D21" s="45">
        <v>18.2</v>
      </c>
      <c r="E21" s="45">
        <v>18.2</v>
      </c>
      <c r="F21" s="45">
        <v>18.2</v>
      </c>
      <c r="G21" s="45">
        <v>18.2</v>
      </c>
      <c r="H21" s="45">
        <v>18.2</v>
      </c>
      <c r="I21" s="45">
        <v>18.2</v>
      </c>
      <c r="J21" s="45">
        <v>18.2</v>
      </c>
      <c r="K21" s="45">
        <v>18.2</v>
      </c>
      <c r="L21" s="45">
        <v>18.2</v>
      </c>
      <c r="M21" s="45">
        <v>18.2</v>
      </c>
      <c r="N21" s="45">
        <v>18.2</v>
      </c>
      <c r="O21" s="45">
        <v>18.2</v>
      </c>
      <c r="P21" s="45">
        <v>18.2</v>
      </c>
      <c r="Q21" s="45">
        <v>18.2</v>
      </c>
      <c r="R21" s="45">
        <v>18.2</v>
      </c>
      <c r="S21" s="45">
        <v>18.2</v>
      </c>
      <c r="T21" s="45">
        <v>18.2</v>
      </c>
      <c r="U21" s="45">
        <v>18.2</v>
      </c>
      <c r="V21" s="45">
        <v>18.2</v>
      </c>
      <c r="W21" s="45">
        <v>18.2</v>
      </c>
      <c r="X21" s="45">
        <v>18.2</v>
      </c>
      <c r="Y21" s="45">
        <v>18.2</v>
      </c>
      <c r="Z21" s="45">
        <v>18.2</v>
      </c>
      <c r="AA21" s="45">
        <v>18.2</v>
      </c>
      <c r="AB21" s="45">
        <v>18.2</v>
      </c>
      <c r="AC21" s="45">
        <v>18.2</v>
      </c>
      <c r="AD21" s="45">
        <v>18.2</v>
      </c>
      <c r="AE21" s="45">
        <v>18.2</v>
      </c>
      <c r="AF21" s="45">
        <v>18.2</v>
      </c>
      <c r="AG21" s="51">
        <v>23.5</v>
      </c>
      <c r="AH21" s="48">
        <f t="shared" si="2"/>
        <v>18.2</v>
      </c>
      <c r="AI21" s="49">
        <f t="shared" si="3"/>
        <v>18.2</v>
      </c>
      <c r="AK21" s="165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51">
        <v>22.2</v>
      </c>
      <c r="AH22" s="48">
        <f t="shared" si="2"/>
        <v>0</v>
      </c>
      <c r="AI22" s="49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18</v>
      </c>
      <c r="C23" s="45">
        <v>18</v>
      </c>
      <c r="D23" s="45">
        <v>18</v>
      </c>
      <c r="E23" s="45">
        <v>18</v>
      </c>
      <c r="F23" s="45">
        <v>18</v>
      </c>
      <c r="G23" s="45">
        <v>18</v>
      </c>
      <c r="H23" s="45">
        <v>18</v>
      </c>
      <c r="I23" s="45">
        <v>18</v>
      </c>
      <c r="J23" s="45">
        <v>18</v>
      </c>
      <c r="K23" s="45">
        <v>18</v>
      </c>
      <c r="L23" s="45">
        <v>18</v>
      </c>
      <c r="M23" s="45">
        <v>18</v>
      </c>
      <c r="N23" s="45">
        <v>18</v>
      </c>
      <c r="O23" s="45">
        <v>18</v>
      </c>
      <c r="P23" s="45">
        <v>18</v>
      </c>
      <c r="Q23" s="45">
        <v>18</v>
      </c>
      <c r="R23" s="45">
        <v>18</v>
      </c>
      <c r="S23" s="45">
        <v>18</v>
      </c>
      <c r="T23" s="45">
        <v>18</v>
      </c>
      <c r="U23" s="45">
        <v>18</v>
      </c>
      <c r="V23" s="45">
        <v>18</v>
      </c>
      <c r="W23" s="45">
        <v>18</v>
      </c>
      <c r="X23" s="45">
        <v>18</v>
      </c>
      <c r="Y23" s="45">
        <v>18</v>
      </c>
      <c r="Z23" s="45">
        <v>18</v>
      </c>
      <c r="AA23" s="45">
        <v>18</v>
      </c>
      <c r="AB23" s="45">
        <v>18</v>
      </c>
      <c r="AC23" s="45">
        <v>18</v>
      </c>
      <c r="AD23" s="45">
        <v>18</v>
      </c>
      <c r="AE23" s="45">
        <v>18</v>
      </c>
      <c r="AF23" s="45">
        <v>18</v>
      </c>
      <c r="AG23" s="51">
        <v>22.1</v>
      </c>
      <c r="AH23" s="48">
        <f t="shared" si="2"/>
        <v>18</v>
      </c>
      <c r="AI23" s="49">
        <f t="shared" si="3"/>
        <v>18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14</v>
      </c>
      <c r="C24" s="45">
        <v>14</v>
      </c>
      <c r="D24" s="45">
        <v>14</v>
      </c>
      <c r="E24" s="45">
        <v>14</v>
      </c>
      <c r="F24" s="45">
        <v>14</v>
      </c>
      <c r="G24" s="45">
        <v>14</v>
      </c>
      <c r="H24" s="45">
        <v>14</v>
      </c>
      <c r="I24" s="45">
        <v>14</v>
      </c>
      <c r="J24" s="45">
        <v>14</v>
      </c>
      <c r="K24" s="45">
        <v>14</v>
      </c>
      <c r="L24" s="45">
        <v>14</v>
      </c>
      <c r="M24" s="45">
        <v>14</v>
      </c>
      <c r="N24" s="45">
        <v>14</v>
      </c>
      <c r="O24" s="45">
        <v>14</v>
      </c>
      <c r="P24" s="45">
        <v>14</v>
      </c>
      <c r="Q24" s="45">
        <v>14</v>
      </c>
      <c r="R24" s="45">
        <v>14</v>
      </c>
      <c r="S24" s="45">
        <v>14</v>
      </c>
      <c r="T24" s="45">
        <v>14</v>
      </c>
      <c r="U24" s="45">
        <v>14</v>
      </c>
      <c r="V24" s="45">
        <v>14</v>
      </c>
      <c r="W24" s="45">
        <v>14</v>
      </c>
      <c r="X24" s="45">
        <v>14</v>
      </c>
      <c r="Y24" s="45">
        <v>14</v>
      </c>
      <c r="Z24" s="45">
        <v>14</v>
      </c>
      <c r="AA24" s="45">
        <v>14</v>
      </c>
      <c r="AB24" s="45">
        <v>14</v>
      </c>
      <c r="AC24" s="45">
        <v>14</v>
      </c>
      <c r="AD24" s="45">
        <v>14</v>
      </c>
      <c r="AE24" s="45">
        <v>14</v>
      </c>
      <c r="AF24" s="45">
        <v>14</v>
      </c>
      <c r="AG24" s="51">
        <v>22</v>
      </c>
      <c r="AH24" s="48">
        <f t="shared" si="2"/>
        <v>14</v>
      </c>
      <c r="AI24" s="49">
        <f t="shared" si="3"/>
        <v>14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15</v>
      </c>
      <c r="C25" s="45">
        <v>15</v>
      </c>
      <c r="D25" s="45">
        <v>15</v>
      </c>
      <c r="E25" s="45">
        <v>15</v>
      </c>
      <c r="F25" s="45">
        <v>15</v>
      </c>
      <c r="G25" s="45">
        <v>15</v>
      </c>
      <c r="H25" s="45">
        <v>15</v>
      </c>
      <c r="I25" s="45">
        <v>15</v>
      </c>
      <c r="J25" s="45">
        <v>15</v>
      </c>
      <c r="K25" s="45">
        <v>15</v>
      </c>
      <c r="L25" s="45">
        <v>15</v>
      </c>
      <c r="M25" s="45">
        <v>15</v>
      </c>
      <c r="N25" s="45">
        <v>15</v>
      </c>
      <c r="O25" s="45">
        <v>15</v>
      </c>
      <c r="P25" s="45">
        <v>15</v>
      </c>
      <c r="Q25" s="45">
        <v>15</v>
      </c>
      <c r="R25" s="45">
        <v>15</v>
      </c>
      <c r="S25" s="45">
        <v>15</v>
      </c>
      <c r="T25" s="45">
        <v>15</v>
      </c>
      <c r="U25" s="45">
        <v>15</v>
      </c>
      <c r="V25" s="45">
        <v>15</v>
      </c>
      <c r="W25" s="45">
        <v>15</v>
      </c>
      <c r="X25" s="45">
        <v>17</v>
      </c>
      <c r="Y25" s="45">
        <v>17</v>
      </c>
      <c r="Z25" s="45">
        <v>17</v>
      </c>
      <c r="AA25" s="45">
        <v>17</v>
      </c>
      <c r="AB25" s="45">
        <v>17</v>
      </c>
      <c r="AC25" s="45">
        <v>17</v>
      </c>
      <c r="AD25" s="45">
        <v>17</v>
      </c>
      <c r="AE25" s="45">
        <v>17</v>
      </c>
      <c r="AF25" s="45">
        <v>17</v>
      </c>
      <c r="AG25" s="51">
        <v>22</v>
      </c>
      <c r="AH25" s="48">
        <f t="shared" si="2"/>
        <v>17</v>
      </c>
      <c r="AI25" s="49">
        <f t="shared" si="3"/>
        <v>15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10</v>
      </c>
      <c r="K26" s="45">
        <v>10</v>
      </c>
      <c r="L26" s="45">
        <v>10</v>
      </c>
      <c r="M26" s="45">
        <v>10</v>
      </c>
      <c r="N26" s="45">
        <v>10</v>
      </c>
      <c r="O26" s="45">
        <v>10</v>
      </c>
      <c r="P26" s="45">
        <v>10</v>
      </c>
      <c r="Q26" s="45">
        <v>10</v>
      </c>
      <c r="R26" s="45">
        <v>10</v>
      </c>
      <c r="S26" s="45">
        <v>10</v>
      </c>
      <c r="T26" s="45">
        <v>10</v>
      </c>
      <c r="U26" s="45">
        <v>10</v>
      </c>
      <c r="V26" s="45">
        <v>10</v>
      </c>
      <c r="W26" s="45">
        <v>10</v>
      </c>
      <c r="X26" s="45">
        <v>10</v>
      </c>
      <c r="Y26" s="45">
        <v>10</v>
      </c>
      <c r="Z26" s="45">
        <v>10</v>
      </c>
      <c r="AA26" s="45">
        <v>10</v>
      </c>
      <c r="AB26" s="45">
        <v>10</v>
      </c>
      <c r="AC26" s="45">
        <v>10</v>
      </c>
      <c r="AD26" s="45">
        <v>10</v>
      </c>
      <c r="AE26" s="45">
        <v>10</v>
      </c>
      <c r="AF26" s="45">
        <v>10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11</v>
      </c>
      <c r="C27" s="45">
        <v>11</v>
      </c>
      <c r="D27" s="45">
        <v>11</v>
      </c>
      <c r="E27" s="45">
        <v>11</v>
      </c>
      <c r="F27" s="45">
        <v>11</v>
      </c>
      <c r="G27" s="45">
        <v>11</v>
      </c>
      <c r="H27" s="45">
        <v>11</v>
      </c>
      <c r="I27" s="45">
        <v>11</v>
      </c>
      <c r="J27" s="45">
        <v>11</v>
      </c>
      <c r="K27" s="45">
        <v>11</v>
      </c>
      <c r="L27" s="45">
        <v>11</v>
      </c>
      <c r="M27" s="45">
        <v>11</v>
      </c>
      <c r="N27" s="45">
        <v>11</v>
      </c>
      <c r="O27" s="45">
        <v>11</v>
      </c>
      <c r="P27" s="45">
        <v>11</v>
      </c>
      <c r="Q27" s="45">
        <v>11</v>
      </c>
      <c r="R27" s="45">
        <v>11</v>
      </c>
      <c r="S27" s="45">
        <v>11</v>
      </c>
      <c r="T27" s="45">
        <v>11</v>
      </c>
      <c r="U27" s="45">
        <v>11</v>
      </c>
      <c r="V27" s="45">
        <v>11</v>
      </c>
      <c r="W27" s="45">
        <v>11</v>
      </c>
      <c r="X27" s="45">
        <v>11</v>
      </c>
      <c r="Y27" s="45">
        <v>11</v>
      </c>
      <c r="Z27" s="45">
        <v>11</v>
      </c>
      <c r="AA27" s="45">
        <v>11</v>
      </c>
      <c r="AB27" s="45">
        <v>11</v>
      </c>
      <c r="AC27" s="45">
        <v>11</v>
      </c>
      <c r="AD27" s="45">
        <v>11</v>
      </c>
      <c r="AE27" s="45">
        <v>11</v>
      </c>
      <c r="AF27" s="45">
        <v>11</v>
      </c>
      <c r="AG27" s="51">
        <v>14.9</v>
      </c>
      <c r="AH27" s="48">
        <f t="shared" si="2"/>
        <v>11</v>
      </c>
      <c r="AI27" s="49">
        <f t="shared" si="3"/>
        <v>11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3.5</v>
      </c>
      <c r="C28" s="45">
        <v>3.5</v>
      </c>
      <c r="D28" s="45">
        <v>3.5</v>
      </c>
      <c r="E28" s="45">
        <v>3.5</v>
      </c>
      <c r="F28" s="45">
        <v>3.5</v>
      </c>
      <c r="G28" s="45">
        <v>3.5</v>
      </c>
      <c r="H28" s="45">
        <v>3.5</v>
      </c>
      <c r="I28" s="45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>
        <v>3.5</v>
      </c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45">
        <v>3.5</v>
      </c>
      <c r="Y28" s="45">
        <v>3.5</v>
      </c>
      <c r="Z28" s="45">
        <v>3.5</v>
      </c>
      <c r="AA28" s="45">
        <v>3.5</v>
      </c>
      <c r="AB28" s="45">
        <v>3.5</v>
      </c>
      <c r="AC28" s="45">
        <v>3.5</v>
      </c>
      <c r="AD28" s="45">
        <v>3.5</v>
      </c>
      <c r="AE28" s="45">
        <v>3.5</v>
      </c>
      <c r="AF28" s="45">
        <v>3.5</v>
      </c>
      <c r="AG28" s="51">
        <v>13.6</v>
      </c>
      <c r="AH28" s="48">
        <f t="shared" si="2"/>
        <v>3.5</v>
      </c>
      <c r="AI28" s="49">
        <f t="shared" si="3"/>
        <v>3.5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9</v>
      </c>
      <c r="C29" s="45">
        <v>9</v>
      </c>
      <c r="D29" s="45">
        <v>9</v>
      </c>
      <c r="E29" s="45">
        <v>9</v>
      </c>
      <c r="F29" s="45">
        <v>9</v>
      </c>
      <c r="G29" s="45">
        <v>9</v>
      </c>
      <c r="H29" s="45">
        <v>9</v>
      </c>
      <c r="I29" s="45">
        <v>9</v>
      </c>
      <c r="J29" s="45">
        <v>9</v>
      </c>
      <c r="K29" s="45">
        <v>9</v>
      </c>
      <c r="L29" s="45">
        <v>9</v>
      </c>
      <c r="M29" s="45">
        <v>9</v>
      </c>
      <c r="N29" s="45">
        <v>9</v>
      </c>
      <c r="O29" s="45">
        <v>9</v>
      </c>
      <c r="P29" s="45">
        <v>9</v>
      </c>
      <c r="Q29" s="45">
        <v>9</v>
      </c>
      <c r="R29" s="45">
        <v>9</v>
      </c>
      <c r="S29" s="45">
        <v>9</v>
      </c>
      <c r="T29" s="45">
        <v>9</v>
      </c>
      <c r="U29" s="45">
        <v>9</v>
      </c>
      <c r="V29" s="45">
        <v>9</v>
      </c>
      <c r="W29" s="45">
        <v>9</v>
      </c>
      <c r="X29" s="45">
        <v>9</v>
      </c>
      <c r="Y29" s="45">
        <v>9</v>
      </c>
      <c r="Z29" s="45">
        <v>9</v>
      </c>
      <c r="AA29" s="45">
        <v>9</v>
      </c>
      <c r="AB29" s="45">
        <v>9</v>
      </c>
      <c r="AC29" s="45">
        <v>9</v>
      </c>
      <c r="AD29" s="45">
        <v>9</v>
      </c>
      <c r="AE29" s="45">
        <v>9</v>
      </c>
      <c r="AF29" s="45">
        <v>9</v>
      </c>
      <c r="AG29" s="51">
        <v>13</v>
      </c>
      <c r="AH29" s="48">
        <f t="shared" si="2"/>
        <v>9</v>
      </c>
      <c r="AI29" s="49">
        <f t="shared" si="3"/>
        <v>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12</v>
      </c>
      <c r="K30" s="45">
        <v>12</v>
      </c>
      <c r="L30" s="45">
        <v>12</v>
      </c>
      <c r="M30" s="45">
        <v>8</v>
      </c>
      <c r="N30" s="45">
        <v>8</v>
      </c>
      <c r="O30" s="45">
        <v>8</v>
      </c>
      <c r="P30" s="45">
        <v>8</v>
      </c>
      <c r="Q30" s="45">
        <v>8</v>
      </c>
      <c r="R30" s="45">
        <v>8</v>
      </c>
      <c r="S30" s="45">
        <v>8</v>
      </c>
      <c r="T30" s="45">
        <v>8</v>
      </c>
      <c r="U30" s="45">
        <v>8</v>
      </c>
      <c r="V30" s="45">
        <v>8</v>
      </c>
      <c r="W30" s="45">
        <v>8</v>
      </c>
      <c r="X30" s="45">
        <v>9</v>
      </c>
      <c r="Y30" s="45">
        <v>9</v>
      </c>
      <c r="Z30" s="45">
        <v>9</v>
      </c>
      <c r="AA30" s="45">
        <v>9</v>
      </c>
      <c r="AB30" s="45">
        <v>9</v>
      </c>
      <c r="AC30" s="45">
        <v>9</v>
      </c>
      <c r="AD30" s="45">
        <v>0</v>
      </c>
      <c r="AE30" s="45">
        <v>0</v>
      </c>
      <c r="AF30" s="45">
        <v>0</v>
      </c>
      <c r="AG30" s="51">
        <v>12</v>
      </c>
      <c r="AH30" s="48">
        <f t="shared" si="2"/>
        <v>12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12</v>
      </c>
      <c r="C31" s="45">
        <v>12</v>
      </c>
      <c r="D31" s="45">
        <v>12</v>
      </c>
      <c r="E31" s="45">
        <v>12</v>
      </c>
      <c r="F31" s="45">
        <v>12</v>
      </c>
      <c r="G31" s="45">
        <v>12</v>
      </c>
      <c r="H31" s="45">
        <v>12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6</v>
      </c>
      <c r="AD31" s="45">
        <v>6</v>
      </c>
      <c r="AE31" s="45">
        <v>6</v>
      </c>
      <c r="AF31" s="45">
        <v>6</v>
      </c>
      <c r="AG31" s="51">
        <v>12</v>
      </c>
      <c r="AH31" s="48">
        <f t="shared" si="2"/>
        <v>12</v>
      </c>
      <c r="AI31" s="49">
        <f t="shared" si="3"/>
        <v>6</v>
      </c>
      <c r="AK31" s="50"/>
      <c r="AL31" s="17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1">
        <v>12</v>
      </c>
      <c r="AH32" s="48">
        <f t="shared" si="2"/>
        <v>0</v>
      </c>
      <c r="AI32" s="49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8</v>
      </c>
      <c r="C33" s="45">
        <v>8</v>
      </c>
      <c r="D33" s="45">
        <v>8</v>
      </c>
      <c r="E33" s="45">
        <v>8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3">
        <v>22</v>
      </c>
      <c r="AH33" s="48">
        <f t="shared" si="2"/>
        <v>8</v>
      </c>
      <c r="AI33" s="49">
        <f t="shared" si="3"/>
        <v>8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10</v>
      </c>
      <c r="C34" s="45">
        <v>10</v>
      </c>
      <c r="D34" s="45">
        <v>10</v>
      </c>
      <c r="E34" s="45">
        <v>10</v>
      </c>
      <c r="F34" s="45">
        <v>10</v>
      </c>
      <c r="G34" s="45">
        <v>10</v>
      </c>
      <c r="H34" s="45">
        <v>10</v>
      </c>
      <c r="I34" s="45">
        <v>10</v>
      </c>
      <c r="J34" s="45">
        <v>10</v>
      </c>
      <c r="K34" s="45">
        <v>10</v>
      </c>
      <c r="L34" s="45">
        <v>10</v>
      </c>
      <c r="M34" s="45">
        <v>10</v>
      </c>
      <c r="N34" s="45">
        <v>10</v>
      </c>
      <c r="O34" s="45">
        <v>10</v>
      </c>
      <c r="P34" s="45">
        <v>10</v>
      </c>
      <c r="Q34" s="45">
        <v>10</v>
      </c>
      <c r="R34" s="45">
        <v>10</v>
      </c>
      <c r="S34" s="45">
        <v>10</v>
      </c>
      <c r="T34" s="45">
        <v>10</v>
      </c>
      <c r="U34" s="45">
        <v>10</v>
      </c>
      <c r="V34" s="45">
        <v>10</v>
      </c>
      <c r="W34" s="45">
        <v>10</v>
      </c>
      <c r="X34" s="45">
        <v>10</v>
      </c>
      <c r="Y34" s="45">
        <v>10</v>
      </c>
      <c r="Z34" s="45">
        <v>10</v>
      </c>
      <c r="AA34" s="45">
        <v>10</v>
      </c>
      <c r="AB34" s="45">
        <v>10</v>
      </c>
      <c r="AC34" s="45">
        <v>10</v>
      </c>
      <c r="AD34" s="45">
        <v>10</v>
      </c>
      <c r="AE34" s="45">
        <v>10</v>
      </c>
      <c r="AF34" s="45">
        <v>10</v>
      </c>
      <c r="AG34" s="52">
        <v>11.88</v>
      </c>
      <c r="AH34" s="48">
        <f t="shared" si="2"/>
        <v>10</v>
      </c>
      <c r="AI34" s="49">
        <f t="shared" si="3"/>
        <v>10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9</v>
      </c>
      <c r="C35" s="45">
        <v>9</v>
      </c>
      <c r="D35" s="45">
        <v>9</v>
      </c>
      <c r="E35" s="45">
        <v>9</v>
      </c>
      <c r="F35" s="45">
        <v>9</v>
      </c>
      <c r="G35" s="45">
        <v>9</v>
      </c>
      <c r="H35" s="45">
        <v>9</v>
      </c>
      <c r="I35" s="45">
        <v>9</v>
      </c>
      <c r="J35" s="45">
        <v>9</v>
      </c>
      <c r="K35" s="45">
        <v>9</v>
      </c>
      <c r="L35" s="45">
        <v>9</v>
      </c>
      <c r="M35" s="45">
        <v>9</v>
      </c>
      <c r="N35" s="45">
        <v>9</v>
      </c>
      <c r="O35" s="45">
        <v>9</v>
      </c>
      <c r="P35" s="45">
        <v>9</v>
      </c>
      <c r="Q35" s="45">
        <v>9</v>
      </c>
      <c r="R35" s="45">
        <v>9</v>
      </c>
      <c r="S35" s="45">
        <v>9</v>
      </c>
      <c r="T35" s="45">
        <v>9</v>
      </c>
      <c r="U35" s="45">
        <v>9</v>
      </c>
      <c r="V35" s="45">
        <v>9</v>
      </c>
      <c r="W35" s="45">
        <v>9</v>
      </c>
      <c r="X35" s="45">
        <v>9</v>
      </c>
      <c r="Y35" s="45">
        <v>9</v>
      </c>
      <c r="Z35" s="45">
        <v>9</v>
      </c>
      <c r="AA35" s="45">
        <v>9</v>
      </c>
      <c r="AB35" s="45">
        <v>9</v>
      </c>
      <c r="AC35" s="45">
        <v>9</v>
      </c>
      <c r="AD35" s="45">
        <v>9</v>
      </c>
      <c r="AE35" s="45">
        <v>9</v>
      </c>
      <c r="AF35" s="45">
        <v>9</v>
      </c>
      <c r="AG35" s="55">
        <v>11</v>
      </c>
      <c r="AH35" s="48">
        <f t="shared" si="2"/>
        <v>9</v>
      </c>
      <c r="AI35" s="49">
        <f t="shared" si="3"/>
        <v>9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5">
        <v>10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2</v>
      </c>
      <c r="N37" s="45">
        <v>2</v>
      </c>
      <c r="O37" s="45">
        <v>2</v>
      </c>
      <c r="P37" s="45">
        <v>2</v>
      </c>
      <c r="Q37" s="45">
        <v>2</v>
      </c>
      <c r="R37" s="45">
        <v>2</v>
      </c>
      <c r="S37" s="45">
        <v>2</v>
      </c>
      <c r="T37" s="45">
        <v>2</v>
      </c>
      <c r="U37" s="45">
        <v>2</v>
      </c>
      <c r="V37" s="45">
        <v>2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2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270</v>
      </c>
      <c r="C38" s="57">
        <v>270</v>
      </c>
      <c r="D38" s="57">
        <v>270</v>
      </c>
      <c r="E38" s="57">
        <v>270</v>
      </c>
      <c r="F38" s="57">
        <v>270</v>
      </c>
      <c r="G38" s="57">
        <v>270</v>
      </c>
      <c r="H38" s="57">
        <v>270</v>
      </c>
      <c r="I38" s="57">
        <v>270</v>
      </c>
      <c r="J38" s="57">
        <v>270</v>
      </c>
      <c r="K38" s="57">
        <v>270</v>
      </c>
      <c r="L38" s="57">
        <v>270</v>
      </c>
      <c r="M38" s="57">
        <v>270</v>
      </c>
      <c r="N38" s="57">
        <v>270</v>
      </c>
      <c r="O38" s="57">
        <v>270</v>
      </c>
      <c r="P38" s="57">
        <v>270</v>
      </c>
      <c r="Q38" s="57">
        <v>270</v>
      </c>
      <c r="R38" s="57">
        <v>270</v>
      </c>
      <c r="S38" s="57">
        <v>270</v>
      </c>
      <c r="T38" s="57">
        <v>270</v>
      </c>
      <c r="U38" s="57">
        <v>270</v>
      </c>
      <c r="V38" s="57">
        <v>270</v>
      </c>
      <c r="W38" s="57">
        <v>270</v>
      </c>
      <c r="X38" s="57">
        <v>300</v>
      </c>
      <c r="Y38" s="57">
        <v>270</v>
      </c>
      <c r="Z38" s="57">
        <v>270</v>
      </c>
      <c r="AA38" s="57">
        <v>270</v>
      </c>
      <c r="AB38" s="57">
        <v>270</v>
      </c>
      <c r="AC38" s="57">
        <v>270</v>
      </c>
      <c r="AD38" s="57">
        <v>270</v>
      </c>
      <c r="AE38" s="57">
        <v>270</v>
      </c>
      <c r="AF38" s="57">
        <v>270</v>
      </c>
      <c r="AG38" s="55">
        <v>85</v>
      </c>
      <c r="AH38" s="48">
        <f t="shared" si="2"/>
        <v>300</v>
      </c>
      <c r="AI38" s="49">
        <f t="shared" si="3"/>
        <v>270</v>
      </c>
      <c r="AK38" s="50"/>
    </row>
    <row r="39" spans="1:88" ht="15.75" thickBot="1" x14ac:dyDescent="0.3">
      <c r="A39" s="58" t="s">
        <v>47</v>
      </c>
      <c r="B39" s="59">
        <v>121</v>
      </c>
      <c r="C39" s="59">
        <v>121</v>
      </c>
      <c r="D39" s="59">
        <v>121</v>
      </c>
      <c r="E39" s="59">
        <f>67.3+53.9</f>
        <v>121.19999999999999</v>
      </c>
      <c r="F39" s="59">
        <f>68.7+54.1</f>
        <v>122.80000000000001</v>
      </c>
      <c r="G39" s="59">
        <f>69.4+55</f>
        <v>124.4</v>
      </c>
      <c r="H39" s="59">
        <f>69+54</f>
        <v>123</v>
      </c>
      <c r="I39" s="59">
        <f>70+54</f>
        <v>124</v>
      </c>
      <c r="J39" s="59">
        <f>70+55</f>
        <v>125</v>
      </c>
      <c r="K39" s="59">
        <f>70.2+53.9</f>
        <v>124.1</v>
      </c>
      <c r="L39" s="59">
        <f>70.2+53.9</f>
        <v>124.1</v>
      </c>
      <c r="M39" s="57">
        <f>53.6+69.3</f>
        <v>122.9</v>
      </c>
      <c r="N39" s="57">
        <f>37.9+68.9</f>
        <v>106.80000000000001</v>
      </c>
      <c r="O39" s="57">
        <f>53+68.6</f>
        <v>121.6</v>
      </c>
      <c r="P39" s="57">
        <f>47.6+63.2</f>
        <v>110.80000000000001</v>
      </c>
      <c r="Q39" s="57">
        <f>47.6+63.2</f>
        <v>110.80000000000001</v>
      </c>
      <c r="R39" s="57">
        <f>61.4+58.5</f>
        <v>119.9</v>
      </c>
      <c r="S39" s="59">
        <f>54.5+66</f>
        <v>120.5</v>
      </c>
      <c r="T39" s="59">
        <f>53.8+70.6</f>
        <v>124.39999999999999</v>
      </c>
      <c r="U39" s="59">
        <f>71+52.7</f>
        <v>123.7</v>
      </c>
      <c r="V39" s="59">
        <f>63.7+54.3</f>
        <v>118</v>
      </c>
      <c r="W39" s="59">
        <f>62+53</f>
        <v>115</v>
      </c>
      <c r="X39" s="59">
        <v>112.1</v>
      </c>
      <c r="Y39" s="59">
        <f>63+51</f>
        <v>114</v>
      </c>
      <c r="Z39" s="59">
        <f>65.7+50.1</f>
        <v>115.80000000000001</v>
      </c>
      <c r="AA39" s="59">
        <f>65.4+50</f>
        <v>115.4</v>
      </c>
      <c r="AB39" s="59">
        <f>65.4+50</f>
        <v>115.4</v>
      </c>
      <c r="AC39" s="59">
        <f>65.4+50</f>
        <v>115.4</v>
      </c>
      <c r="AD39" s="59">
        <f>65.4+50</f>
        <v>115.4</v>
      </c>
      <c r="AE39" s="59">
        <f>65.4+50</f>
        <v>115.4</v>
      </c>
      <c r="AF39" s="59">
        <v>125</v>
      </c>
      <c r="AG39" s="55">
        <v>240</v>
      </c>
      <c r="AH39" s="48">
        <f t="shared" si="2"/>
        <v>125</v>
      </c>
      <c r="AI39" s="49">
        <f t="shared" si="3"/>
        <v>106.80000000000001</v>
      </c>
      <c r="AK39" s="50"/>
    </row>
    <row r="40" spans="1:88" ht="15.75" thickBot="1" x14ac:dyDescent="0.3">
      <c r="A40" s="60" t="s">
        <v>48</v>
      </c>
      <c r="B40" s="61">
        <f t="shared" ref="B40:AG40" si="4">SUM(B11:B38)</f>
        <v>641.5</v>
      </c>
      <c r="C40" s="61">
        <f t="shared" si="4"/>
        <v>641.5</v>
      </c>
      <c r="D40" s="61">
        <f t="shared" si="4"/>
        <v>641.1</v>
      </c>
      <c r="E40" s="61">
        <f t="shared" si="4"/>
        <v>641.5</v>
      </c>
      <c r="F40" s="61">
        <f t="shared" si="4"/>
        <v>641.5</v>
      </c>
      <c r="G40" s="61">
        <f t="shared" si="4"/>
        <v>641.5</v>
      </c>
      <c r="H40" s="61">
        <f t="shared" si="4"/>
        <v>639.29999999999995</v>
      </c>
      <c r="I40" s="61">
        <f t="shared" si="4"/>
        <v>642.29999999999995</v>
      </c>
      <c r="J40" s="61">
        <f t="shared" si="4"/>
        <v>697.3</v>
      </c>
      <c r="K40" s="61">
        <f t="shared" si="4"/>
        <v>723.40000000000009</v>
      </c>
      <c r="L40" s="61">
        <f t="shared" si="4"/>
        <v>721.5</v>
      </c>
      <c r="M40" s="61">
        <f t="shared" si="4"/>
        <v>719.5</v>
      </c>
      <c r="N40" s="61">
        <f t="shared" si="4"/>
        <v>709.59999999999991</v>
      </c>
      <c r="O40" s="61">
        <f t="shared" si="4"/>
        <v>707.59999999999991</v>
      </c>
      <c r="P40" s="61">
        <f t="shared" si="4"/>
        <v>705.3</v>
      </c>
      <c r="Q40" s="61">
        <f t="shared" si="4"/>
        <v>705.3</v>
      </c>
      <c r="R40" s="61">
        <f t="shared" si="4"/>
        <v>703.59999999999991</v>
      </c>
      <c r="S40" s="61">
        <f t="shared" si="4"/>
        <v>703.59999999999991</v>
      </c>
      <c r="T40" s="61">
        <f t="shared" si="4"/>
        <v>703.59999999999991</v>
      </c>
      <c r="U40" s="61">
        <f t="shared" si="4"/>
        <v>704.59999999999991</v>
      </c>
      <c r="V40" s="61">
        <f t="shared" si="4"/>
        <v>705.59999999999991</v>
      </c>
      <c r="W40" s="61">
        <f t="shared" si="4"/>
        <v>703.59999999999991</v>
      </c>
      <c r="X40" s="61">
        <f t="shared" si="4"/>
        <v>737.90000000000009</v>
      </c>
      <c r="Y40" s="61">
        <f t="shared" si="4"/>
        <v>707.90000000000009</v>
      </c>
      <c r="Z40" s="61">
        <f t="shared" si="4"/>
        <v>707.90000000000009</v>
      </c>
      <c r="AA40" s="61">
        <f t="shared" si="4"/>
        <v>707.90000000000009</v>
      </c>
      <c r="AB40" s="61">
        <f t="shared" si="4"/>
        <v>708.3</v>
      </c>
      <c r="AC40" s="61">
        <f t="shared" si="4"/>
        <v>669.2</v>
      </c>
      <c r="AD40" s="61">
        <f t="shared" si="4"/>
        <v>646.70000000000005</v>
      </c>
      <c r="AE40" s="61">
        <f t="shared" si="4"/>
        <v>647.4</v>
      </c>
      <c r="AF40" s="61">
        <f t="shared" si="4"/>
        <v>643.9</v>
      </c>
      <c r="AG40" s="62">
        <f t="shared" si="4"/>
        <v>707.78000000000009</v>
      </c>
      <c r="AH40" s="48">
        <f t="shared" si="2"/>
        <v>737.90000000000009</v>
      </c>
      <c r="AI40" s="49">
        <f t="shared" si="3"/>
        <v>639.29999999999995</v>
      </c>
      <c r="AK40" s="50"/>
    </row>
    <row r="41" spans="1:88" x14ac:dyDescent="0.25">
      <c r="A41" s="63" t="s">
        <v>49</v>
      </c>
      <c r="B41" s="45">
        <v>180</v>
      </c>
      <c r="C41" s="45">
        <v>210</v>
      </c>
      <c r="D41" s="45">
        <v>190</v>
      </c>
      <c r="E41" s="45">
        <v>170</v>
      </c>
      <c r="F41" s="45">
        <v>150</v>
      </c>
      <c r="G41" s="45">
        <v>220</v>
      </c>
      <c r="H41" s="45">
        <v>220</v>
      </c>
      <c r="I41" s="45">
        <v>240</v>
      </c>
      <c r="J41" s="45">
        <v>270</v>
      </c>
      <c r="K41" s="45">
        <v>250</v>
      </c>
      <c r="L41" s="45">
        <v>340</v>
      </c>
      <c r="M41" s="45">
        <v>380</v>
      </c>
      <c r="N41" s="45">
        <v>330</v>
      </c>
      <c r="O41" s="45">
        <v>330</v>
      </c>
      <c r="P41" s="45">
        <v>240</v>
      </c>
      <c r="Q41" s="45">
        <v>225</v>
      </c>
      <c r="R41" s="45">
        <v>110</v>
      </c>
      <c r="S41" s="45">
        <v>100</v>
      </c>
      <c r="T41" s="45">
        <v>120</v>
      </c>
      <c r="U41" s="45">
        <v>170</v>
      </c>
      <c r="V41" s="45">
        <v>180</v>
      </c>
      <c r="W41" s="45">
        <v>320</v>
      </c>
      <c r="X41" s="45">
        <v>456</v>
      </c>
      <c r="Y41" s="45">
        <v>400</v>
      </c>
      <c r="Z41" s="45">
        <v>355</v>
      </c>
      <c r="AA41" s="45">
        <v>360</v>
      </c>
      <c r="AB41" s="45">
        <v>290</v>
      </c>
      <c r="AC41" s="45">
        <v>290</v>
      </c>
      <c r="AD41" s="45">
        <v>250</v>
      </c>
      <c r="AE41" s="45">
        <v>160</v>
      </c>
      <c r="AF41" s="45">
        <v>200</v>
      </c>
      <c r="AG41" s="52">
        <v>456</v>
      </c>
      <c r="AH41" s="48">
        <f t="shared" si="2"/>
        <v>456</v>
      </c>
      <c r="AI41" s="49">
        <f t="shared" si="3"/>
        <v>100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22</v>
      </c>
      <c r="C43" s="67">
        <v>22</v>
      </c>
      <c r="D43" s="67">
        <v>22</v>
      </c>
      <c r="E43" s="67">
        <v>22</v>
      </c>
      <c r="F43" s="67">
        <v>22</v>
      </c>
      <c r="G43" s="67">
        <v>22</v>
      </c>
      <c r="H43" s="67">
        <v>22</v>
      </c>
      <c r="I43" s="67">
        <v>22</v>
      </c>
      <c r="J43" s="67">
        <v>22</v>
      </c>
      <c r="K43" s="67">
        <v>22</v>
      </c>
      <c r="L43" s="67">
        <v>22</v>
      </c>
      <c r="M43" s="67">
        <v>22</v>
      </c>
      <c r="N43" s="67">
        <v>22</v>
      </c>
      <c r="O43" s="67">
        <v>22</v>
      </c>
      <c r="P43" s="67">
        <v>22</v>
      </c>
      <c r="Q43" s="67">
        <v>22</v>
      </c>
      <c r="R43" s="67">
        <v>22</v>
      </c>
      <c r="S43" s="67">
        <v>22</v>
      </c>
      <c r="T43" s="67">
        <v>22</v>
      </c>
      <c r="U43" s="67">
        <v>22</v>
      </c>
      <c r="V43" s="67">
        <v>22</v>
      </c>
      <c r="W43" s="67">
        <v>22</v>
      </c>
      <c r="X43" s="67">
        <v>22</v>
      </c>
      <c r="Y43" s="67">
        <v>22</v>
      </c>
      <c r="Z43" s="67">
        <v>22</v>
      </c>
      <c r="AA43" s="67">
        <v>22</v>
      </c>
      <c r="AB43" s="67">
        <v>22</v>
      </c>
      <c r="AC43" s="67">
        <v>22</v>
      </c>
      <c r="AD43" s="67">
        <v>22</v>
      </c>
      <c r="AE43" s="67">
        <v>22</v>
      </c>
      <c r="AF43" s="67">
        <v>22</v>
      </c>
      <c r="AG43" s="68">
        <v>22.1</v>
      </c>
      <c r="AH43" s="48">
        <f t="shared" si="2"/>
        <v>22</v>
      </c>
      <c r="AI43" s="49">
        <f t="shared" si="3"/>
        <v>22</v>
      </c>
      <c r="AK43" s="50"/>
    </row>
    <row r="44" spans="1:88" ht="15.75" thickBot="1" x14ac:dyDescent="0.3">
      <c r="A44" s="69" t="s">
        <v>52</v>
      </c>
      <c r="B44" s="61">
        <f t="shared" ref="B44:AG44" si="5">SUM(B41:B43)</f>
        <v>262</v>
      </c>
      <c r="C44" s="61">
        <f t="shared" si="5"/>
        <v>292</v>
      </c>
      <c r="D44" s="61">
        <f t="shared" si="5"/>
        <v>272</v>
      </c>
      <c r="E44" s="61">
        <f t="shared" si="5"/>
        <v>252</v>
      </c>
      <c r="F44" s="61">
        <f t="shared" si="5"/>
        <v>232</v>
      </c>
      <c r="G44" s="61">
        <f t="shared" si="5"/>
        <v>302</v>
      </c>
      <c r="H44" s="61">
        <f t="shared" si="5"/>
        <v>302</v>
      </c>
      <c r="I44" s="61">
        <f t="shared" si="5"/>
        <v>322</v>
      </c>
      <c r="J44" s="61">
        <f t="shared" si="5"/>
        <v>352</v>
      </c>
      <c r="K44" s="61">
        <f t="shared" si="5"/>
        <v>332</v>
      </c>
      <c r="L44" s="61">
        <f t="shared" si="5"/>
        <v>422</v>
      </c>
      <c r="M44" s="61">
        <f t="shared" si="5"/>
        <v>462</v>
      </c>
      <c r="N44" s="61">
        <f t="shared" si="5"/>
        <v>412</v>
      </c>
      <c r="O44" s="61">
        <f t="shared" si="5"/>
        <v>412</v>
      </c>
      <c r="P44" s="61">
        <f t="shared" si="5"/>
        <v>322</v>
      </c>
      <c r="Q44" s="61">
        <f t="shared" si="5"/>
        <v>307</v>
      </c>
      <c r="R44" s="61">
        <f t="shared" si="5"/>
        <v>192</v>
      </c>
      <c r="S44" s="61">
        <f t="shared" si="5"/>
        <v>182</v>
      </c>
      <c r="T44" s="61">
        <f t="shared" si="5"/>
        <v>202</v>
      </c>
      <c r="U44" s="61">
        <f t="shared" si="5"/>
        <v>252</v>
      </c>
      <c r="V44" s="61">
        <f t="shared" si="5"/>
        <v>262</v>
      </c>
      <c r="W44" s="61">
        <f t="shared" si="5"/>
        <v>402</v>
      </c>
      <c r="X44" s="61">
        <f t="shared" si="5"/>
        <v>538</v>
      </c>
      <c r="Y44" s="61">
        <f t="shared" si="5"/>
        <v>482</v>
      </c>
      <c r="Z44" s="61">
        <f t="shared" si="5"/>
        <v>437</v>
      </c>
      <c r="AA44" s="61">
        <f t="shared" si="5"/>
        <v>442</v>
      </c>
      <c r="AB44" s="61">
        <f t="shared" si="5"/>
        <v>372</v>
      </c>
      <c r="AC44" s="61">
        <f t="shared" si="5"/>
        <v>372</v>
      </c>
      <c r="AD44" s="61">
        <f t="shared" si="5"/>
        <v>332</v>
      </c>
      <c r="AE44" s="61">
        <f t="shared" si="5"/>
        <v>242</v>
      </c>
      <c r="AF44" s="61">
        <f t="shared" si="5"/>
        <v>282</v>
      </c>
      <c r="AG44" s="62">
        <f t="shared" si="5"/>
        <v>538.1</v>
      </c>
      <c r="AH44" s="48">
        <f t="shared" si="2"/>
        <v>538</v>
      </c>
      <c r="AI44" s="49">
        <f t="shared" si="3"/>
        <v>182</v>
      </c>
      <c r="AK44" s="50"/>
    </row>
    <row r="45" spans="1:88" x14ac:dyDescent="0.25">
      <c r="A45" s="44" t="s">
        <v>53</v>
      </c>
      <c r="B45" s="45">
        <v>104</v>
      </c>
      <c r="C45" s="45">
        <v>91</v>
      </c>
      <c r="D45" s="45">
        <v>91.4</v>
      </c>
      <c r="E45" s="45">
        <v>91.2</v>
      </c>
      <c r="F45" s="45">
        <v>91.3</v>
      </c>
      <c r="G45" s="45">
        <v>100</v>
      </c>
      <c r="H45" s="45">
        <v>100</v>
      </c>
      <c r="I45" s="45">
        <v>144.5</v>
      </c>
      <c r="J45" s="45">
        <v>144.5</v>
      </c>
      <c r="K45" s="45">
        <v>144.5</v>
      </c>
      <c r="L45" s="45">
        <v>144.5</v>
      </c>
      <c r="M45" s="45">
        <v>144.4</v>
      </c>
      <c r="N45" s="45">
        <v>144.4</v>
      </c>
      <c r="O45" s="45">
        <v>144.4</v>
      </c>
      <c r="P45" s="45">
        <v>144.4</v>
      </c>
      <c r="Q45" s="45">
        <v>144.4</v>
      </c>
      <c r="R45" s="45">
        <v>144.4</v>
      </c>
      <c r="S45" s="45">
        <v>144.4</v>
      </c>
      <c r="T45" s="45">
        <v>144.4</v>
      </c>
      <c r="U45" s="45">
        <v>144.4</v>
      </c>
      <c r="V45" s="45">
        <v>144.4</v>
      </c>
      <c r="W45" s="45">
        <v>144.4</v>
      </c>
      <c r="X45" s="45">
        <v>143.5</v>
      </c>
      <c r="Y45" s="45">
        <v>143.5</v>
      </c>
      <c r="Z45" s="45">
        <v>143.5</v>
      </c>
      <c r="AA45" s="45">
        <v>143.5</v>
      </c>
      <c r="AB45" s="45">
        <v>143.5</v>
      </c>
      <c r="AC45" s="45">
        <v>143.5</v>
      </c>
      <c r="AD45" s="45">
        <v>143.5</v>
      </c>
      <c r="AE45" s="45">
        <v>143.5</v>
      </c>
      <c r="AF45" s="45">
        <v>121.5</v>
      </c>
      <c r="AG45" s="52">
        <v>144</v>
      </c>
      <c r="AH45" s="48">
        <f t="shared" si="2"/>
        <v>144.5</v>
      </c>
      <c r="AI45" s="49">
        <f t="shared" si="3"/>
        <v>91</v>
      </c>
      <c r="AK45" s="50"/>
    </row>
    <row r="46" spans="1:88" x14ac:dyDescent="0.25">
      <c r="A46" s="54" t="s">
        <v>54</v>
      </c>
      <c r="B46" s="65">
        <v>50</v>
      </c>
      <c r="C46" s="65">
        <v>50.4</v>
      </c>
      <c r="D46" s="65">
        <v>50</v>
      </c>
      <c r="E46" s="65">
        <v>50</v>
      </c>
      <c r="F46" s="65">
        <v>49.5</v>
      </c>
      <c r="G46" s="65">
        <v>60.8</v>
      </c>
      <c r="H46" s="65">
        <v>70.3</v>
      </c>
      <c r="I46" s="65">
        <v>71</v>
      </c>
      <c r="J46" s="65">
        <v>71</v>
      </c>
      <c r="K46" s="65">
        <v>71</v>
      </c>
      <c r="L46" s="65">
        <v>71</v>
      </c>
      <c r="M46" s="65">
        <v>71</v>
      </c>
      <c r="N46" s="65">
        <v>71</v>
      </c>
      <c r="O46" s="65">
        <v>71</v>
      </c>
      <c r="P46" s="65">
        <v>71.3</v>
      </c>
      <c r="Q46" s="65">
        <v>71.3</v>
      </c>
      <c r="R46" s="65">
        <v>71.3</v>
      </c>
      <c r="S46" s="65">
        <v>71.3</v>
      </c>
      <c r="T46" s="65">
        <v>71.3</v>
      </c>
      <c r="U46" s="65">
        <v>71.3</v>
      </c>
      <c r="V46" s="65">
        <v>71.3</v>
      </c>
      <c r="W46" s="65">
        <v>71.3</v>
      </c>
      <c r="X46" s="65">
        <v>72.3</v>
      </c>
      <c r="Y46" s="65">
        <v>72.3</v>
      </c>
      <c r="Z46" s="65">
        <v>72.3</v>
      </c>
      <c r="AA46" s="65">
        <v>72.3</v>
      </c>
      <c r="AB46" s="65">
        <v>72.3</v>
      </c>
      <c r="AC46" s="65">
        <v>72.3</v>
      </c>
      <c r="AD46" s="65">
        <v>72.3</v>
      </c>
      <c r="AE46" s="65">
        <v>72.3</v>
      </c>
      <c r="AF46" s="65">
        <v>60</v>
      </c>
      <c r="AG46" s="55">
        <v>70</v>
      </c>
      <c r="AH46" s="48">
        <f t="shared" si="2"/>
        <v>72.3</v>
      </c>
      <c r="AI46" s="49">
        <f t="shared" si="3"/>
        <v>49.5</v>
      </c>
      <c r="AK46" s="50"/>
    </row>
    <row r="47" spans="1:88" x14ac:dyDescent="0.25">
      <c r="A47" s="54" t="s">
        <v>55</v>
      </c>
      <c r="B47" s="65">
        <v>61.5</v>
      </c>
      <c r="C47" s="65">
        <v>61.4</v>
      </c>
      <c r="D47" s="65">
        <v>61.5</v>
      </c>
      <c r="E47" s="65">
        <v>61.3</v>
      </c>
      <c r="F47" s="65">
        <v>61.3</v>
      </c>
      <c r="G47" s="65">
        <v>69.5</v>
      </c>
      <c r="H47" s="65">
        <v>70.3</v>
      </c>
      <c r="I47" s="65">
        <v>70.900000000000006</v>
      </c>
      <c r="J47" s="65">
        <v>70.900000000000006</v>
      </c>
      <c r="K47" s="65">
        <v>70.900000000000006</v>
      </c>
      <c r="L47" s="65">
        <v>70.900000000000006</v>
      </c>
      <c r="M47" s="65">
        <v>70.900000000000006</v>
      </c>
      <c r="N47" s="65">
        <v>70.900000000000006</v>
      </c>
      <c r="O47" s="65">
        <v>70.900000000000006</v>
      </c>
      <c r="P47" s="65">
        <v>70.900000000000006</v>
      </c>
      <c r="Q47" s="65">
        <v>70.900000000000006</v>
      </c>
      <c r="R47" s="65">
        <v>70.900000000000006</v>
      </c>
      <c r="S47" s="65">
        <v>70.900000000000006</v>
      </c>
      <c r="T47" s="65">
        <v>70.900000000000006</v>
      </c>
      <c r="U47" s="65">
        <v>70.900000000000006</v>
      </c>
      <c r="V47" s="65">
        <v>70.900000000000006</v>
      </c>
      <c r="W47" s="65">
        <v>70.900000000000006</v>
      </c>
      <c r="X47" s="65">
        <v>70.8</v>
      </c>
      <c r="Y47" s="65">
        <v>70.8</v>
      </c>
      <c r="Z47" s="65">
        <v>70.8</v>
      </c>
      <c r="AA47" s="65">
        <v>70.8</v>
      </c>
      <c r="AB47" s="65">
        <v>70.8</v>
      </c>
      <c r="AC47" s="65">
        <v>70.8</v>
      </c>
      <c r="AD47" s="65">
        <v>70.8</v>
      </c>
      <c r="AE47" s="65">
        <v>70.8</v>
      </c>
      <c r="AF47" s="65">
        <v>71</v>
      </c>
      <c r="AG47" s="55">
        <v>69</v>
      </c>
      <c r="AH47" s="48">
        <f t="shared" si="2"/>
        <v>71</v>
      </c>
      <c r="AI47" s="49">
        <f t="shared" si="3"/>
        <v>61.3</v>
      </c>
      <c r="AK47" s="50"/>
    </row>
    <row r="48" spans="1:88" x14ac:dyDescent="0.25">
      <c r="A48" s="54" t="s">
        <v>56</v>
      </c>
      <c r="B48" s="57">
        <v>50.4</v>
      </c>
      <c r="C48" s="57">
        <v>40</v>
      </c>
      <c r="D48" s="57">
        <v>40</v>
      </c>
      <c r="E48" s="57">
        <v>40.1</v>
      </c>
      <c r="F48" s="57">
        <v>40.1</v>
      </c>
      <c r="G48" s="57">
        <v>50</v>
      </c>
      <c r="H48" s="57">
        <v>60.4</v>
      </c>
      <c r="I48" s="57">
        <v>60.7</v>
      </c>
      <c r="J48" s="57">
        <v>60.7</v>
      </c>
      <c r="K48" s="57">
        <v>60.7</v>
      </c>
      <c r="L48" s="57">
        <v>60.7</v>
      </c>
      <c r="M48" s="57">
        <v>60.7</v>
      </c>
      <c r="N48" s="57">
        <v>60.7</v>
      </c>
      <c r="O48" s="57">
        <v>60.7</v>
      </c>
      <c r="P48" s="57">
        <v>60.7</v>
      </c>
      <c r="Q48" s="57">
        <v>60.7</v>
      </c>
      <c r="R48" s="57">
        <v>60.7</v>
      </c>
      <c r="S48" s="57">
        <v>60.7</v>
      </c>
      <c r="T48" s="57">
        <v>60.7</v>
      </c>
      <c r="U48" s="57">
        <v>60.7</v>
      </c>
      <c r="V48" s="57">
        <v>60.7</v>
      </c>
      <c r="W48" s="57">
        <v>60.7</v>
      </c>
      <c r="X48" s="65">
        <v>60.9</v>
      </c>
      <c r="Y48" s="65">
        <v>60.9</v>
      </c>
      <c r="Z48" s="65">
        <v>60.9</v>
      </c>
      <c r="AA48" s="65">
        <v>60.9</v>
      </c>
      <c r="AB48" s="65">
        <v>60.9</v>
      </c>
      <c r="AC48" s="65">
        <v>60.9</v>
      </c>
      <c r="AD48" s="65">
        <v>60.9</v>
      </c>
      <c r="AE48" s="65">
        <v>60.9</v>
      </c>
      <c r="AF48" s="57">
        <v>51.4</v>
      </c>
      <c r="AG48" s="55">
        <v>60</v>
      </c>
      <c r="AH48" s="48">
        <f t="shared" si="2"/>
        <v>60.9</v>
      </c>
      <c r="AI48" s="49">
        <f t="shared" si="3"/>
        <v>40</v>
      </c>
      <c r="AK48" s="50"/>
    </row>
    <row r="49" spans="1:41" x14ac:dyDescent="0.25">
      <c r="A49" s="54" t="s">
        <v>57</v>
      </c>
      <c r="B49" s="57">
        <v>0</v>
      </c>
      <c r="C49" s="57">
        <v>0</v>
      </c>
      <c r="D49" s="57">
        <v>0</v>
      </c>
      <c r="E49" s="57">
        <v>0</v>
      </c>
      <c r="F49" s="57">
        <v>0</v>
      </c>
      <c r="G49" s="57">
        <v>0</v>
      </c>
      <c r="H49" s="57">
        <v>15</v>
      </c>
      <c r="I49" s="57">
        <v>15</v>
      </c>
      <c r="J49" s="57">
        <v>30</v>
      </c>
      <c r="K49" s="57">
        <v>30</v>
      </c>
      <c r="L49" s="57">
        <v>30</v>
      </c>
      <c r="M49" s="45">
        <v>30</v>
      </c>
      <c r="N49" s="45">
        <v>25.8</v>
      </c>
      <c r="O49" s="45">
        <v>25.8</v>
      </c>
      <c r="P49" s="45">
        <v>15</v>
      </c>
      <c r="Q49" s="45">
        <v>0</v>
      </c>
      <c r="R49" s="45">
        <v>0</v>
      </c>
      <c r="S49" s="45">
        <v>0</v>
      </c>
      <c r="T49" s="45">
        <v>15</v>
      </c>
      <c r="U49" s="45">
        <v>13.5</v>
      </c>
      <c r="V49" s="45">
        <v>13.5</v>
      </c>
      <c r="W49" s="45">
        <v>26</v>
      </c>
      <c r="X49" s="65">
        <v>30</v>
      </c>
      <c r="Y49" s="65">
        <v>30</v>
      </c>
      <c r="Z49" s="65">
        <v>30</v>
      </c>
      <c r="AA49" s="65">
        <v>30</v>
      </c>
      <c r="AB49" s="65">
        <v>30</v>
      </c>
      <c r="AC49" s="65">
        <v>30</v>
      </c>
      <c r="AD49" s="65">
        <v>30</v>
      </c>
      <c r="AE49" s="65">
        <v>15</v>
      </c>
      <c r="AF49" s="57">
        <v>0</v>
      </c>
      <c r="AG49" s="55" t="s">
        <v>248</v>
      </c>
      <c r="AH49" s="48">
        <f t="shared" si="2"/>
        <v>30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6</v>
      </c>
      <c r="N50" s="65">
        <v>8</v>
      </c>
      <c r="O50" s="65">
        <v>10</v>
      </c>
      <c r="P50" s="65">
        <v>12</v>
      </c>
      <c r="Q50" s="65">
        <v>12</v>
      </c>
      <c r="R50" s="65">
        <v>12</v>
      </c>
      <c r="S50" s="65">
        <v>12</v>
      </c>
      <c r="T50" s="65">
        <v>12</v>
      </c>
      <c r="U50" s="65">
        <v>12</v>
      </c>
      <c r="V50" s="65">
        <v>12</v>
      </c>
      <c r="W50" s="65">
        <v>0</v>
      </c>
      <c r="X50" s="45">
        <v>0</v>
      </c>
      <c r="Y50" s="45">
        <v>0</v>
      </c>
      <c r="Z50" s="45">
        <v>0</v>
      </c>
      <c r="AA50" s="45">
        <v>0</v>
      </c>
      <c r="AB50" s="45">
        <v>0</v>
      </c>
      <c r="AC50" s="45">
        <v>0</v>
      </c>
      <c r="AD50" s="45">
        <v>0</v>
      </c>
      <c r="AE50" s="45">
        <v>0</v>
      </c>
      <c r="AF50" s="45">
        <v>0</v>
      </c>
      <c r="AG50" s="55">
        <v>25</v>
      </c>
      <c r="AH50" s="48">
        <f t="shared" si="2"/>
        <v>12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14.1</v>
      </c>
      <c r="C51" s="65">
        <v>14.1</v>
      </c>
      <c r="D51" s="65">
        <v>14.1</v>
      </c>
      <c r="E51" s="65">
        <v>14.1</v>
      </c>
      <c r="F51" s="65">
        <v>14.1</v>
      </c>
      <c r="G51" s="65">
        <v>14.1</v>
      </c>
      <c r="H51" s="65">
        <v>14.1</v>
      </c>
      <c r="I51" s="65">
        <v>14.1</v>
      </c>
      <c r="J51" s="65">
        <v>14.1</v>
      </c>
      <c r="K51" s="65">
        <v>14.1</v>
      </c>
      <c r="L51" s="65">
        <v>14.1</v>
      </c>
      <c r="M51" s="65">
        <v>14.1</v>
      </c>
      <c r="N51" s="65">
        <v>14.1</v>
      </c>
      <c r="O51" s="65">
        <v>14.1</v>
      </c>
      <c r="P51" s="65">
        <v>14.1</v>
      </c>
      <c r="Q51" s="65">
        <v>14.1</v>
      </c>
      <c r="R51" s="65">
        <v>14.1</v>
      </c>
      <c r="S51" s="65">
        <v>14.1</v>
      </c>
      <c r="T51" s="65">
        <v>14.1</v>
      </c>
      <c r="U51" s="65">
        <v>14.1</v>
      </c>
      <c r="V51" s="65">
        <v>14.1</v>
      </c>
      <c r="W51" s="65">
        <v>14.1</v>
      </c>
      <c r="X51" s="45">
        <v>14.1</v>
      </c>
      <c r="Y51" s="45">
        <v>14.1</v>
      </c>
      <c r="Z51" s="45">
        <v>14.1</v>
      </c>
      <c r="AA51" s="45">
        <v>14.1</v>
      </c>
      <c r="AB51" s="45">
        <v>14.1</v>
      </c>
      <c r="AC51" s="45">
        <v>14.1</v>
      </c>
      <c r="AD51" s="45">
        <v>14.1</v>
      </c>
      <c r="AE51" s="45">
        <v>14.1</v>
      </c>
      <c r="AF51" s="45">
        <v>14.1</v>
      </c>
      <c r="AG51" s="55">
        <v>24</v>
      </c>
      <c r="AH51" s="48">
        <f t="shared" si="2"/>
        <v>14.1</v>
      </c>
      <c r="AI51" s="49">
        <f t="shared" si="3"/>
        <v>14.1</v>
      </c>
      <c r="AK51" s="50"/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11.6</v>
      </c>
      <c r="C53" s="65">
        <v>11.6</v>
      </c>
      <c r="D53" s="65">
        <v>11.6</v>
      </c>
      <c r="E53" s="65">
        <v>11.6</v>
      </c>
      <c r="F53" s="65">
        <v>11.6</v>
      </c>
      <c r="G53" s="65">
        <v>11.6</v>
      </c>
      <c r="H53" s="65">
        <v>11.6</v>
      </c>
      <c r="I53" s="65">
        <v>11.6</v>
      </c>
      <c r="J53" s="65">
        <v>14</v>
      </c>
      <c r="K53" s="65">
        <v>14</v>
      </c>
      <c r="L53" s="65">
        <v>14</v>
      </c>
      <c r="M53" s="65">
        <v>14</v>
      </c>
      <c r="N53" s="65">
        <v>14</v>
      </c>
      <c r="O53" s="65">
        <v>14</v>
      </c>
      <c r="P53" s="65">
        <v>14</v>
      </c>
      <c r="Q53" s="65">
        <v>14</v>
      </c>
      <c r="R53" s="65">
        <v>14</v>
      </c>
      <c r="S53" s="65">
        <v>14</v>
      </c>
      <c r="T53" s="65">
        <v>14</v>
      </c>
      <c r="U53" s="65">
        <v>14</v>
      </c>
      <c r="V53" s="65">
        <v>14</v>
      </c>
      <c r="W53" s="65">
        <v>14</v>
      </c>
      <c r="X53" s="65">
        <v>14</v>
      </c>
      <c r="Y53" s="65">
        <v>14</v>
      </c>
      <c r="Z53" s="65">
        <v>14</v>
      </c>
      <c r="AA53" s="65">
        <v>14</v>
      </c>
      <c r="AB53" s="65">
        <v>14</v>
      </c>
      <c r="AC53" s="65">
        <v>14</v>
      </c>
      <c r="AD53" s="65">
        <v>14</v>
      </c>
      <c r="AE53" s="65">
        <v>14</v>
      </c>
      <c r="AF53" s="65">
        <v>14</v>
      </c>
      <c r="AG53" s="55">
        <v>14.1</v>
      </c>
      <c r="AH53" s="48">
        <f t="shared" si="2"/>
        <v>14</v>
      </c>
      <c r="AI53" s="49">
        <f t="shared" si="3"/>
        <v>11.6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13</v>
      </c>
      <c r="C54" s="65">
        <v>13</v>
      </c>
      <c r="D54" s="65">
        <v>13</v>
      </c>
      <c r="E54" s="65">
        <v>7</v>
      </c>
      <c r="F54" s="65">
        <v>7</v>
      </c>
      <c r="G54" s="65">
        <v>7</v>
      </c>
      <c r="H54" s="65">
        <v>7</v>
      </c>
      <c r="I54" s="65">
        <v>7</v>
      </c>
      <c r="J54" s="65">
        <v>7</v>
      </c>
      <c r="K54" s="65">
        <v>7</v>
      </c>
      <c r="L54" s="65">
        <v>7</v>
      </c>
      <c r="M54" s="65">
        <v>7</v>
      </c>
      <c r="N54" s="65">
        <v>7</v>
      </c>
      <c r="O54" s="65">
        <v>7</v>
      </c>
      <c r="P54" s="65">
        <v>7.2</v>
      </c>
      <c r="Q54" s="65">
        <v>7.2</v>
      </c>
      <c r="R54" s="65">
        <v>7.2</v>
      </c>
      <c r="S54" s="65">
        <v>7.2</v>
      </c>
      <c r="T54" s="65">
        <v>7.2</v>
      </c>
      <c r="U54" s="65">
        <v>7.2</v>
      </c>
      <c r="V54" s="65">
        <v>7.2</v>
      </c>
      <c r="W54" s="65">
        <v>7.2</v>
      </c>
      <c r="X54" s="65">
        <v>7.2</v>
      </c>
      <c r="Y54" s="65">
        <v>7.2</v>
      </c>
      <c r="Z54" s="65">
        <v>7.2</v>
      </c>
      <c r="AA54" s="65">
        <v>7.2</v>
      </c>
      <c r="AB54" s="65">
        <v>7.2</v>
      </c>
      <c r="AC54" s="65">
        <v>7.2</v>
      </c>
      <c r="AD54" s="65">
        <v>7.2</v>
      </c>
      <c r="AE54" s="65">
        <v>7.2</v>
      </c>
      <c r="AF54" s="65">
        <v>7.2</v>
      </c>
      <c r="AG54" s="55">
        <v>14</v>
      </c>
      <c r="AH54" s="48">
        <f t="shared" si="2"/>
        <v>13</v>
      </c>
      <c r="AI54" s="49">
        <f t="shared" si="3"/>
        <v>7</v>
      </c>
      <c r="AK54" s="50"/>
    </row>
    <row r="55" spans="1:41" x14ac:dyDescent="0.25">
      <c r="A55" s="54" t="s">
        <v>63</v>
      </c>
      <c r="B55" s="65">
        <v>0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9.5</v>
      </c>
      <c r="V55" s="65">
        <v>9.5</v>
      </c>
      <c r="W55" s="65">
        <v>9.5</v>
      </c>
      <c r="X55" s="65">
        <v>9.5</v>
      </c>
      <c r="Y55" s="65">
        <v>9.5</v>
      </c>
      <c r="Z55" s="65">
        <v>9.5</v>
      </c>
      <c r="AA55" s="65">
        <v>9.5</v>
      </c>
      <c r="AB55" s="65">
        <v>9.5</v>
      </c>
      <c r="AC55" s="65">
        <v>9.5</v>
      </c>
      <c r="AD55" s="65">
        <v>9.5</v>
      </c>
      <c r="AE55" s="65">
        <v>9.5</v>
      </c>
      <c r="AF55" s="65">
        <v>9.5</v>
      </c>
      <c r="AG55" s="55">
        <v>10.050000000000001</v>
      </c>
      <c r="AH55" s="48">
        <f t="shared" si="2"/>
        <v>9.5</v>
      </c>
      <c r="AI55" s="49">
        <f t="shared" si="3"/>
        <v>0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:AG58" si="6">SUM(B45:B57)</f>
        <v>314.34000000000003</v>
      </c>
      <c r="C58" s="61">
        <f t="shared" si="6"/>
        <v>291.24000000000007</v>
      </c>
      <c r="D58" s="61">
        <f t="shared" si="6"/>
        <v>291.34000000000003</v>
      </c>
      <c r="E58" s="61">
        <f t="shared" si="6"/>
        <v>285.04000000000002</v>
      </c>
      <c r="F58" s="61">
        <f t="shared" si="6"/>
        <v>284.64000000000004</v>
      </c>
      <c r="G58" s="61">
        <f t="shared" si="6"/>
        <v>322.74000000000007</v>
      </c>
      <c r="H58" s="61">
        <f t="shared" si="6"/>
        <v>358.44000000000005</v>
      </c>
      <c r="I58" s="61">
        <f t="shared" si="6"/>
        <v>404.54</v>
      </c>
      <c r="J58" s="61">
        <f t="shared" si="6"/>
        <v>421.94</v>
      </c>
      <c r="K58" s="61">
        <f t="shared" si="6"/>
        <v>421.94</v>
      </c>
      <c r="L58" s="61">
        <f t="shared" si="6"/>
        <v>421.94</v>
      </c>
      <c r="M58" s="61">
        <f t="shared" si="6"/>
        <v>427.84000000000003</v>
      </c>
      <c r="N58" s="61">
        <f t="shared" si="6"/>
        <v>425.64000000000004</v>
      </c>
      <c r="O58" s="61">
        <f t="shared" si="6"/>
        <v>427.64000000000004</v>
      </c>
      <c r="P58" s="61">
        <f t="shared" si="6"/>
        <v>419.34000000000003</v>
      </c>
      <c r="Q58" s="61">
        <f t="shared" si="6"/>
        <v>404.34000000000003</v>
      </c>
      <c r="R58" s="61">
        <f t="shared" si="6"/>
        <v>404.34000000000003</v>
      </c>
      <c r="S58" s="61">
        <f t="shared" si="6"/>
        <v>404.34000000000003</v>
      </c>
      <c r="T58" s="61">
        <f t="shared" si="6"/>
        <v>419.34000000000003</v>
      </c>
      <c r="U58" s="61">
        <f t="shared" si="6"/>
        <v>427.34000000000003</v>
      </c>
      <c r="V58" s="61">
        <f t="shared" si="6"/>
        <v>427.34000000000003</v>
      </c>
      <c r="W58" s="61">
        <f t="shared" si="6"/>
        <v>427.84000000000003</v>
      </c>
      <c r="X58" s="61">
        <f t="shared" si="6"/>
        <v>432.04</v>
      </c>
      <c r="Y58" s="61">
        <f t="shared" si="6"/>
        <v>432.04</v>
      </c>
      <c r="Z58" s="61">
        <f t="shared" si="6"/>
        <v>432.04</v>
      </c>
      <c r="AA58" s="61">
        <f t="shared" si="6"/>
        <v>432.04</v>
      </c>
      <c r="AB58" s="61">
        <f t="shared" si="6"/>
        <v>432.04</v>
      </c>
      <c r="AC58" s="61">
        <f t="shared" si="6"/>
        <v>432.04</v>
      </c>
      <c r="AD58" s="61">
        <f t="shared" si="6"/>
        <v>432.04</v>
      </c>
      <c r="AE58" s="61">
        <f t="shared" si="6"/>
        <v>417.04</v>
      </c>
      <c r="AF58" s="61">
        <f t="shared" si="6"/>
        <v>358.44</v>
      </c>
      <c r="AG58" s="62">
        <f t="shared" si="6"/>
        <v>459.91</v>
      </c>
      <c r="AH58" s="48">
        <f t="shared" si="2"/>
        <v>432.04</v>
      </c>
      <c r="AI58" s="49">
        <f t="shared" si="3"/>
        <v>284.64000000000004</v>
      </c>
      <c r="AK58" s="50"/>
    </row>
    <row r="59" spans="1:41" x14ac:dyDescent="0.25">
      <c r="A59" s="44" t="s">
        <v>67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/>
      <c r="C60" s="65"/>
      <c r="D60" s="65"/>
      <c r="E60" s="65"/>
      <c r="F60" s="65"/>
      <c r="G60" s="65"/>
      <c r="H60" s="65"/>
      <c r="I60" s="65"/>
      <c r="J60" s="65">
        <v>5</v>
      </c>
      <c r="K60" s="65"/>
      <c r="L60" s="65"/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4.5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32</v>
      </c>
      <c r="AH60" s="48">
        <f t="shared" si="2"/>
        <v>5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/>
      <c r="C61" s="67"/>
      <c r="D61" s="67"/>
      <c r="E61" s="67"/>
      <c r="F61" s="67"/>
      <c r="G61" s="67"/>
      <c r="H61" s="67"/>
      <c r="I61" s="67"/>
      <c r="J61" s="67">
        <v>0</v>
      </c>
      <c r="K61" s="67"/>
      <c r="L61" s="67"/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5</v>
      </c>
      <c r="Y61" s="67">
        <v>5</v>
      </c>
      <c r="Z61" s="67">
        <v>0</v>
      </c>
      <c r="AA61" s="67">
        <v>0</v>
      </c>
      <c r="AB61" s="67">
        <v>0</v>
      </c>
      <c r="AC61" s="67">
        <v>0</v>
      </c>
      <c r="AD61" s="67">
        <v>0</v>
      </c>
      <c r="AE61" s="67">
        <v>0</v>
      </c>
      <c r="AF61" s="67">
        <v>0</v>
      </c>
      <c r="AG61" s="68">
        <v>14</v>
      </c>
      <c r="AH61" s="48">
        <f t="shared" si="2"/>
        <v>5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AG62" si="7">SUM(B59:B61)</f>
        <v>0</v>
      </c>
      <c r="C62" s="61">
        <f t="shared" si="7"/>
        <v>0</v>
      </c>
      <c r="D62" s="61">
        <f t="shared" si="7"/>
        <v>0</v>
      </c>
      <c r="E62" s="61">
        <f t="shared" si="7"/>
        <v>0</v>
      </c>
      <c r="F62" s="61">
        <f t="shared" si="7"/>
        <v>0</v>
      </c>
      <c r="G62" s="61">
        <f t="shared" si="7"/>
        <v>0</v>
      </c>
      <c r="H62" s="61">
        <f t="shared" si="7"/>
        <v>0</v>
      </c>
      <c r="I62" s="61">
        <f t="shared" si="7"/>
        <v>0</v>
      </c>
      <c r="J62" s="61">
        <f t="shared" si="7"/>
        <v>5</v>
      </c>
      <c r="K62" s="61">
        <f t="shared" si="7"/>
        <v>0</v>
      </c>
      <c r="L62" s="61">
        <f t="shared" si="7"/>
        <v>0</v>
      </c>
      <c r="M62" s="61">
        <f t="shared" si="7"/>
        <v>0</v>
      </c>
      <c r="N62" s="61">
        <f t="shared" si="7"/>
        <v>0</v>
      </c>
      <c r="O62" s="61">
        <f t="shared" si="7"/>
        <v>0</v>
      </c>
      <c r="P62" s="61">
        <f t="shared" si="7"/>
        <v>0</v>
      </c>
      <c r="Q62" s="61">
        <f t="shared" si="7"/>
        <v>0</v>
      </c>
      <c r="R62" s="61">
        <f t="shared" si="7"/>
        <v>0</v>
      </c>
      <c r="S62" s="61">
        <f t="shared" si="7"/>
        <v>0</v>
      </c>
      <c r="T62" s="61">
        <f t="shared" si="7"/>
        <v>0</v>
      </c>
      <c r="U62" s="61">
        <f t="shared" si="7"/>
        <v>0</v>
      </c>
      <c r="V62" s="61">
        <f t="shared" ref="V62" si="8">SUM(V59:V61)</f>
        <v>0</v>
      </c>
      <c r="W62" s="61">
        <f t="shared" si="7"/>
        <v>0</v>
      </c>
      <c r="X62" s="61">
        <f t="shared" si="7"/>
        <v>9.5</v>
      </c>
      <c r="Y62" s="61">
        <f t="shared" si="7"/>
        <v>5</v>
      </c>
      <c r="Z62" s="61">
        <f t="shared" si="7"/>
        <v>0</v>
      </c>
      <c r="AA62" s="61">
        <f t="shared" si="7"/>
        <v>0</v>
      </c>
      <c r="AB62" s="61">
        <f t="shared" si="7"/>
        <v>0</v>
      </c>
      <c r="AC62" s="61">
        <f t="shared" si="7"/>
        <v>0</v>
      </c>
      <c r="AD62" s="61">
        <f t="shared" si="7"/>
        <v>0</v>
      </c>
      <c r="AE62" s="61">
        <f t="shared" si="7"/>
        <v>0</v>
      </c>
      <c r="AF62" s="61">
        <f t="shared" si="7"/>
        <v>0</v>
      </c>
      <c r="AG62" s="62">
        <f t="shared" si="7"/>
        <v>106</v>
      </c>
      <c r="AH62" s="48">
        <f t="shared" si="2"/>
        <v>9.5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-290</v>
      </c>
      <c r="C65" s="65">
        <v>-315</v>
      </c>
      <c r="D65" s="65">
        <v>-300</v>
      </c>
      <c r="E65" s="65">
        <v>-285</v>
      </c>
      <c r="F65" s="65">
        <v>-265</v>
      </c>
      <c r="G65" s="65">
        <v>-312</v>
      </c>
      <c r="H65" s="65">
        <v>-300</v>
      </c>
      <c r="I65" s="65">
        <v>-305</v>
      </c>
      <c r="J65" s="65">
        <v>-325</v>
      </c>
      <c r="K65" s="65">
        <v>-315</v>
      </c>
      <c r="L65" s="65">
        <v>-330</v>
      </c>
      <c r="M65" s="65">
        <v>-357.3</v>
      </c>
      <c r="N65" s="65">
        <v>-344.5</v>
      </c>
      <c r="O65" s="65">
        <v>-335.8</v>
      </c>
      <c r="P65" s="65">
        <v>-307.3</v>
      </c>
      <c r="Q65" s="65">
        <v>-306</v>
      </c>
      <c r="R65" s="65">
        <v>-223.8</v>
      </c>
      <c r="S65" s="65">
        <v>-183.6</v>
      </c>
      <c r="T65" s="65">
        <v>-195</v>
      </c>
      <c r="U65" s="65">
        <v>-204</v>
      </c>
      <c r="V65" s="65">
        <v>-198</v>
      </c>
      <c r="W65" s="65">
        <v>-250</v>
      </c>
      <c r="X65" s="65">
        <v>-240</v>
      </c>
      <c r="Y65" s="65">
        <v>-300</v>
      </c>
      <c r="Z65" s="65">
        <v>-322</v>
      </c>
      <c r="AA65" s="65">
        <v>-357.9</v>
      </c>
      <c r="AB65" s="65">
        <v>-365</v>
      </c>
      <c r="AC65" s="65">
        <v>-390</v>
      </c>
      <c r="AD65" s="65">
        <v>-350</v>
      </c>
      <c r="AE65" s="65">
        <v>-329</v>
      </c>
      <c r="AF65" s="65">
        <v>-336</v>
      </c>
      <c r="AG65" s="75"/>
      <c r="AH65" s="48">
        <f t="shared" si="2"/>
        <v>-183.6</v>
      </c>
      <c r="AI65" s="49">
        <f t="shared" si="3"/>
        <v>-390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76">
        <v>0</v>
      </c>
      <c r="C67" s="76">
        <v>0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6">
        <v>0</v>
      </c>
      <c r="C68" s="76">
        <v>0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6">
        <v>0</v>
      </c>
      <c r="C69" s="76">
        <v>0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6">
        <v>0</v>
      </c>
      <c r="C72" s="76">
        <v>0</v>
      </c>
      <c r="D72" s="76">
        <v>0</v>
      </c>
      <c r="E72" s="76">
        <v>0</v>
      </c>
      <c r="F72" s="76">
        <v>0</v>
      </c>
      <c r="G72" s="76">
        <v>0</v>
      </c>
      <c r="H72" s="76">
        <v>0</v>
      </c>
      <c r="I72" s="76">
        <v>0</v>
      </c>
      <c r="J72" s="76">
        <v>0</v>
      </c>
      <c r="K72" s="76">
        <v>0</v>
      </c>
      <c r="L72" s="76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6">
        <v>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/>
      <c r="Z73" s="79"/>
      <c r="AA73" s="79"/>
      <c r="AB73" s="79"/>
      <c r="AC73" s="79"/>
      <c r="AD73" s="79"/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:AF74" si="9">SUMIF(B63:B73,"&gt;0")</f>
        <v>0</v>
      </c>
      <c r="C74" s="61">
        <f t="shared" si="9"/>
        <v>0</v>
      </c>
      <c r="D74" s="61">
        <f t="shared" si="9"/>
        <v>0</v>
      </c>
      <c r="E74" s="61">
        <f t="shared" si="9"/>
        <v>0</v>
      </c>
      <c r="F74" s="61">
        <f t="shared" si="9"/>
        <v>0</v>
      </c>
      <c r="G74" s="61">
        <f t="shared" si="9"/>
        <v>0</v>
      </c>
      <c r="H74" s="61">
        <f t="shared" si="9"/>
        <v>0</v>
      </c>
      <c r="I74" s="61">
        <f t="shared" si="9"/>
        <v>0</v>
      </c>
      <c r="J74" s="61">
        <f t="shared" si="9"/>
        <v>0</v>
      </c>
      <c r="K74" s="61">
        <f t="shared" si="9"/>
        <v>0</v>
      </c>
      <c r="L74" s="61">
        <f t="shared" si="9"/>
        <v>0</v>
      </c>
      <c r="M74" s="61">
        <f t="shared" si="9"/>
        <v>0</v>
      </c>
      <c r="N74" s="61">
        <f t="shared" si="9"/>
        <v>0</v>
      </c>
      <c r="O74" s="61">
        <f t="shared" si="9"/>
        <v>0</v>
      </c>
      <c r="P74" s="61">
        <f t="shared" si="9"/>
        <v>0</v>
      </c>
      <c r="Q74" s="61">
        <f t="shared" si="9"/>
        <v>0</v>
      </c>
      <c r="R74" s="61">
        <f t="shared" si="9"/>
        <v>0</v>
      </c>
      <c r="S74" s="61">
        <f t="shared" si="9"/>
        <v>0</v>
      </c>
      <c r="T74" s="61">
        <f t="shared" si="9"/>
        <v>0</v>
      </c>
      <c r="U74" s="61">
        <f t="shared" si="9"/>
        <v>0</v>
      </c>
      <c r="V74" s="61">
        <f t="shared" si="9"/>
        <v>0</v>
      </c>
      <c r="W74" s="61">
        <f t="shared" si="9"/>
        <v>0</v>
      </c>
      <c r="X74" s="61">
        <f t="shared" si="9"/>
        <v>0</v>
      </c>
      <c r="Y74" s="61">
        <f t="shared" si="9"/>
        <v>0</v>
      </c>
      <c r="Z74" s="61">
        <f t="shared" si="9"/>
        <v>0</v>
      </c>
      <c r="AA74" s="61">
        <f t="shared" si="9"/>
        <v>0</v>
      </c>
      <c r="AB74" s="61">
        <f t="shared" si="9"/>
        <v>0</v>
      </c>
      <c r="AC74" s="61">
        <f t="shared" si="9"/>
        <v>0</v>
      </c>
      <c r="AD74" s="61">
        <f t="shared" si="9"/>
        <v>0</v>
      </c>
      <c r="AE74" s="61">
        <f t="shared" si="9"/>
        <v>0</v>
      </c>
      <c r="AF74" s="61">
        <f t="shared" si="9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44" t="s">
        <v>83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/>
      <c r="AB75" s="76"/>
      <c r="AC75" s="76"/>
      <c r="AD75" s="76"/>
      <c r="AE75" s="76"/>
      <c r="AF75" s="76"/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7.2</v>
      </c>
      <c r="Y76" s="77">
        <v>0</v>
      </c>
      <c r="Z76" s="77">
        <v>0</v>
      </c>
      <c r="AA76" s="77"/>
      <c r="AB76" s="77"/>
      <c r="AC76" s="77"/>
      <c r="AD76" s="77"/>
      <c r="AE76" s="77"/>
      <c r="AF76" s="77"/>
      <c r="AG76" s="75">
        <v>14.4</v>
      </c>
      <c r="AH76" s="48">
        <f t="shared" ref="AH76:AH109" si="10">MAX(B76:AF76)</f>
        <v>7.2</v>
      </c>
      <c r="AI76" s="49">
        <f t="shared" ref="AI76:AI109" si="11">MIN(B76:AF76)</f>
        <v>0</v>
      </c>
      <c r="AK76" s="50"/>
    </row>
    <row r="77" spans="1:37" ht="15.75" thickBot="1" x14ac:dyDescent="0.3">
      <c r="A77" s="78" t="s">
        <v>85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>
        <v>0</v>
      </c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/>
      <c r="AB77" s="79"/>
      <c r="AC77" s="79"/>
      <c r="AD77" s="79"/>
      <c r="AE77" s="79"/>
      <c r="AF77" s="79"/>
      <c r="AG77" s="80">
        <v>2</v>
      </c>
      <c r="AH77" s="48">
        <f t="shared" si="10"/>
        <v>0</v>
      </c>
      <c r="AI77" s="49">
        <f t="shared" si="11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10"/>
        <v>0</v>
      </c>
      <c r="AI78" s="49">
        <f t="shared" si="11"/>
        <v>0</v>
      </c>
    </row>
    <row r="79" spans="1:37" ht="15.75" thickBot="1" x14ac:dyDescent="0.3">
      <c r="A79" s="74" t="s">
        <v>87</v>
      </c>
      <c r="B79" s="83">
        <f t="shared" ref="B79:AG79" si="12">B40+B44+B62+B58+B74+B78</f>
        <v>1217.8400000000001</v>
      </c>
      <c r="C79" s="83">
        <f t="shared" si="12"/>
        <v>1224.74</v>
      </c>
      <c r="D79" s="83">
        <f t="shared" si="12"/>
        <v>1204.44</v>
      </c>
      <c r="E79" s="83">
        <f t="shared" si="12"/>
        <v>1178.54</v>
      </c>
      <c r="F79" s="83">
        <f t="shared" si="12"/>
        <v>1158.1400000000001</v>
      </c>
      <c r="G79" s="83">
        <f t="shared" si="12"/>
        <v>1266.24</v>
      </c>
      <c r="H79" s="83">
        <f t="shared" si="12"/>
        <v>1299.74</v>
      </c>
      <c r="I79" s="83">
        <f t="shared" si="12"/>
        <v>1368.84</v>
      </c>
      <c r="J79" s="83">
        <f t="shared" si="12"/>
        <v>1476.24</v>
      </c>
      <c r="K79" s="83">
        <f t="shared" si="12"/>
        <v>1477.3400000000001</v>
      </c>
      <c r="L79" s="83">
        <f t="shared" si="12"/>
        <v>1565.44</v>
      </c>
      <c r="M79" s="83">
        <f t="shared" si="12"/>
        <v>1609.3400000000001</v>
      </c>
      <c r="N79" s="83">
        <f t="shared" si="12"/>
        <v>1547.24</v>
      </c>
      <c r="O79" s="83">
        <f t="shared" si="12"/>
        <v>1547.24</v>
      </c>
      <c r="P79" s="83">
        <f t="shared" si="12"/>
        <v>1446.6399999999999</v>
      </c>
      <c r="Q79" s="83">
        <f t="shared" si="12"/>
        <v>1416.6399999999999</v>
      </c>
      <c r="R79" s="83">
        <f t="shared" si="12"/>
        <v>1299.94</v>
      </c>
      <c r="S79" s="83">
        <f t="shared" si="12"/>
        <v>1289.94</v>
      </c>
      <c r="T79" s="83">
        <f t="shared" si="12"/>
        <v>1324.94</v>
      </c>
      <c r="U79" s="83">
        <f t="shared" si="12"/>
        <v>1383.94</v>
      </c>
      <c r="V79" s="83">
        <f t="shared" si="12"/>
        <v>1394.94</v>
      </c>
      <c r="W79" s="83">
        <f t="shared" si="12"/>
        <v>1533.44</v>
      </c>
      <c r="X79" s="83">
        <f t="shared" si="12"/>
        <v>1717.44</v>
      </c>
      <c r="Y79" s="83">
        <f t="shared" si="12"/>
        <v>1626.94</v>
      </c>
      <c r="Z79" s="83">
        <f t="shared" si="12"/>
        <v>1576.94</v>
      </c>
      <c r="AA79" s="83">
        <f t="shared" si="12"/>
        <v>1581.94</v>
      </c>
      <c r="AB79" s="83">
        <f t="shared" si="12"/>
        <v>1512.34</v>
      </c>
      <c r="AC79" s="83">
        <f t="shared" si="12"/>
        <v>1473.24</v>
      </c>
      <c r="AD79" s="83">
        <f t="shared" si="12"/>
        <v>1410.74</v>
      </c>
      <c r="AE79" s="83">
        <f t="shared" si="12"/>
        <v>1306.44</v>
      </c>
      <c r="AF79" s="83">
        <f t="shared" si="12"/>
        <v>1284.3399999999999</v>
      </c>
      <c r="AG79" s="62">
        <f t="shared" si="12"/>
        <v>1867.1900000000003</v>
      </c>
      <c r="AH79" s="48">
        <f t="shared" si="10"/>
        <v>1717.44</v>
      </c>
      <c r="AI79" s="49">
        <f t="shared" si="11"/>
        <v>1158.1400000000001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10"/>
        <v>0</v>
      </c>
      <c r="AI80" s="49">
        <f t="shared" si="11"/>
        <v>0</v>
      </c>
    </row>
    <row r="81" spans="1:37" ht="15.75" thickBot="1" x14ac:dyDescent="0.3">
      <c r="A81" s="74" t="s">
        <v>89</v>
      </c>
      <c r="B81" s="83">
        <f t="shared" ref="B81:AF81" si="13">B79+B80</f>
        <v>1217.8400000000001</v>
      </c>
      <c r="C81" s="83">
        <f t="shared" si="13"/>
        <v>1224.74</v>
      </c>
      <c r="D81" s="83">
        <f t="shared" si="13"/>
        <v>1204.44</v>
      </c>
      <c r="E81" s="83">
        <f t="shared" si="13"/>
        <v>1178.54</v>
      </c>
      <c r="F81" s="83">
        <f t="shared" si="13"/>
        <v>1158.1400000000001</v>
      </c>
      <c r="G81" s="83">
        <f t="shared" si="13"/>
        <v>1266.24</v>
      </c>
      <c r="H81" s="83">
        <f t="shared" si="13"/>
        <v>1299.74</v>
      </c>
      <c r="I81" s="83">
        <f t="shared" si="13"/>
        <v>1368.84</v>
      </c>
      <c r="J81" s="83">
        <f t="shared" si="13"/>
        <v>1476.24</v>
      </c>
      <c r="K81" s="83">
        <f t="shared" si="13"/>
        <v>1477.3400000000001</v>
      </c>
      <c r="L81" s="83">
        <f t="shared" si="13"/>
        <v>1565.44</v>
      </c>
      <c r="M81" s="83">
        <f t="shared" si="13"/>
        <v>1609.3400000000001</v>
      </c>
      <c r="N81" s="83">
        <f t="shared" si="13"/>
        <v>1547.24</v>
      </c>
      <c r="O81" s="83">
        <f t="shared" si="13"/>
        <v>1547.24</v>
      </c>
      <c r="P81" s="83">
        <f t="shared" si="13"/>
        <v>1446.6399999999999</v>
      </c>
      <c r="Q81" s="83">
        <f t="shared" si="13"/>
        <v>1416.6399999999999</v>
      </c>
      <c r="R81" s="83">
        <f t="shared" si="13"/>
        <v>1299.94</v>
      </c>
      <c r="S81" s="83">
        <f t="shared" si="13"/>
        <v>1289.94</v>
      </c>
      <c r="T81" s="83">
        <f t="shared" si="13"/>
        <v>1324.94</v>
      </c>
      <c r="U81" s="83">
        <f t="shared" si="13"/>
        <v>1383.94</v>
      </c>
      <c r="V81" s="83">
        <f t="shared" si="13"/>
        <v>1394.94</v>
      </c>
      <c r="W81" s="83">
        <f t="shared" si="13"/>
        <v>1533.44</v>
      </c>
      <c r="X81" s="83">
        <f t="shared" si="13"/>
        <v>1717.44</v>
      </c>
      <c r="Y81" s="83">
        <f t="shared" si="13"/>
        <v>1626.94</v>
      </c>
      <c r="Z81" s="83">
        <f t="shared" si="13"/>
        <v>1576.94</v>
      </c>
      <c r="AA81" s="83">
        <f t="shared" si="13"/>
        <v>1581.94</v>
      </c>
      <c r="AB81" s="83">
        <f t="shared" si="13"/>
        <v>1512.34</v>
      </c>
      <c r="AC81" s="83">
        <f t="shared" si="13"/>
        <v>1473.24</v>
      </c>
      <c r="AD81" s="83">
        <f t="shared" si="13"/>
        <v>1410.74</v>
      </c>
      <c r="AE81" s="83">
        <f t="shared" si="13"/>
        <v>1306.44</v>
      </c>
      <c r="AF81" s="83">
        <f t="shared" si="13"/>
        <v>1284.3399999999999</v>
      </c>
      <c r="AG81" s="81">
        <f>AG78+AG74+AG62+AG58+AG40+AG80</f>
        <v>1329.0900000000001</v>
      </c>
      <c r="AH81" s="48">
        <f t="shared" si="10"/>
        <v>1717.44</v>
      </c>
      <c r="AI81" s="49">
        <f t="shared" si="11"/>
        <v>1158.1400000000001</v>
      </c>
    </row>
    <row r="82" spans="1:37" ht="15.75" thickBot="1" x14ac:dyDescent="0.3">
      <c r="A82" s="74" t="s">
        <v>90</v>
      </c>
      <c r="B82" s="83">
        <f t="shared" ref="B82:AF82" si="14">B81-B89</f>
        <v>927.84000000000015</v>
      </c>
      <c r="C82" s="83">
        <f t="shared" si="14"/>
        <v>909.74</v>
      </c>
      <c r="D82" s="83">
        <f t="shared" si="14"/>
        <v>904.44</v>
      </c>
      <c r="E82" s="83">
        <f t="shared" si="14"/>
        <v>893.54</v>
      </c>
      <c r="F82" s="83">
        <f t="shared" si="14"/>
        <v>893.1400000000001</v>
      </c>
      <c r="G82" s="83">
        <f t="shared" si="14"/>
        <v>954.24</v>
      </c>
      <c r="H82" s="83">
        <f t="shared" si="14"/>
        <v>999.74</v>
      </c>
      <c r="I82" s="83">
        <f t="shared" si="14"/>
        <v>1063.8399999999999</v>
      </c>
      <c r="J82" s="83">
        <f t="shared" si="14"/>
        <v>1151.24</v>
      </c>
      <c r="K82" s="83">
        <f t="shared" si="14"/>
        <v>1162.3400000000001</v>
      </c>
      <c r="L82" s="83">
        <f t="shared" si="14"/>
        <v>1235.44</v>
      </c>
      <c r="M82" s="83">
        <f t="shared" si="14"/>
        <v>1252.0400000000002</v>
      </c>
      <c r="N82" s="83">
        <f t="shared" si="14"/>
        <v>1202.74</v>
      </c>
      <c r="O82" s="83">
        <f t="shared" si="14"/>
        <v>1211.44</v>
      </c>
      <c r="P82" s="83">
        <f t="shared" si="14"/>
        <v>1139.3399999999999</v>
      </c>
      <c r="Q82" s="83">
        <f t="shared" si="14"/>
        <v>1110.6399999999999</v>
      </c>
      <c r="R82" s="83">
        <f t="shared" si="14"/>
        <v>1076.1400000000001</v>
      </c>
      <c r="S82" s="83">
        <f t="shared" si="14"/>
        <v>1106.3400000000001</v>
      </c>
      <c r="T82" s="83">
        <f t="shared" si="14"/>
        <v>1129.94</v>
      </c>
      <c r="U82" s="83">
        <f t="shared" si="14"/>
        <v>1179.94</v>
      </c>
      <c r="V82" s="83">
        <f t="shared" si="14"/>
        <v>1196.94</v>
      </c>
      <c r="W82" s="83">
        <f t="shared" si="14"/>
        <v>1283.44</v>
      </c>
      <c r="X82" s="83">
        <f t="shared" si="14"/>
        <v>1477.44</v>
      </c>
      <c r="Y82" s="83">
        <f t="shared" si="14"/>
        <v>1326.94</v>
      </c>
      <c r="Z82" s="83">
        <f t="shared" si="14"/>
        <v>1254.94</v>
      </c>
      <c r="AA82" s="83">
        <f t="shared" si="14"/>
        <v>1224.04</v>
      </c>
      <c r="AB82" s="83">
        <f t="shared" si="14"/>
        <v>1147.3399999999999</v>
      </c>
      <c r="AC82" s="83">
        <f t="shared" si="14"/>
        <v>1083.24</v>
      </c>
      <c r="AD82" s="83">
        <f t="shared" si="14"/>
        <v>1060.74</v>
      </c>
      <c r="AE82" s="83">
        <f t="shared" si="14"/>
        <v>977.44</v>
      </c>
      <c r="AF82" s="83">
        <f t="shared" si="14"/>
        <v>948.33999999999992</v>
      </c>
      <c r="AG82" s="81"/>
      <c r="AH82" s="48">
        <f t="shared" si="10"/>
        <v>1477.44</v>
      </c>
      <c r="AI82" s="49">
        <f t="shared" si="11"/>
        <v>893.1400000000001</v>
      </c>
    </row>
    <row r="83" spans="1:37" x14ac:dyDescent="0.25">
      <c r="A83" s="44" t="s">
        <v>74</v>
      </c>
      <c r="B83" s="76">
        <f t="shared" ref="B83:AF83" si="15">IF(B66&lt;0,B66*-1,0)</f>
        <v>0</v>
      </c>
      <c r="C83" s="76">
        <f t="shared" si="15"/>
        <v>0</v>
      </c>
      <c r="D83" s="76">
        <f t="shared" si="15"/>
        <v>0</v>
      </c>
      <c r="E83" s="76">
        <f t="shared" si="15"/>
        <v>0</v>
      </c>
      <c r="F83" s="76">
        <f t="shared" si="15"/>
        <v>0</v>
      </c>
      <c r="G83" s="76">
        <f t="shared" si="15"/>
        <v>0</v>
      </c>
      <c r="H83" s="76">
        <f t="shared" si="15"/>
        <v>0</v>
      </c>
      <c r="I83" s="76">
        <f t="shared" si="15"/>
        <v>0</v>
      </c>
      <c r="J83" s="76">
        <f t="shared" si="15"/>
        <v>0</v>
      </c>
      <c r="K83" s="76">
        <f t="shared" si="15"/>
        <v>0</v>
      </c>
      <c r="L83" s="76">
        <f t="shared" si="15"/>
        <v>0</v>
      </c>
      <c r="M83" s="76">
        <f t="shared" si="15"/>
        <v>0</v>
      </c>
      <c r="N83" s="76">
        <f t="shared" si="15"/>
        <v>0</v>
      </c>
      <c r="O83" s="76">
        <f t="shared" si="15"/>
        <v>0</v>
      </c>
      <c r="P83" s="76">
        <f t="shared" si="15"/>
        <v>0</v>
      </c>
      <c r="Q83" s="76">
        <f t="shared" si="15"/>
        <v>0</v>
      </c>
      <c r="R83" s="76">
        <f t="shared" si="15"/>
        <v>0</v>
      </c>
      <c r="S83" s="76">
        <f t="shared" si="15"/>
        <v>0</v>
      </c>
      <c r="T83" s="76">
        <f t="shared" si="15"/>
        <v>0</v>
      </c>
      <c r="U83" s="76">
        <f t="shared" si="15"/>
        <v>0</v>
      </c>
      <c r="V83" s="76">
        <f t="shared" si="15"/>
        <v>0</v>
      </c>
      <c r="W83" s="76">
        <f t="shared" si="15"/>
        <v>0</v>
      </c>
      <c r="X83" s="76">
        <f t="shared" si="15"/>
        <v>0</v>
      </c>
      <c r="Y83" s="76">
        <f t="shared" si="15"/>
        <v>0</v>
      </c>
      <c r="Z83" s="76">
        <f t="shared" si="15"/>
        <v>0</v>
      </c>
      <c r="AA83" s="76">
        <f t="shared" si="15"/>
        <v>0</v>
      </c>
      <c r="AB83" s="76">
        <f t="shared" si="15"/>
        <v>0</v>
      </c>
      <c r="AC83" s="76">
        <f t="shared" si="15"/>
        <v>0</v>
      </c>
      <c r="AD83" s="76">
        <f t="shared" si="15"/>
        <v>0</v>
      </c>
      <c r="AE83" s="76">
        <f t="shared" si="15"/>
        <v>0</v>
      </c>
      <c r="AF83" s="76">
        <f t="shared" si="15"/>
        <v>0</v>
      </c>
      <c r="AG83" s="52"/>
      <c r="AH83" s="48">
        <f t="shared" si="10"/>
        <v>0</v>
      </c>
      <c r="AI83" s="49">
        <f t="shared" si="11"/>
        <v>0</v>
      </c>
    </row>
    <row r="84" spans="1:37" x14ac:dyDescent="0.25">
      <c r="A84" s="54" t="s">
        <v>72</v>
      </c>
      <c r="B84" s="76">
        <f t="shared" ref="B84:AF84" si="16">IF(B64&lt;0,B64*-1,0)</f>
        <v>0</v>
      </c>
      <c r="C84" s="76">
        <f t="shared" si="16"/>
        <v>0</v>
      </c>
      <c r="D84" s="76">
        <f t="shared" si="16"/>
        <v>0</v>
      </c>
      <c r="E84" s="76">
        <f t="shared" si="16"/>
        <v>0</v>
      </c>
      <c r="F84" s="76">
        <f t="shared" si="16"/>
        <v>0</v>
      </c>
      <c r="G84" s="76">
        <f t="shared" si="16"/>
        <v>0</v>
      </c>
      <c r="H84" s="76">
        <f t="shared" si="16"/>
        <v>0</v>
      </c>
      <c r="I84" s="76">
        <f t="shared" si="16"/>
        <v>0</v>
      </c>
      <c r="J84" s="76">
        <f t="shared" si="16"/>
        <v>0</v>
      </c>
      <c r="K84" s="76">
        <f t="shared" si="16"/>
        <v>0</v>
      </c>
      <c r="L84" s="76">
        <f t="shared" si="16"/>
        <v>0</v>
      </c>
      <c r="M84" s="76">
        <f t="shared" si="16"/>
        <v>0</v>
      </c>
      <c r="N84" s="76">
        <f t="shared" si="16"/>
        <v>0</v>
      </c>
      <c r="O84" s="76">
        <f t="shared" si="16"/>
        <v>0</v>
      </c>
      <c r="P84" s="76">
        <f t="shared" si="16"/>
        <v>0</v>
      </c>
      <c r="Q84" s="76">
        <f t="shared" si="16"/>
        <v>0</v>
      </c>
      <c r="R84" s="76">
        <f t="shared" si="16"/>
        <v>0</v>
      </c>
      <c r="S84" s="76">
        <f t="shared" si="16"/>
        <v>0</v>
      </c>
      <c r="T84" s="76">
        <f t="shared" si="16"/>
        <v>0</v>
      </c>
      <c r="U84" s="76">
        <f t="shared" si="16"/>
        <v>0</v>
      </c>
      <c r="V84" s="76">
        <f t="shared" si="16"/>
        <v>0</v>
      </c>
      <c r="W84" s="76">
        <f t="shared" si="16"/>
        <v>0</v>
      </c>
      <c r="X84" s="76">
        <f t="shared" si="16"/>
        <v>0</v>
      </c>
      <c r="Y84" s="76">
        <f t="shared" si="16"/>
        <v>0</v>
      </c>
      <c r="Z84" s="76">
        <f t="shared" si="16"/>
        <v>0</v>
      </c>
      <c r="AA84" s="76">
        <f t="shared" si="16"/>
        <v>0</v>
      </c>
      <c r="AB84" s="76">
        <f t="shared" si="16"/>
        <v>0</v>
      </c>
      <c r="AC84" s="76">
        <f t="shared" si="16"/>
        <v>0</v>
      </c>
      <c r="AD84" s="76">
        <f t="shared" si="16"/>
        <v>0</v>
      </c>
      <c r="AE84" s="76">
        <f t="shared" si="16"/>
        <v>0</v>
      </c>
      <c r="AF84" s="76">
        <f t="shared" si="16"/>
        <v>0</v>
      </c>
      <c r="AG84" s="55"/>
      <c r="AH84" s="48">
        <f t="shared" si="10"/>
        <v>0</v>
      </c>
      <c r="AI84" s="49">
        <f t="shared" si="11"/>
        <v>0</v>
      </c>
    </row>
    <row r="85" spans="1:37" x14ac:dyDescent="0.25">
      <c r="A85" s="78" t="s">
        <v>91</v>
      </c>
      <c r="B85" s="76">
        <f t="shared" ref="B85:AF85" si="17">IF(B67&lt;0,B67*-1,0)</f>
        <v>0</v>
      </c>
      <c r="C85" s="76">
        <f t="shared" si="17"/>
        <v>0</v>
      </c>
      <c r="D85" s="76">
        <f t="shared" si="17"/>
        <v>0</v>
      </c>
      <c r="E85" s="76">
        <f t="shared" si="17"/>
        <v>0</v>
      </c>
      <c r="F85" s="76">
        <f t="shared" si="17"/>
        <v>0</v>
      </c>
      <c r="G85" s="76">
        <f t="shared" si="17"/>
        <v>0</v>
      </c>
      <c r="H85" s="76">
        <f t="shared" si="17"/>
        <v>0</v>
      </c>
      <c r="I85" s="76">
        <f t="shared" si="17"/>
        <v>0</v>
      </c>
      <c r="J85" s="76">
        <f t="shared" si="17"/>
        <v>0</v>
      </c>
      <c r="K85" s="76">
        <f t="shared" si="17"/>
        <v>0</v>
      </c>
      <c r="L85" s="76">
        <f t="shared" si="17"/>
        <v>0</v>
      </c>
      <c r="M85" s="76">
        <f t="shared" si="17"/>
        <v>0</v>
      </c>
      <c r="N85" s="76">
        <f t="shared" si="17"/>
        <v>0</v>
      </c>
      <c r="O85" s="76">
        <f t="shared" si="17"/>
        <v>0</v>
      </c>
      <c r="P85" s="76">
        <f t="shared" si="17"/>
        <v>0</v>
      </c>
      <c r="Q85" s="76">
        <f t="shared" si="17"/>
        <v>0</v>
      </c>
      <c r="R85" s="76">
        <f t="shared" si="17"/>
        <v>0</v>
      </c>
      <c r="S85" s="76">
        <f t="shared" si="17"/>
        <v>0</v>
      </c>
      <c r="T85" s="76">
        <f t="shared" si="17"/>
        <v>0</v>
      </c>
      <c r="U85" s="76">
        <f t="shared" si="17"/>
        <v>0</v>
      </c>
      <c r="V85" s="76">
        <f t="shared" si="17"/>
        <v>0</v>
      </c>
      <c r="W85" s="76">
        <f t="shared" si="17"/>
        <v>0</v>
      </c>
      <c r="X85" s="76">
        <f t="shared" si="17"/>
        <v>0</v>
      </c>
      <c r="Y85" s="76">
        <f t="shared" si="17"/>
        <v>0</v>
      </c>
      <c r="Z85" s="76">
        <f t="shared" si="17"/>
        <v>0</v>
      </c>
      <c r="AA85" s="76">
        <f t="shared" si="17"/>
        <v>0</v>
      </c>
      <c r="AB85" s="76">
        <f t="shared" si="17"/>
        <v>0</v>
      </c>
      <c r="AC85" s="76">
        <f t="shared" si="17"/>
        <v>0</v>
      </c>
      <c r="AD85" s="76">
        <f t="shared" si="17"/>
        <v>0</v>
      </c>
      <c r="AE85" s="76">
        <f t="shared" si="17"/>
        <v>0</v>
      </c>
      <c r="AF85" s="76">
        <f t="shared" si="17"/>
        <v>0</v>
      </c>
      <c r="AG85" s="86"/>
      <c r="AH85" s="48">
        <f t="shared" si="10"/>
        <v>0</v>
      </c>
      <c r="AI85" s="49">
        <f t="shared" si="11"/>
        <v>0</v>
      </c>
    </row>
    <row r="86" spans="1:37" x14ac:dyDescent="0.25">
      <c r="A86" s="78" t="s">
        <v>92</v>
      </c>
      <c r="B86" s="76">
        <f t="shared" ref="B86:AF86" si="18">IF(B65&lt;0,B65*-1,0)</f>
        <v>290</v>
      </c>
      <c r="C86" s="76">
        <f t="shared" si="18"/>
        <v>315</v>
      </c>
      <c r="D86" s="76">
        <f t="shared" si="18"/>
        <v>300</v>
      </c>
      <c r="E86" s="76">
        <f t="shared" si="18"/>
        <v>285</v>
      </c>
      <c r="F86" s="76">
        <f t="shared" si="18"/>
        <v>265</v>
      </c>
      <c r="G86" s="76">
        <f t="shared" si="18"/>
        <v>312</v>
      </c>
      <c r="H86" s="76">
        <f t="shared" si="18"/>
        <v>300</v>
      </c>
      <c r="I86" s="76">
        <f t="shared" si="18"/>
        <v>305</v>
      </c>
      <c r="J86" s="76">
        <f t="shared" si="18"/>
        <v>325</v>
      </c>
      <c r="K86" s="76">
        <f t="shared" si="18"/>
        <v>315</v>
      </c>
      <c r="L86" s="76">
        <f t="shared" si="18"/>
        <v>330</v>
      </c>
      <c r="M86" s="76">
        <f t="shared" si="18"/>
        <v>357.3</v>
      </c>
      <c r="N86" s="76">
        <f t="shared" si="18"/>
        <v>344.5</v>
      </c>
      <c r="O86" s="76">
        <f t="shared" si="18"/>
        <v>335.8</v>
      </c>
      <c r="P86" s="76">
        <f t="shared" si="18"/>
        <v>307.3</v>
      </c>
      <c r="Q86" s="76">
        <f t="shared" si="18"/>
        <v>306</v>
      </c>
      <c r="R86" s="76">
        <f t="shared" si="18"/>
        <v>223.8</v>
      </c>
      <c r="S86" s="76">
        <f t="shared" si="18"/>
        <v>183.6</v>
      </c>
      <c r="T86" s="76">
        <f t="shared" si="18"/>
        <v>195</v>
      </c>
      <c r="U86" s="76">
        <f t="shared" si="18"/>
        <v>204</v>
      </c>
      <c r="V86" s="76">
        <f t="shared" si="18"/>
        <v>198</v>
      </c>
      <c r="W86" s="76">
        <f t="shared" si="18"/>
        <v>250</v>
      </c>
      <c r="X86" s="76">
        <f t="shared" si="18"/>
        <v>240</v>
      </c>
      <c r="Y86" s="76">
        <f t="shared" si="18"/>
        <v>300</v>
      </c>
      <c r="Z86" s="76">
        <f t="shared" si="18"/>
        <v>322</v>
      </c>
      <c r="AA86" s="76">
        <f t="shared" si="18"/>
        <v>357.9</v>
      </c>
      <c r="AB86" s="76">
        <f t="shared" si="18"/>
        <v>365</v>
      </c>
      <c r="AC86" s="76">
        <f t="shared" si="18"/>
        <v>390</v>
      </c>
      <c r="AD86" s="76">
        <f t="shared" si="18"/>
        <v>350</v>
      </c>
      <c r="AE86" s="76">
        <f t="shared" si="18"/>
        <v>329</v>
      </c>
      <c r="AF86" s="76">
        <f t="shared" si="18"/>
        <v>336</v>
      </c>
      <c r="AG86" s="86"/>
      <c r="AH86" s="48">
        <f t="shared" si="10"/>
        <v>390</v>
      </c>
      <c r="AI86" s="49">
        <f t="shared" si="11"/>
        <v>183.6</v>
      </c>
    </row>
    <row r="87" spans="1:37" x14ac:dyDescent="0.25">
      <c r="A87" s="78" t="s">
        <v>71</v>
      </c>
      <c r="B87" s="76">
        <f t="shared" ref="B87:AF87" si="19">IF(B63&lt;0,B63*-1,0)</f>
        <v>0</v>
      </c>
      <c r="C87" s="76">
        <f t="shared" si="19"/>
        <v>0</v>
      </c>
      <c r="D87" s="76">
        <f t="shared" si="19"/>
        <v>0</v>
      </c>
      <c r="E87" s="76">
        <f t="shared" si="19"/>
        <v>0</v>
      </c>
      <c r="F87" s="76">
        <f t="shared" si="19"/>
        <v>0</v>
      </c>
      <c r="G87" s="76">
        <f t="shared" si="19"/>
        <v>0</v>
      </c>
      <c r="H87" s="76">
        <f t="shared" si="19"/>
        <v>0</v>
      </c>
      <c r="I87" s="76">
        <f t="shared" si="19"/>
        <v>0</v>
      </c>
      <c r="J87" s="76">
        <f t="shared" si="19"/>
        <v>0</v>
      </c>
      <c r="K87" s="76">
        <f t="shared" si="19"/>
        <v>0</v>
      </c>
      <c r="L87" s="76">
        <f t="shared" si="19"/>
        <v>0</v>
      </c>
      <c r="M87" s="76">
        <f t="shared" si="19"/>
        <v>0</v>
      </c>
      <c r="N87" s="76">
        <f t="shared" si="19"/>
        <v>0</v>
      </c>
      <c r="O87" s="76">
        <f t="shared" si="19"/>
        <v>0</v>
      </c>
      <c r="P87" s="76">
        <f t="shared" si="19"/>
        <v>0</v>
      </c>
      <c r="Q87" s="76">
        <f t="shared" si="19"/>
        <v>0</v>
      </c>
      <c r="R87" s="76">
        <f t="shared" si="19"/>
        <v>0</v>
      </c>
      <c r="S87" s="76">
        <f t="shared" si="19"/>
        <v>0</v>
      </c>
      <c r="T87" s="76">
        <f t="shared" si="19"/>
        <v>0</v>
      </c>
      <c r="U87" s="76">
        <f t="shared" si="19"/>
        <v>0</v>
      </c>
      <c r="V87" s="76">
        <f t="shared" si="19"/>
        <v>0</v>
      </c>
      <c r="W87" s="76">
        <f t="shared" si="19"/>
        <v>0</v>
      </c>
      <c r="X87" s="76">
        <f t="shared" si="19"/>
        <v>0</v>
      </c>
      <c r="Y87" s="76">
        <f t="shared" si="19"/>
        <v>0</v>
      </c>
      <c r="Z87" s="76">
        <f t="shared" si="19"/>
        <v>0</v>
      </c>
      <c r="AA87" s="76">
        <f t="shared" si="19"/>
        <v>0</v>
      </c>
      <c r="AB87" s="76">
        <f t="shared" si="19"/>
        <v>0</v>
      </c>
      <c r="AC87" s="76">
        <f t="shared" si="19"/>
        <v>0</v>
      </c>
      <c r="AD87" s="76">
        <f t="shared" si="19"/>
        <v>0</v>
      </c>
      <c r="AE87" s="76">
        <f t="shared" si="19"/>
        <v>0</v>
      </c>
      <c r="AF87" s="76">
        <f t="shared" si="19"/>
        <v>0</v>
      </c>
      <c r="AG87" s="86"/>
      <c r="AH87" s="48">
        <f t="shared" si="10"/>
        <v>0</v>
      </c>
      <c r="AI87" s="49">
        <f t="shared" si="11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10"/>
        <v>0</v>
      </c>
      <c r="AI88" s="49">
        <f t="shared" si="11"/>
        <v>0</v>
      </c>
    </row>
    <row r="89" spans="1:37" ht="15.75" thickBot="1" x14ac:dyDescent="0.3">
      <c r="A89" s="87" t="s">
        <v>94</v>
      </c>
      <c r="B89" s="61">
        <f t="shared" ref="B89:AF89" si="20">SUM(B83:B88)</f>
        <v>290</v>
      </c>
      <c r="C89" s="61">
        <f t="shared" si="20"/>
        <v>315</v>
      </c>
      <c r="D89" s="61">
        <f t="shared" si="20"/>
        <v>300</v>
      </c>
      <c r="E89" s="61">
        <f t="shared" si="20"/>
        <v>285</v>
      </c>
      <c r="F89" s="61">
        <f t="shared" si="20"/>
        <v>265</v>
      </c>
      <c r="G89" s="61">
        <f t="shared" si="20"/>
        <v>312</v>
      </c>
      <c r="H89" s="61">
        <f t="shared" si="20"/>
        <v>300</v>
      </c>
      <c r="I89" s="61">
        <f t="shared" si="20"/>
        <v>305</v>
      </c>
      <c r="J89" s="61">
        <f t="shared" si="20"/>
        <v>325</v>
      </c>
      <c r="K89" s="61">
        <f t="shared" si="20"/>
        <v>315</v>
      </c>
      <c r="L89" s="61">
        <f t="shared" si="20"/>
        <v>330</v>
      </c>
      <c r="M89" s="61">
        <f t="shared" si="20"/>
        <v>357.3</v>
      </c>
      <c r="N89" s="61">
        <f t="shared" si="20"/>
        <v>344.5</v>
      </c>
      <c r="O89" s="61">
        <f t="shared" si="20"/>
        <v>335.8</v>
      </c>
      <c r="P89" s="61">
        <f t="shared" si="20"/>
        <v>307.3</v>
      </c>
      <c r="Q89" s="61">
        <f t="shared" si="20"/>
        <v>306</v>
      </c>
      <c r="R89" s="61">
        <f t="shared" si="20"/>
        <v>223.8</v>
      </c>
      <c r="S89" s="61">
        <f t="shared" si="20"/>
        <v>183.6</v>
      </c>
      <c r="T89" s="61">
        <f t="shared" si="20"/>
        <v>195</v>
      </c>
      <c r="U89" s="61">
        <f t="shared" si="20"/>
        <v>204</v>
      </c>
      <c r="V89" s="61">
        <f t="shared" si="20"/>
        <v>198</v>
      </c>
      <c r="W89" s="61">
        <f t="shared" si="20"/>
        <v>250</v>
      </c>
      <c r="X89" s="61">
        <f t="shared" si="20"/>
        <v>240</v>
      </c>
      <c r="Y89" s="61">
        <f t="shared" si="20"/>
        <v>300</v>
      </c>
      <c r="Z89" s="61">
        <f t="shared" si="20"/>
        <v>322</v>
      </c>
      <c r="AA89" s="61">
        <f t="shared" si="20"/>
        <v>357.9</v>
      </c>
      <c r="AB89" s="61">
        <f t="shared" si="20"/>
        <v>365</v>
      </c>
      <c r="AC89" s="61">
        <f t="shared" si="20"/>
        <v>390</v>
      </c>
      <c r="AD89" s="61">
        <f t="shared" si="20"/>
        <v>350</v>
      </c>
      <c r="AE89" s="61">
        <f t="shared" si="20"/>
        <v>329</v>
      </c>
      <c r="AF89" s="61">
        <f t="shared" si="20"/>
        <v>336</v>
      </c>
      <c r="AG89" s="81"/>
      <c r="AH89" s="48">
        <f t="shared" si="10"/>
        <v>390</v>
      </c>
      <c r="AI89" s="49">
        <f t="shared" si="11"/>
        <v>183.6</v>
      </c>
      <c r="AK89" s="50"/>
    </row>
    <row r="90" spans="1:37" ht="15.75" thickBot="1" x14ac:dyDescent="0.3">
      <c r="A90" s="74" t="s">
        <v>95</v>
      </c>
      <c r="B90" s="61">
        <f t="shared" ref="B90:AF90" si="21">B74-B89</f>
        <v>-290</v>
      </c>
      <c r="C90" s="61">
        <f t="shared" si="21"/>
        <v>-315</v>
      </c>
      <c r="D90" s="61">
        <f t="shared" si="21"/>
        <v>-300</v>
      </c>
      <c r="E90" s="61">
        <f t="shared" si="21"/>
        <v>-285</v>
      </c>
      <c r="F90" s="61">
        <f t="shared" si="21"/>
        <v>-265</v>
      </c>
      <c r="G90" s="61">
        <f t="shared" si="21"/>
        <v>-312</v>
      </c>
      <c r="H90" s="61">
        <f t="shared" si="21"/>
        <v>-300</v>
      </c>
      <c r="I90" s="61">
        <f t="shared" si="21"/>
        <v>-305</v>
      </c>
      <c r="J90" s="61">
        <f t="shared" si="21"/>
        <v>-325</v>
      </c>
      <c r="K90" s="61">
        <f t="shared" si="21"/>
        <v>-315</v>
      </c>
      <c r="L90" s="61">
        <f t="shared" si="21"/>
        <v>-330</v>
      </c>
      <c r="M90" s="61">
        <f t="shared" si="21"/>
        <v>-357.3</v>
      </c>
      <c r="N90" s="61">
        <f t="shared" si="21"/>
        <v>-344.5</v>
      </c>
      <c r="O90" s="61">
        <f t="shared" si="21"/>
        <v>-335.8</v>
      </c>
      <c r="P90" s="61">
        <f t="shared" si="21"/>
        <v>-307.3</v>
      </c>
      <c r="Q90" s="61">
        <f t="shared" si="21"/>
        <v>-306</v>
      </c>
      <c r="R90" s="61">
        <f t="shared" si="21"/>
        <v>-223.8</v>
      </c>
      <c r="S90" s="61">
        <f t="shared" si="21"/>
        <v>-183.6</v>
      </c>
      <c r="T90" s="61">
        <f t="shared" si="21"/>
        <v>-195</v>
      </c>
      <c r="U90" s="61">
        <f t="shared" si="21"/>
        <v>-204</v>
      </c>
      <c r="V90" s="61">
        <f t="shared" si="21"/>
        <v>-198</v>
      </c>
      <c r="W90" s="61">
        <f t="shared" si="21"/>
        <v>-250</v>
      </c>
      <c r="X90" s="61">
        <f t="shared" si="21"/>
        <v>-240</v>
      </c>
      <c r="Y90" s="61">
        <f t="shared" si="21"/>
        <v>-300</v>
      </c>
      <c r="Z90" s="61">
        <f t="shared" si="21"/>
        <v>-322</v>
      </c>
      <c r="AA90" s="61">
        <f t="shared" si="21"/>
        <v>-357.9</v>
      </c>
      <c r="AB90" s="61">
        <f t="shared" si="21"/>
        <v>-365</v>
      </c>
      <c r="AC90" s="61">
        <f t="shared" si="21"/>
        <v>-390</v>
      </c>
      <c r="AD90" s="61">
        <f t="shared" si="21"/>
        <v>-350</v>
      </c>
      <c r="AE90" s="61">
        <f t="shared" si="21"/>
        <v>-329</v>
      </c>
      <c r="AF90" s="61">
        <f t="shared" si="21"/>
        <v>-336</v>
      </c>
      <c r="AG90" s="81"/>
      <c r="AH90" s="48">
        <f t="shared" si="10"/>
        <v>-183.6</v>
      </c>
      <c r="AI90" s="49">
        <f t="shared" si="11"/>
        <v>-390</v>
      </c>
    </row>
    <row r="91" spans="1:37" x14ac:dyDescent="0.25">
      <c r="A91" s="88" t="s">
        <v>96</v>
      </c>
      <c r="B91" s="89">
        <v>50</v>
      </c>
      <c r="C91" s="89">
        <v>49.94</v>
      </c>
      <c r="D91" s="89">
        <v>50.03</v>
      </c>
      <c r="E91" s="89">
        <v>49.95</v>
      </c>
      <c r="F91" s="89">
        <v>50.036999999999999</v>
      </c>
      <c r="G91" s="89">
        <v>50.011000000000003</v>
      </c>
      <c r="H91" s="89">
        <v>50.024000000000001</v>
      </c>
      <c r="I91" s="89">
        <v>49.951000000000001</v>
      </c>
      <c r="J91" s="89">
        <v>50.1</v>
      </c>
      <c r="K91" s="89">
        <v>49.97</v>
      </c>
      <c r="L91" s="89">
        <v>50.02</v>
      </c>
      <c r="M91" s="89">
        <v>50.048000000000002</v>
      </c>
      <c r="N91" s="89">
        <v>49.927</v>
      </c>
      <c r="O91" s="89">
        <v>49.905999999999999</v>
      </c>
      <c r="P91" s="89">
        <v>50.05</v>
      </c>
      <c r="Q91" s="89">
        <v>50.043999999999997</v>
      </c>
      <c r="R91" s="89">
        <v>50.021999999999998</v>
      </c>
      <c r="S91" s="89">
        <v>50.042000000000002</v>
      </c>
      <c r="T91" s="89">
        <v>50.067</v>
      </c>
      <c r="U91" s="89">
        <v>49.968000000000004</v>
      </c>
      <c r="V91" s="89">
        <v>50.021000000000001</v>
      </c>
      <c r="W91" s="89">
        <v>50.029000000000003</v>
      </c>
      <c r="X91" s="89">
        <v>50.064999999999998</v>
      </c>
      <c r="Y91" s="89">
        <v>49.972999999999999</v>
      </c>
      <c r="Z91" s="89">
        <v>50.097999999999999</v>
      </c>
      <c r="AA91" s="89">
        <v>50.061999999999998</v>
      </c>
      <c r="AB91" s="89">
        <v>50.05</v>
      </c>
      <c r="AC91" s="89">
        <v>50.045000000000002</v>
      </c>
      <c r="AD91" s="89">
        <v>50.05</v>
      </c>
      <c r="AE91" s="89">
        <v>50.036000000000001</v>
      </c>
      <c r="AF91" s="89">
        <v>50.018000000000001</v>
      </c>
      <c r="AG91" s="90"/>
      <c r="AH91" s="48">
        <f t="shared" si="10"/>
        <v>50.1</v>
      </c>
      <c r="AI91" s="49">
        <f t="shared" si="11"/>
        <v>49.905999999999999</v>
      </c>
    </row>
    <row r="92" spans="1:37" x14ac:dyDescent="0.25">
      <c r="A92" s="91" t="s">
        <v>97</v>
      </c>
      <c r="B92" s="65">
        <v>128</v>
      </c>
      <c r="C92" s="65">
        <v>128</v>
      </c>
      <c r="D92" s="65">
        <v>129</v>
      </c>
      <c r="E92" s="65">
        <v>129</v>
      </c>
      <c r="F92" s="65">
        <v>129</v>
      </c>
      <c r="G92" s="65">
        <v>128.1</v>
      </c>
      <c r="H92" s="65">
        <v>127.2</v>
      </c>
      <c r="I92" s="65">
        <v>126.5</v>
      </c>
      <c r="J92" s="65">
        <v>126.5</v>
      </c>
      <c r="K92" s="65">
        <v>124.3</v>
      </c>
      <c r="L92" s="65">
        <v>124.3</v>
      </c>
      <c r="M92" s="65">
        <v>125.5</v>
      </c>
      <c r="N92" s="65">
        <v>124</v>
      </c>
      <c r="O92" s="65">
        <v>123.2</v>
      </c>
      <c r="P92" s="65">
        <v>123.4</v>
      </c>
      <c r="Q92" s="65">
        <v>124.4</v>
      </c>
      <c r="R92" s="65">
        <v>122.9</v>
      </c>
      <c r="S92" s="65">
        <v>123.1</v>
      </c>
      <c r="T92" s="65">
        <v>124</v>
      </c>
      <c r="U92" s="65">
        <v>124.8</v>
      </c>
      <c r="V92" s="65">
        <v>126.3</v>
      </c>
      <c r="W92" s="65">
        <v>124.6</v>
      </c>
      <c r="X92" s="65">
        <v>124.4</v>
      </c>
      <c r="Y92" s="65">
        <v>126.6</v>
      </c>
      <c r="Z92" s="65">
        <v>127.1</v>
      </c>
      <c r="AA92" s="65">
        <v>127</v>
      </c>
      <c r="AB92" s="65">
        <v>127</v>
      </c>
      <c r="AC92" s="65">
        <v>127</v>
      </c>
      <c r="AD92" s="65">
        <v>128.4</v>
      </c>
      <c r="AE92" s="65">
        <v>128</v>
      </c>
      <c r="AF92" s="65">
        <v>128</v>
      </c>
      <c r="AG92" s="92"/>
      <c r="AH92" s="48">
        <f t="shared" si="10"/>
        <v>129</v>
      </c>
      <c r="AI92" s="49">
        <f t="shared" si="11"/>
        <v>122.9</v>
      </c>
    </row>
    <row r="93" spans="1:37" x14ac:dyDescent="0.25">
      <c r="A93" s="91" t="s">
        <v>98</v>
      </c>
      <c r="B93" s="65">
        <v>128</v>
      </c>
      <c r="C93" s="65">
        <v>132</v>
      </c>
      <c r="D93" s="65">
        <v>132</v>
      </c>
      <c r="E93" s="65">
        <v>132</v>
      </c>
      <c r="F93" s="65">
        <v>132.30000000000001</v>
      </c>
      <c r="G93" s="65">
        <v>131.69999999999999</v>
      </c>
      <c r="H93" s="65">
        <v>130.9</v>
      </c>
      <c r="I93" s="65">
        <v>130.1</v>
      </c>
      <c r="J93" s="65">
        <v>130.1</v>
      </c>
      <c r="K93" s="65">
        <v>127</v>
      </c>
      <c r="L93" s="65">
        <v>127</v>
      </c>
      <c r="M93" s="65">
        <v>127.9</v>
      </c>
      <c r="N93" s="65">
        <v>127.2</v>
      </c>
      <c r="O93" s="65">
        <v>126.8</v>
      </c>
      <c r="P93" s="65">
        <v>127.1</v>
      </c>
      <c r="Q93" s="65">
        <v>127.8</v>
      </c>
      <c r="R93" s="65">
        <v>126.8</v>
      </c>
      <c r="S93" s="65">
        <v>127.1</v>
      </c>
      <c r="T93" s="65">
        <v>127.3</v>
      </c>
      <c r="U93" s="65">
        <v>128.1</v>
      </c>
      <c r="V93" s="65">
        <v>129.4</v>
      </c>
      <c r="W93" s="65">
        <v>127.8</v>
      </c>
      <c r="X93" s="65">
        <v>127.7</v>
      </c>
      <c r="Y93" s="65">
        <v>129.19999999999999</v>
      </c>
      <c r="Z93" s="65">
        <v>129.9</v>
      </c>
      <c r="AA93" s="65">
        <v>129.6</v>
      </c>
      <c r="AB93" s="65">
        <v>129.6</v>
      </c>
      <c r="AC93" s="65">
        <v>129.6</v>
      </c>
      <c r="AD93" s="65">
        <v>131.4</v>
      </c>
      <c r="AE93" s="65">
        <v>131.4</v>
      </c>
      <c r="AF93" s="65">
        <v>131.4</v>
      </c>
      <c r="AG93" s="92"/>
      <c r="AH93" s="48">
        <f t="shared" si="10"/>
        <v>132.30000000000001</v>
      </c>
      <c r="AI93" s="49">
        <f t="shared" si="11"/>
        <v>126.8</v>
      </c>
    </row>
    <row r="94" spans="1:37" x14ac:dyDescent="0.25">
      <c r="A94" s="91" t="s">
        <v>99</v>
      </c>
      <c r="B94" s="65">
        <v>132</v>
      </c>
      <c r="C94" s="65">
        <v>131</v>
      </c>
      <c r="D94" s="65">
        <v>131</v>
      </c>
      <c r="E94" s="65">
        <v>132.19999999999999</v>
      </c>
      <c r="F94" s="65">
        <v>132.30000000000001</v>
      </c>
      <c r="G94" s="65">
        <v>131.19999999999999</v>
      </c>
      <c r="H94" s="65">
        <v>131.19999999999999</v>
      </c>
      <c r="I94" s="65">
        <v>131.30000000000001</v>
      </c>
      <c r="J94" s="65">
        <v>131.30000000000001</v>
      </c>
      <c r="K94" s="65">
        <v>128.4</v>
      </c>
      <c r="L94" s="65">
        <v>128.4</v>
      </c>
      <c r="M94" s="65">
        <v>129.5</v>
      </c>
      <c r="N94" s="65">
        <v>129.80000000000001</v>
      </c>
      <c r="O94" s="65">
        <v>129</v>
      </c>
      <c r="P94" s="65">
        <v>130</v>
      </c>
      <c r="Q94" s="65">
        <v>132</v>
      </c>
      <c r="R94" s="65">
        <v>1295</v>
      </c>
      <c r="S94" s="65">
        <v>129.6</v>
      </c>
      <c r="T94" s="65">
        <v>128.69999999999999</v>
      </c>
      <c r="U94" s="65">
        <v>129.4</v>
      </c>
      <c r="V94" s="65">
        <v>130</v>
      </c>
      <c r="W94" s="65">
        <v>128.4</v>
      </c>
      <c r="X94" s="65">
        <v>131.19999999999999</v>
      </c>
      <c r="Y94" s="65">
        <v>131.9</v>
      </c>
      <c r="Z94" s="65">
        <v>132.1</v>
      </c>
      <c r="AA94" s="65">
        <v>132.30000000000001</v>
      </c>
      <c r="AB94" s="65">
        <v>132.30000000000001</v>
      </c>
      <c r="AC94" s="65">
        <v>132.30000000000001</v>
      </c>
      <c r="AD94" s="65">
        <v>132.80000000000001</v>
      </c>
      <c r="AE94" s="65">
        <v>133</v>
      </c>
      <c r="AF94" s="65">
        <v>133</v>
      </c>
      <c r="AG94" s="92"/>
      <c r="AH94" s="48">
        <f t="shared" si="10"/>
        <v>1295</v>
      </c>
      <c r="AI94" s="49">
        <f t="shared" si="11"/>
        <v>128.4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10"/>
        <v>0</v>
      </c>
      <c r="AI95" s="49">
        <f t="shared" si="11"/>
        <v>0</v>
      </c>
    </row>
    <row r="96" spans="1:37" x14ac:dyDescent="0.25">
      <c r="A96" s="93" t="s">
        <v>101</v>
      </c>
      <c r="B96" s="94">
        <v>135</v>
      </c>
      <c r="C96" s="94">
        <v>135</v>
      </c>
      <c r="D96" s="94">
        <v>134</v>
      </c>
      <c r="E96" s="94">
        <v>135</v>
      </c>
      <c r="F96" s="94">
        <v>135.1</v>
      </c>
      <c r="G96" s="94">
        <v>133.1</v>
      </c>
      <c r="H96" s="94">
        <v>133.69999999999999</v>
      </c>
      <c r="I96" s="94">
        <v>133.69999999999999</v>
      </c>
      <c r="J96" s="94">
        <v>132</v>
      </c>
      <c r="K96" s="94">
        <v>134</v>
      </c>
      <c r="L96" s="94">
        <v>134</v>
      </c>
      <c r="M96" s="94">
        <v>132.5</v>
      </c>
      <c r="N96" s="94">
        <v>134.6</v>
      </c>
      <c r="O96" s="94">
        <v>134.6</v>
      </c>
      <c r="P96" s="94">
        <v>132.5</v>
      </c>
      <c r="Q96" s="94">
        <v>133</v>
      </c>
      <c r="R96" s="94">
        <v>135</v>
      </c>
      <c r="S96" s="94">
        <v>132.1</v>
      </c>
      <c r="T96" s="94">
        <v>136.19999999999999</v>
      </c>
      <c r="U96" s="94">
        <v>134.5</v>
      </c>
      <c r="V96" s="94">
        <v>134.1</v>
      </c>
      <c r="W96" s="94">
        <v>132.80000000000001</v>
      </c>
      <c r="X96" s="94">
        <v>133.5</v>
      </c>
      <c r="Y96" s="94">
        <v>134.80000000000001</v>
      </c>
      <c r="Z96" s="94">
        <v>134.4</v>
      </c>
      <c r="AA96" s="94">
        <v>131.9</v>
      </c>
      <c r="AB96" s="94">
        <v>131.9</v>
      </c>
      <c r="AC96" s="94">
        <v>131.9</v>
      </c>
      <c r="AD96" s="94">
        <v>132.4</v>
      </c>
      <c r="AE96" s="94">
        <v>133</v>
      </c>
      <c r="AF96" s="94">
        <v>133</v>
      </c>
      <c r="AG96" s="95"/>
      <c r="AH96" s="48">
        <f t="shared" si="10"/>
        <v>136.19999999999999</v>
      </c>
      <c r="AI96" s="49">
        <f t="shared" si="11"/>
        <v>131.9</v>
      </c>
    </row>
    <row r="97" spans="1:37" x14ac:dyDescent="0.25">
      <c r="A97" s="91" t="s">
        <v>102</v>
      </c>
      <c r="B97" s="65">
        <v>131</v>
      </c>
      <c r="C97" s="65">
        <v>131</v>
      </c>
      <c r="D97" s="65">
        <v>132</v>
      </c>
      <c r="E97" s="65">
        <v>132</v>
      </c>
      <c r="F97" s="65">
        <v>131.80000000000001</v>
      </c>
      <c r="G97" s="65">
        <v>128.19999999999999</v>
      </c>
      <c r="H97" s="65">
        <v>130.19999999999999</v>
      </c>
      <c r="I97" s="65">
        <v>129.69999999999999</v>
      </c>
      <c r="J97" s="65">
        <v>129.69999999999999</v>
      </c>
      <c r="K97" s="65">
        <v>128.6</v>
      </c>
      <c r="L97" s="65">
        <v>128.6</v>
      </c>
      <c r="M97" s="65">
        <v>127.3</v>
      </c>
      <c r="N97" s="65">
        <v>130</v>
      </c>
      <c r="O97" s="65">
        <v>130</v>
      </c>
      <c r="P97" s="65">
        <v>130.6</v>
      </c>
      <c r="Q97" s="65">
        <v>129.6</v>
      </c>
      <c r="R97" s="65">
        <v>129.6</v>
      </c>
      <c r="S97" s="65">
        <v>126.3</v>
      </c>
      <c r="T97" s="65">
        <v>135.4</v>
      </c>
      <c r="U97" s="65">
        <v>128.80000000000001</v>
      </c>
      <c r="V97" s="65">
        <v>133.6</v>
      </c>
      <c r="W97" s="65">
        <v>129.30000000000001</v>
      </c>
      <c r="X97" s="65">
        <v>128.80000000000001</v>
      </c>
      <c r="Y97" s="65">
        <v>130.5</v>
      </c>
      <c r="Z97" s="65">
        <v>131.80000000000001</v>
      </c>
      <c r="AA97" s="65">
        <v>130.4</v>
      </c>
      <c r="AB97" s="65">
        <v>130.4</v>
      </c>
      <c r="AC97" s="65">
        <v>130.4</v>
      </c>
      <c r="AD97" s="65">
        <v>128</v>
      </c>
      <c r="AE97" s="65">
        <v>130</v>
      </c>
      <c r="AF97" s="65">
        <v>130</v>
      </c>
      <c r="AG97" s="92"/>
      <c r="AH97" s="48">
        <f t="shared" si="10"/>
        <v>135.4</v>
      </c>
      <c r="AI97" s="49">
        <f t="shared" si="11"/>
        <v>126.3</v>
      </c>
    </row>
    <row r="98" spans="1:37" ht="15.75" thickBot="1" x14ac:dyDescent="0.3">
      <c r="A98" s="91" t="s">
        <v>103</v>
      </c>
      <c r="B98" s="96">
        <v>66.599999999999994</v>
      </c>
      <c r="C98" s="96">
        <v>66.7</v>
      </c>
      <c r="D98" s="96">
        <v>66.599999999999994</v>
      </c>
      <c r="E98" s="96">
        <v>66.8</v>
      </c>
      <c r="F98" s="96">
        <v>66.7</v>
      </c>
      <c r="G98" s="96">
        <v>66.2</v>
      </c>
      <c r="H98" s="96">
        <v>65.8</v>
      </c>
      <c r="I98" s="96">
        <v>65.5</v>
      </c>
      <c r="J98" s="96">
        <v>65.5</v>
      </c>
      <c r="K98" s="96">
        <v>127</v>
      </c>
      <c r="L98" s="96">
        <v>127</v>
      </c>
      <c r="M98" s="96">
        <v>64.099999999999994</v>
      </c>
      <c r="N98" s="96">
        <v>64</v>
      </c>
      <c r="O98" s="96">
        <v>64</v>
      </c>
      <c r="P98" s="96">
        <v>63.8</v>
      </c>
      <c r="Q98" s="96">
        <v>63.7</v>
      </c>
      <c r="R98" s="96">
        <v>63.6</v>
      </c>
      <c r="S98" s="96">
        <v>63.9</v>
      </c>
      <c r="T98" s="96">
        <v>64.3</v>
      </c>
      <c r="U98" s="96">
        <v>64.5</v>
      </c>
      <c r="V98" s="96">
        <v>65.400000000000006</v>
      </c>
      <c r="W98" s="96">
        <v>64.2</v>
      </c>
      <c r="X98" s="96">
        <v>64</v>
      </c>
      <c r="Y98" s="96">
        <v>64.900000000000006</v>
      </c>
      <c r="Z98" s="96">
        <v>65.400000000000006</v>
      </c>
      <c r="AA98" s="96">
        <v>65.2</v>
      </c>
      <c r="AB98" s="96">
        <v>65.2</v>
      </c>
      <c r="AC98" s="96">
        <v>65.2</v>
      </c>
      <c r="AD98" s="96">
        <v>66.099999999999994</v>
      </c>
      <c r="AE98" s="96">
        <v>66.2</v>
      </c>
      <c r="AF98" s="96">
        <v>66.2</v>
      </c>
      <c r="AG98" s="97"/>
      <c r="AH98" s="48">
        <f t="shared" si="10"/>
        <v>127</v>
      </c>
      <c r="AI98" s="49">
        <f t="shared" si="11"/>
        <v>63.6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10"/>
        <v>0</v>
      </c>
      <c r="AI99" s="49">
        <f t="shared" si="11"/>
        <v>0</v>
      </c>
    </row>
    <row r="100" spans="1:37" ht="15.75" thickBot="1" x14ac:dyDescent="0.3">
      <c r="A100" s="99" t="s">
        <v>104</v>
      </c>
      <c r="B100" s="100">
        <f t="shared" ref="B100:AF100" si="22">SUM(B15,B20,B22:B23,B48,B50:B51,B53,B55,B101:B105,B127,B133,B139,B148,B150,B162,B169,B172:B173,B180,B182,B184,B188:B190,B192:B194,B199,B205:B206,B208:B210,B218,B223)</f>
        <v>35.099999999999994</v>
      </c>
      <c r="C100" s="100">
        <f t="shared" si="22"/>
        <v>34.639999999999986</v>
      </c>
      <c r="D100" s="100">
        <f t="shared" si="22"/>
        <v>33.639999999999986</v>
      </c>
      <c r="E100" s="100">
        <f t="shared" si="22"/>
        <v>31.839999999999996</v>
      </c>
      <c r="F100" s="100">
        <f t="shared" si="22"/>
        <v>32.739999999999995</v>
      </c>
      <c r="G100" s="100">
        <f t="shared" si="22"/>
        <v>56.839999999999961</v>
      </c>
      <c r="H100" s="100">
        <f t="shared" si="22"/>
        <v>81.339999999999989</v>
      </c>
      <c r="I100" s="100">
        <f t="shared" si="22"/>
        <v>120.53999999999999</v>
      </c>
      <c r="J100" s="100">
        <f t="shared" si="22"/>
        <v>173.24</v>
      </c>
      <c r="K100" s="100">
        <f t="shared" si="22"/>
        <v>213.84000000000003</v>
      </c>
      <c r="L100" s="100">
        <f t="shared" si="22"/>
        <v>232.54000000000002</v>
      </c>
      <c r="M100" s="100">
        <f t="shared" si="22"/>
        <v>229.84</v>
      </c>
      <c r="N100" s="100">
        <f t="shared" si="22"/>
        <v>205.94</v>
      </c>
      <c r="O100" s="100">
        <f t="shared" si="22"/>
        <v>189.04000000000002</v>
      </c>
      <c r="P100" s="100">
        <f t="shared" si="22"/>
        <v>182.64</v>
      </c>
      <c r="Q100" s="100">
        <f t="shared" si="22"/>
        <v>184.1</v>
      </c>
      <c r="R100" s="100">
        <f t="shared" si="22"/>
        <v>156.89999999999998</v>
      </c>
      <c r="S100" s="100">
        <f t="shared" si="22"/>
        <v>166.60000000000002</v>
      </c>
      <c r="T100" s="100">
        <f t="shared" si="22"/>
        <v>195.8</v>
      </c>
      <c r="U100" s="100">
        <f t="shared" si="22"/>
        <v>215</v>
      </c>
      <c r="V100" s="100">
        <f t="shared" si="22"/>
        <v>201.1</v>
      </c>
      <c r="W100" s="100">
        <f t="shared" si="22"/>
        <v>231</v>
      </c>
      <c r="X100" s="100">
        <f t="shared" si="22"/>
        <v>265.89999999999998</v>
      </c>
      <c r="Y100" s="100">
        <f t="shared" si="22"/>
        <v>250.2</v>
      </c>
      <c r="Z100" s="100">
        <f t="shared" si="22"/>
        <v>234.40000000000003</v>
      </c>
      <c r="AA100" s="100">
        <f t="shared" si="22"/>
        <v>220</v>
      </c>
      <c r="AB100" s="100">
        <f t="shared" si="22"/>
        <v>195.60000000000002</v>
      </c>
      <c r="AC100" s="100">
        <f t="shared" si="22"/>
        <v>166.6</v>
      </c>
      <c r="AD100" s="100">
        <f t="shared" si="22"/>
        <v>154.5</v>
      </c>
      <c r="AE100" s="100">
        <f t="shared" si="22"/>
        <v>110.5</v>
      </c>
      <c r="AF100" s="100">
        <f t="shared" si="22"/>
        <v>72</v>
      </c>
      <c r="AG100" s="101"/>
      <c r="AH100" s="48">
        <f t="shared" si="10"/>
        <v>265.89999999999998</v>
      </c>
      <c r="AI100" s="49">
        <f t="shared" si="11"/>
        <v>31.839999999999996</v>
      </c>
    </row>
    <row r="101" spans="1:37" x14ac:dyDescent="0.25">
      <c r="A101" s="88" t="s">
        <v>105</v>
      </c>
      <c r="B101" s="102">
        <v>27</v>
      </c>
      <c r="C101" s="102">
        <v>27</v>
      </c>
      <c r="D101" s="102">
        <v>25</v>
      </c>
      <c r="E101" s="102">
        <v>24.2</v>
      </c>
      <c r="F101" s="102">
        <v>26.9</v>
      </c>
      <c r="G101" s="102">
        <v>28.1</v>
      </c>
      <c r="H101" s="102">
        <v>32</v>
      </c>
      <c r="I101" s="102">
        <v>38.700000000000003</v>
      </c>
      <c r="J101" s="102">
        <v>45</v>
      </c>
      <c r="K101" s="102">
        <v>53.5</v>
      </c>
      <c r="L101" s="102">
        <v>50</v>
      </c>
      <c r="M101" s="102">
        <v>52.4</v>
      </c>
      <c r="N101" s="102">
        <v>57.5</v>
      </c>
      <c r="O101" s="102">
        <v>56</v>
      </c>
      <c r="P101" s="102">
        <v>58.3</v>
      </c>
      <c r="Q101" s="102">
        <v>55.7</v>
      </c>
      <c r="R101" s="102">
        <v>52.8</v>
      </c>
      <c r="S101" s="102">
        <v>50.3</v>
      </c>
      <c r="T101" s="102">
        <v>57.1</v>
      </c>
      <c r="U101" s="102">
        <v>51.3</v>
      </c>
      <c r="V101" s="102">
        <v>53.1</v>
      </c>
      <c r="W101" s="102">
        <v>48.4</v>
      </c>
      <c r="X101" s="102">
        <v>38.299999999999997</v>
      </c>
      <c r="Y101" s="102">
        <v>44.8</v>
      </c>
      <c r="Z101" s="102">
        <v>48.5</v>
      </c>
      <c r="AA101" s="102">
        <v>53.9</v>
      </c>
      <c r="AB101" s="102">
        <v>54</v>
      </c>
      <c r="AC101" s="102">
        <v>58</v>
      </c>
      <c r="AD101" s="102">
        <v>47</v>
      </c>
      <c r="AE101" s="102">
        <v>46</v>
      </c>
      <c r="AF101" s="102">
        <v>37</v>
      </c>
      <c r="AG101" s="103">
        <v>75</v>
      </c>
      <c r="AH101" s="48">
        <f t="shared" si="10"/>
        <v>58.3</v>
      </c>
      <c r="AI101" s="49">
        <f t="shared" si="11"/>
        <v>24.2</v>
      </c>
    </row>
    <row r="102" spans="1:37" x14ac:dyDescent="0.25">
      <c r="A102" s="91" t="s">
        <v>106</v>
      </c>
      <c r="B102" s="104">
        <v>45</v>
      </c>
      <c r="C102" s="104">
        <v>45</v>
      </c>
      <c r="D102" s="104">
        <v>41</v>
      </c>
      <c r="E102" s="104">
        <v>41.1</v>
      </c>
      <c r="F102" s="104">
        <v>42.9</v>
      </c>
      <c r="G102" s="104">
        <v>44.8</v>
      </c>
      <c r="H102" s="104">
        <v>50.5</v>
      </c>
      <c r="I102" s="104">
        <v>59.5</v>
      </c>
      <c r="J102" s="104">
        <v>59.5</v>
      </c>
      <c r="K102" s="104">
        <v>82.3</v>
      </c>
      <c r="L102" s="104">
        <v>76.8</v>
      </c>
      <c r="M102" s="104">
        <v>80.8</v>
      </c>
      <c r="N102" s="104">
        <v>88.3</v>
      </c>
      <c r="O102" s="104">
        <v>87.9</v>
      </c>
      <c r="P102" s="104">
        <v>90</v>
      </c>
      <c r="Q102" s="104">
        <v>86.9</v>
      </c>
      <c r="R102" s="104">
        <v>84.6</v>
      </c>
      <c r="S102" s="104">
        <v>81</v>
      </c>
      <c r="T102" s="104">
        <v>88.9</v>
      </c>
      <c r="U102" s="104">
        <v>79.2</v>
      </c>
      <c r="V102" s="104">
        <v>76.900000000000006</v>
      </c>
      <c r="W102" s="104">
        <v>70.599999999999994</v>
      </c>
      <c r="X102" s="104">
        <v>54.7</v>
      </c>
      <c r="Y102" s="104">
        <v>65.599999999999994</v>
      </c>
      <c r="Z102" s="104">
        <v>72.5</v>
      </c>
      <c r="AA102" s="104">
        <v>79.7</v>
      </c>
      <c r="AB102" s="104">
        <v>80.5</v>
      </c>
      <c r="AC102" s="104">
        <v>85</v>
      </c>
      <c r="AD102" s="104">
        <v>67</v>
      </c>
      <c r="AE102" s="104">
        <v>68</v>
      </c>
      <c r="AF102" s="104">
        <v>55</v>
      </c>
      <c r="AG102" s="103">
        <v>240</v>
      </c>
      <c r="AH102" s="48">
        <f t="shared" si="10"/>
        <v>90</v>
      </c>
      <c r="AI102" s="49">
        <f t="shared" si="11"/>
        <v>41</v>
      </c>
    </row>
    <row r="103" spans="1:37" x14ac:dyDescent="0.25">
      <c r="A103" s="91" t="s">
        <v>107</v>
      </c>
      <c r="B103" s="104">
        <v>-140</v>
      </c>
      <c r="C103" s="104">
        <v>-130</v>
      </c>
      <c r="D103" s="104">
        <v>-124</v>
      </c>
      <c r="E103" s="104">
        <f>-62-64</f>
        <v>-126</v>
      </c>
      <c r="F103" s="104">
        <f>-62-67</f>
        <v>-129</v>
      </c>
      <c r="G103" s="104">
        <f>-58-61</f>
        <v>-119</v>
      </c>
      <c r="H103" s="104">
        <f>-57-61</f>
        <v>-118</v>
      </c>
      <c r="I103" s="104">
        <f>-48-51</f>
        <v>-99</v>
      </c>
      <c r="J103" s="104">
        <v>-85</v>
      </c>
      <c r="K103" s="104">
        <f>-38-42</f>
        <v>-80</v>
      </c>
      <c r="L103" s="104">
        <v>-54</v>
      </c>
      <c r="M103" s="104">
        <v>-68</v>
      </c>
      <c r="N103" s="104">
        <v>-95</v>
      </c>
      <c r="O103" s="104">
        <v>-112</v>
      </c>
      <c r="P103" s="104">
        <v>-120</v>
      </c>
      <c r="Q103" s="104">
        <v>-112</v>
      </c>
      <c r="R103" s="104">
        <v>-135</v>
      </c>
      <c r="S103" s="104">
        <v>-119</v>
      </c>
      <c r="T103" s="104">
        <f>-50.5-54.2</f>
        <v>-104.7</v>
      </c>
      <c r="U103" s="104">
        <f>-42-44</f>
        <v>-86</v>
      </c>
      <c r="V103" s="104">
        <f>-48-51</f>
        <v>-99</v>
      </c>
      <c r="W103" s="104">
        <f>-27-28</f>
        <v>-55</v>
      </c>
      <c r="X103" s="104">
        <v>-2.2000000000000002</v>
      </c>
      <c r="Y103" s="104">
        <f>-15-18</f>
        <v>-33</v>
      </c>
      <c r="Z103" s="104">
        <v>-57</v>
      </c>
      <c r="AA103" s="104">
        <f>-39-43</f>
        <v>-82</v>
      </c>
      <c r="AB103" s="104">
        <v>-104</v>
      </c>
      <c r="AC103" s="104">
        <v>-117</v>
      </c>
      <c r="AD103" s="104">
        <v>-100</v>
      </c>
      <c r="AE103" s="104">
        <v>-134</v>
      </c>
      <c r="AF103" s="104">
        <v>-136</v>
      </c>
      <c r="AG103" s="103">
        <v>240</v>
      </c>
      <c r="AH103" s="48">
        <f t="shared" si="10"/>
        <v>-2.2000000000000002</v>
      </c>
      <c r="AI103" s="49">
        <f t="shared" si="11"/>
        <v>-140</v>
      </c>
    </row>
    <row r="104" spans="1:37" x14ac:dyDescent="0.25">
      <c r="A104" s="91" t="s">
        <v>108</v>
      </c>
      <c r="B104" s="104">
        <v>-9</v>
      </c>
      <c r="C104" s="104">
        <v>-10</v>
      </c>
      <c r="D104" s="104">
        <v>-11</v>
      </c>
      <c r="E104" s="104">
        <v>-10.199999999999999</v>
      </c>
      <c r="F104" s="104">
        <v>-10.8</v>
      </c>
      <c r="G104" s="104">
        <v>-9.6999999999999993</v>
      </c>
      <c r="H104" s="104">
        <v>-6.2</v>
      </c>
      <c r="I104" s="104">
        <v>-2</v>
      </c>
      <c r="J104" s="104">
        <v>-2</v>
      </c>
      <c r="K104" s="104">
        <v>2.2999999999999998</v>
      </c>
      <c r="L104" s="104">
        <v>4</v>
      </c>
      <c r="M104" s="104">
        <v>2.9</v>
      </c>
      <c r="N104" s="104">
        <v>-1</v>
      </c>
      <c r="O104" s="104">
        <v>-1</v>
      </c>
      <c r="P104" s="104">
        <v>-4.5</v>
      </c>
      <c r="Q104" s="104">
        <v>-4.4000000000000004</v>
      </c>
      <c r="R104" s="104">
        <v>-3.5</v>
      </c>
      <c r="S104" s="104">
        <v>-3.7</v>
      </c>
      <c r="T104" s="104">
        <v>-3.5</v>
      </c>
      <c r="U104" s="104">
        <v>2</v>
      </c>
      <c r="V104" s="104">
        <v>1.6</v>
      </c>
      <c r="W104" s="104">
        <v>10.5</v>
      </c>
      <c r="X104" s="104">
        <v>18</v>
      </c>
      <c r="Y104" s="104">
        <v>15.7</v>
      </c>
      <c r="Z104" s="104">
        <v>13.3</v>
      </c>
      <c r="AA104" s="104">
        <v>11.3</v>
      </c>
      <c r="AB104" s="104">
        <v>8</v>
      </c>
      <c r="AC104" s="104">
        <v>6.1</v>
      </c>
      <c r="AD104" s="104">
        <v>6</v>
      </c>
      <c r="AE104" s="104">
        <v>-4</v>
      </c>
      <c r="AF104" s="104">
        <v>-9</v>
      </c>
      <c r="AG104" s="103">
        <v>60</v>
      </c>
      <c r="AH104" s="48">
        <f t="shared" si="10"/>
        <v>18</v>
      </c>
      <c r="AI104" s="49">
        <f t="shared" si="11"/>
        <v>-11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0</v>
      </c>
      <c r="Y105" s="106">
        <v>0</v>
      </c>
      <c r="Z105" s="106">
        <v>0</v>
      </c>
      <c r="AA105" s="106">
        <v>0</v>
      </c>
      <c r="AB105" s="106">
        <v>0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10"/>
        <v>0</v>
      </c>
      <c r="AI105" s="49">
        <f t="shared" si="11"/>
        <v>0</v>
      </c>
    </row>
    <row r="106" spans="1:37" x14ac:dyDescent="0.25">
      <c r="A106" s="105" t="s">
        <v>110</v>
      </c>
      <c r="B106" s="106">
        <v>10</v>
      </c>
      <c r="C106" s="106">
        <v>11</v>
      </c>
      <c r="D106" s="106">
        <v>0</v>
      </c>
      <c r="E106" s="106">
        <v>-7.1</v>
      </c>
      <c r="F106" s="106">
        <v>-4.3</v>
      </c>
      <c r="G106" s="106">
        <v>4.4000000000000004</v>
      </c>
      <c r="H106" s="106">
        <v>4</v>
      </c>
      <c r="I106" s="106">
        <v>7.2</v>
      </c>
      <c r="J106" s="106">
        <v>7.2</v>
      </c>
      <c r="K106" s="106">
        <v>13.7</v>
      </c>
      <c r="L106" s="106">
        <v>47</v>
      </c>
      <c r="M106" s="106">
        <v>29.5</v>
      </c>
      <c r="N106" s="106">
        <v>17.3</v>
      </c>
      <c r="O106" s="106">
        <v>2.1</v>
      </c>
      <c r="P106" s="106">
        <v>-6.7</v>
      </c>
      <c r="Q106" s="106">
        <v>2.5</v>
      </c>
      <c r="R106" s="106">
        <v>-13.3</v>
      </c>
      <c r="S106" s="106">
        <v>3.1</v>
      </c>
      <c r="T106" s="106">
        <v>3.1</v>
      </c>
      <c r="U106" s="106">
        <v>24.7</v>
      </c>
      <c r="V106" s="106">
        <v>7.2</v>
      </c>
      <c r="W106" s="106">
        <v>45</v>
      </c>
      <c r="X106" s="106">
        <v>99</v>
      </c>
      <c r="Y106" s="106">
        <v>50.6</v>
      </c>
      <c r="Z106" s="106">
        <v>31.4</v>
      </c>
      <c r="AA106" s="106">
        <v>3.7</v>
      </c>
      <c r="AB106" s="106">
        <v>14</v>
      </c>
      <c r="AC106" s="106">
        <v>-28</v>
      </c>
      <c r="AD106" s="106">
        <v>20</v>
      </c>
      <c r="AE106" s="106">
        <v>37</v>
      </c>
      <c r="AF106" s="106">
        <v>20</v>
      </c>
      <c r="AG106" s="107"/>
      <c r="AH106" s="48">
        <f t="shared" si="10"/>
        <v>99</v>
      </c>
      <c r="AI106" s="49">
        <f t="shared" si="11"/>
        <v>-28</v>
      </c>
    </row>
    <row r="107" spans="1:37" x14ac:dyDescent="0.25">
      <c r="A107" s="105" t="s">
        <v>111</v>
      </c>
      <c r="B107" s="106">
        <v>6</v>
      </c>
      <c r="C107" s="106">
        <v>6</v>
      </c>
      <c r="D107" s="106">
        <v>12</v>
      </c>
      <c r="E107" s="106">
        <v>20.2</v>
      </c>
      <c r="F107" s="106">
        <v>7.9</v>
      </c>
      <c r="G107" s="106">
        <v>17.3</v>
      </c>
      <c r="H107" s="106">
        <v>14.1</v>
      </c>
      <c r="I107" s="106">
        <v>-2.8</v>
      </c>
      <c r="J107" s="106">
        <v>-2.8</v>
      </c>
      <c r="K107" s="106">
        <v>8.5</v>
      </c>
      <c r="L107" s="106">
        <v>12</v>
      </c>
      <c r="M107" s="106">
        <v>5.4</v>
      </c>
      <c r="N107" s="106">
        <v>-8.1999999999999993</v>
      </c>
      <c r="O107" s="106">
        <v>-8.1999999999999993</v>
      </c>
      <c r="P107" s="106">
        <v>-11.9</v>
      </c>
      <c r="Q107" s="106">
        <v>-5</v>
      </c>
      <c r="R107" s="106">
        <v>-4.5</v>
      </c>
      <c r="S107" s="106">
        <v>6</v>
      </c>
      <c r="T107" s="106">
        <v>6</v>
      </c>
      <c r="U107" s="106">
        <v>-0.3</v>
      </c>
      <c r="V107" s="106">
        <v>3.4</v>
      </c>
      <c r="W107" s="106">
        <v>20</v>
      </c>
      <c r="X107" s="106">
        <v>50.6</v>
      </c>
      <c r="Y107" s="106">
        <v>33.9</v>
      </c>
      <c r="Z107" s="106">
        <v>26</v>
      </c>
      <c r="AA107" s="106">
        <v>13.5</v>
      </c>
      <c r="AB107" s="106">
        <v>9</v>
      </c>
      <c r="AC107" s="106">
        <v>-14</v>
      </c>
      <c r="AD107" s="106">
        <v>12</v>
      </c>
      <c r="AE107" s="106">
        <v>8</v>
      </c>
      <c r="AF107" s="106">
        <v>4</v>
      </c>
      <c r="AG107" s="108"/>
      <c r="AH107" s="48">
        <f t="shared" si="10"/>
        <v>50.6</v>
      </c>
      <c r="AI107" s="49">
        <f t="shared" si="11"/>
        <v>-14</v>
      </c>
    </row>
    <row r="108" spans="1:37" x14ac:dyDescent="0.25">
      <c r="A108" s="109" t="s">
        <v>112</v>
      </c>
      <c r="B108" s="94">
        <v>86</v>
      </c>
      <c r="C108" s="94">
        <v>87</v>
      </c>
      <c r="D108" s="94">
        <v>86</v>
      </c>
      <c r="E108" s="94">
        <v>89.3</v>
      </c>
      <c r="F108" s="94">
        <v>88.4</v>
      </c>
      <c r="G108" s="94">
        <v>87.1</v>
      </c>
      <c r="H108" s="94">
        <v>84.3</v>
      </c>
      <c r="I108" s="94">
        <v>79.900000000000006</v>
      </c>
      <c r="J108" s="94">
        <v>79.900000000000006</v>
      </c>
      <c r="K108" s="94">
        <v>74</v>
      </c>
      <c r="L108" s="94">
        <v>71</v>
      </c>
      <c r="M108" s="94">
        <v>68.900000000000006</v>
      </c>
      <c r="N108" s="94">
        <v>56.3</v>
      </c>
      <c r="O108" s="94">
        <v>67.2</v>
      </c>
      <c r="P108" s="94">
        <v>63.3</v>
      </c>
      <c r="Q108" s="94">
        <v>62.8</v>
      </c>
      <c r="R108" s="94">
        <v>76.7</v>
      </c>
      <c r="S108" s="94">
        <v>74.2</v>
      </c>
      <c r="T108" s="94">
        <v>74.2</v>
      </c>
      <c r="U108" s="94">
        <v>73.5</v>
      </c>
      <c r="V108" s="94">
        <v>58.8</v>
      </c>
      <c r="W108" s="94">
        <v>49.4</v>
      </c>
      <c r="X108" s="94">
        <v>50.3</v>
      </c>
      <c r="Y108" s="94">
        <v>55.7</v>
      </c>
      <c r="Z108" s="94">
        <v>60.4</v>
      </c>
      <c r="AA108" s="94">
        <v>62.4</v>
      </c>
      <c r="AB108" s="94">
        <v>67</v>
      </c>
      <c r="AC108" s="94">
        <v>69</v>
      </c>
      <c r="AD108" s="94">
        <v>73</v>
      </c>
      <c r="AE108" s="94">
        <v>81</v>
      </c>
      <c r="AF108" s="94">
        <v>88</v>
      </c>
      <c r="AG108" s="108"/>
      <c r="AH108" s="48">
        <f t="shared" si="10"/>
        <v>89.3</v>
      </c>
      <c r="AI108" s="49">
        <f t="shared" si="11"/>
        <v>49.4</v>
      </c>
    </row>
    <row r="109" spans="1:37" ht="15.75" thickBot="1" x14ac:dyDescent="0.3">
      <c r="A109" s="109" t="s">
        <v>113</v>
      </c>
      <c r="B109" s="94">
        <v>103</v>
      </c>
      <c r="C109" s="94">
        <v>95</v>
      </c>
      <c r="D109" s="94">
        <v>100</v>
      </c>
      <c r="E109" s="94">
        <v>95</v>
      </c>
      <c r="F109" s="94">
        <v>89.7</v>
      </c>
      <c r="G109" s="94">
        <v>82.2</v>
      </c>
      <c r="H109" s="94">
        <v>90</v>
      </c>
      <c r="I109" s="94">
        <v>73.599999999999994</v>
      </c>
      <c r="J109" s="94">
        <v>73.599999999999994</v>
      </c>
      <c r="K109" s="94">
        <v>72</v>
      </c>
      <c r="L109" s="94">
        <v>44</v>
      </c>
      <c r="M109" s="94">
        <v>51.9</v>
      </c>
      <c r="N109" s="94">
        <v>70.2</v>
      </c>
      <c r="O109" s="94">
        <v>84.5</v>
      </c>
      <c r="P109" s="94">
        <v>91.2</v>
      </c>
      <c r="Q109" s="94">
        <v>81.7</v>
      </c>
      <c r="R109" s="94">
        <v>96.8</v>
      </c>
      <c r="S109" s="94">
        <v>83.8</v>
      </c>
      <c r="T109" s="94">
        <v>80.400000000000006</v>
      </c>
      <c r="U109" s="94">
        <v>68.3</v>
      </c>
      <c r="V109" s="94">
        <v>73</v>
      </c>
      <c r="W109" s="94">
        <v>43</v>
      </c>
      <c r="X109" s="94">
        <v>4.5</v>
      </c>
      <c r="Y109" s="94">
        <v>27.6</v>
      </c>
      <c r="Z109" s="94">
        <v>42.9</v>
      </c>
      <c r="AA109" s="94">
        <v>62.8</v>
      </c>
      <c r="AB109" s="94">
        <v>85</v>
      </c>
      <c r="AC109" s="94">
        <v>91</v>
      </c>
      <c r="AD109" s="94">
        <v>90</v>
      </c>
      <c r="AE109" s="94">
        <v>100</v>
      </c>
      <c r="AF109" s="94">
        <v>100</v>
      </c>
      <c r="AG109" s="108"/>
      <c r="AH109" s="48">
        <f t="shared" si="10"/>
        <v>103</v>
      </c>
      <c r="AI109" s="49">
        <f t="shared" si="11"/>
        <v>4.5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23">SUM(B111:B215)</f>
        <v>0</v>
      </c>
      <c r="C216" s="125">
        <f t="shared" si="23"/>
        <v>0</v>
      </c>
      <c r="D216" s="125">
        <f t="shared" si="23"/>
        <v>0</v>
      </c>
      <c r="E216" s="125">
        <f t="shared" si="23"/>
        <v>0</v>
      </c>
      <c r="F216" s="125">
        <f t="shared" si="23"/>
        <v>0</v>
      </c>
      <c r="G216" s="125">
        <f t="shared" si="23"/>
        <v>0</v>
      </c>
      <c r="H216" s="125">
        <f t="shared" si="23"/>
        <v>0</v>
      </c>
      <c r="I216" s="125">
        <f t="shared" si="23"/>
        <v>0</v>
      </c>
      <c r="J216" s="125">
        <f t="shared" si="23"/>
        <v>0</v>
      </c>
      <c r="K216" s="125">
        <f t="shared" si="23"/>
        <v>0</v>
      </c>
      <c r="L216" s="125">
        <f t="shared" si="23"/>
        <v>0</v>
      </c>
      <c r="M216" s="125">
        <f t="shared" si="23"/>
        <v>0</v>
      </c>
      <c r="N216" s="125">
        <f t="shared" si="23"/>
        <v>0</v>
      </c>
      <c r="O216" s="125">
        <f t="shared" si="23"/>
        <v>0</v>
      </c>
      <c r="P216" s="125">
        <f t="shared" si="23"/>
        <v>0</v>
      </c>
      <c r="Q216" s="125">
        <f t="shared" si="23"/>
        <v>0</v>
      </c>
      <c r="R216" s="125">
        <f t="shared" si="23"/>
        <v>0</v>
      </c>
      <c r="S216" s="125">
        <f t="shared" si="23"/>
        <v>0</v>
      </c>
      <c r="T216" s="125">
        <f t="shared" si="23"/>
        <v>0</v>
      </c>
      <c r="U216" s="125">
        <f t="shared" si="23"/>
        <v>0</v>
      </c>
      <c r="V216" s="125">
        <f t="shared" si="23"/>
        <v>0</v>
      </c>
      <c r="W216" s="125">
        <f t="shared" si="23"/>
        <v>0</v>
      </c>
      <c r="X216" s="125">
        <f t="shared" si="23"/>
        <v>0</v>
      </c>
      <c r="Y216" s="125">
        <f t="shared" si="23"/>
        <v>0</v>
      </c>
      <c r="Z216" s="125">
        <f t="shared" si="23"/>
        <v>0</v>
      </c>
      <c r="AA216" s="125">
        <f t="shared" si="23"/>
        <v>0</v>
      </c>
      <c r="AB216" s="125">
        <f t="shared" si="23"/>
        <v>0</v>
      </c>
      <c r="AC216" s="125">
        <f t="shared" si="23"/>
        <v>0</v>
      </c>
      <c r="AD216" s="125">
        <f t="shared" si="23"/>
        <v>0</v>
      </c>
      <c r="AE216" s="125">
        <f t="shared" si="23"/>
        <v>0</v>
      </c>
      <c r="AF216" s="126">
        <f t="shared" si="23"/>
        <v>0</v>
      </c>
      <c r="AG216" s="127">
        <f t="shared" si="23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24">AF218</f>
        <v>0</v>
      </c>
      <c r="C218" s="129">
        <v>0.3</v>
      </c>
      <c r="D218" s="129">
        <f t="shared" ref="D218:P223" si="25">C218</f>
        <v>0.3</v>
      </c>
      <c r="E218" s="129">
        <f t="shared" si="25"/>
        <v>0.3</v>
      </c>
      <c r="F218" s="129">
        <f t="shared" si="25"/>
        <v>0.3</v>
      </c>
      <c r="G218" s="129">
        <f t="shared" si="25"/>
        <v>0.3</v>
      </c>
      <c r="H218" s="129">
        <f t="shared" si="25"/>
        <v>0.3</v>
      </c>
      <c r="I218" s="129">
        <f t="shared" si="25"/>
        <v>0.3</v>
      </c>
      <c r="J218" s="129">
        <f t="shared" si="25"/>
        <v>0.3</v>
      </c>
      <c r="K218" s="129">
        <f t="shared" si="25"/>
        <v>0.3</v>
      </c>
      <c r="L218" s="129">
        <f t="shared" si="25"/>
        <v>0.3</v>
      </c>
      <c r="M218" s="129">
        <f t="shared" si="25"/>
        <v>0.3</v>
      </c>
      <c r="N218" s="129">
        <f t="shared" si="25"/>
        <v>0.3</v>
      </c>
      <c r="O218" s="129">
        <f t="shared" si="25"/>
        <v>0.3</v>
      </c>
      <c r="P218" s="129">
        <f t="shared" si="25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24"/>
        <v>0</v>
      </c>
      <c r="C219" s="117">
        <v>0.4</v>
      </c>
      <c r="D219" s="117">
        <f t="shared" si="25"/>
        <v>0.4</v>
      </c>
      <c r="E219" s="117">
        <f t="shared" si="25"/>
        <v>0.4</v>
      </c>
      <c r="F219" s="117">
        <f t="shared" si="25"/>
        <v>0.4</v>
      </c>
      <c r="G219" s="117">
        <f t="shared" si="25"/>
        <v>0.4</v>
      </c>
      <c r="H219" s="117">
        <f t="shared" si="25"/>
        <v>0.4</v>
      </c>
      <c r="I219" s="117">
        <f t="shared" si="25"/>
        <v>0.4</v>
      </c>
      <c r="J219" s="117">
        <f t="shared" si="25"/>
        <v>0.4</v>
      </c>
      <c r="K219" s="117">
        <f t="shared" si="25"/>
        <v>0.4</v>
      </c>
      <c r="L219" s="117">
        <f t="shared" si="25"/>
        <v>0.4</v>
      </c>
      <c r="M219" s="117">
        <f t="shared" si="25"/>
        <v>0.4</v>
      </c>
      <c r="N219" s="117">
        <f t="shared" si="25"/>
        <v>0.4</v>
      </c>
      <c r="O219" s="117">
        <f t="shared" si="25"/>
        <v>0.4</v>
      </c>
      <c r="P219" s="117">
        <f t="shared" si="25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24"/>
        <v>0</v>
      </c>
      <c r="C220" s="117">
        <v>1.5</v>
      </c>
      <c r="D220" s="117">
        <f t="shared" si="25"/>
        <v>1.5</v>
      </c>
      <c r="E220" s="117">
        <f t="shared" si="25"/>
        <v>1.5</v>
      </c>
      <c r="F220" s="117">
        <f t="shared" si="25"/>
        <v>1.5</v>
      </c>
      <c r="G220" s="117">
        <f t="shared" si="25"/>
        <v>1.5</v>
      </c>
      <c r="H220" s="117">
        <f t="shared" si="25"/>
        <v>1.5</v>
      </c>
      <c r="I220" s="117">
        <f t="shared" si="25"/>
        <v>1.5</v>
      </c>
      <c r="J220" s="117">
        <f t="shared" si="25"/>
        <v>1.5</v>
      </c>
      <c r="K220" s="117">
        <f t="shared" si="25"/>
        <v>1.5</v>
      </c>
      <c r="L220" s="117">
        <f t="shared" si="25"/>
        <v>1.5</v>
      </c>
      <c r="M220" s="117">
        <f t="shared" si="25"/>
        <v>1.5</v>
      </c>
      <c r="N220" s="117">
        <f t="shared" si="25"/>
        <v>1.5</v>
      </c>
      <c r="O220" s="117">
        <f t="shared" si="25"/>
        <v>1.5</v>
      </c>
      <c r="P220" s="117">
        <f t="shared" si="25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24"/>
        <v>0</v>
      </c>
      <c r="C221" s="117">
        <v>0.3</v>
      </c>
      <c r="D221" s="117">
        <f t="shared" si="25"/>
        <v>0.3</v>
      </c>
      <c r="E221" s="117">
        <f t="shared" si="25"/>
        <v>0.3</v>
      </c>
      <c r="F221" s="117">
        <f t="shared" si="25"/>
        <v>0.3</v>
      </c>
      <c r="G221" s="117">
        <f t="shared" si="25"/>
        <v>0.3</v>
      </c>
      <c r="H221" s="117">
        <f t="shared" si="25"/>
        <v>0.3</v>
      </c>
      <c r="I221" s="117">
        <f t="shared" si="25"/>
        <v>0.3</v>
      </c>
      <c r="J221" s="117">
        <f t="shared" si="25"/>
        <v>0.3</v>
      </c>
      <c r="K221" s="117">
        <f t="shared" si="25"/>
        <v>0.3</v>
      </c>
      <c r="L221" s="117">
        <f t="shared" si="25"/>
        <v>0.3</v>
      </c>
      <c r="M221" s="117">
        <f t="shared" si="25"/>
        <v>0.3</v>
      </c>
      <c r="N221" s="117">
        <f t="shared" si="25"/>
        <v>0.3</v>
      </c>
      <c r="O221" s="117">
        <f t="shared" si="25"/>
        <v>0.3</v>
      </c>
      <c r="P221" s="117">
        <f t="shared" si="25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24"/>
        <v>0</v>
      </c>
      <c r="C222" s="117">
        <v>0.4</v>
      </c>
      <c r="D222" s="117">
        <f t="shared" si="25"/>
        <v>0.4</v>
      </c>
      <c r="E222" s="117">
        <f t="shared" si="25"/>
        <v>0.4</v>
      </c>
      <c r="F222" s="117">
        <f t="shared" si="25"/>
        <v>0.4</v>
      </c>
      <c r="G222" s="117">
        <f t="shared" si="25"/>
        <v>0.4</v>
      </c>
      <c r="H222" s="117">
        <f t="shared" si="25"/>
        <v>0.4</v>
      </c>
      <c r="I222" s="117">
        <f t="shared" si="25"/>
        <v>0.4</v>
      </c>
      <c r="J222" s="117">
        <f t="shared" si="25"/>
        <v>0.4</v>
      </c>
      <c r="K222" s="117">
        <f t="shared" si="25"/>
        <v>0.4</v>
      </c>
      <c r="L222" s="117">
        <f t="shared" si="25"/>
        <v>0.4</v>
      </c>
      <c r="M222" s="117">
        <f t="shared" si="25"/>
        <v>0.4</v>
      </c>
      <c r="N222" s="117">
        <f t="shared" si="25"/>
        <v>0.4</v>
      </c>
      <c r="O222" s="117">
        <f t="shared" si="25"/>
        <v>0.4</v>
      </c>
      <c r="P222" s="117">
        <f t="shared" si="25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24"/>
        <v>0</v>
      </c>
      <c r="C223" s="121">
        <v>0.64</v>
      </c>
      <c r="D223" s="121">
        <f t="shared" si="25"/>
        <v>0.64</v>
      </c>
      <c r="E223" s="121">
        <f t="shared" si="25"/>
        <v>0.64</v>
      </c>
      <c r="F223" s="121">
        <f t="shared" si="25"/>
        <v>0.64</v>
      </c>
      <c r="G223" s="121">
        <f t="shared" si="25"/>
        <v>0.64</v>
      </c>
      <c r="H223" s="121">
        <f t="shared" si="25"/>
        <v>0.64</v>
      </c>
      <c r="I223" s="121">
        <f t="shared" si="25"/>
        <v>0.64</v>
      </c>
      <c r="J223" s="121">
        <f t="shared" si="25"/>
        <v>0.64</v>
      </c>
      <c r="K223" s="121">
        <f t="shared" si="25"/>
        <v>0.64</v>
      </c>
      <c r="L223" s="121">
        <f t="shared" si="25"/>
        <v>0.64</v>
      </c>
      <c r="M223" s="121">
        <f t="shared" si="25"/>
        <v>0.64</v>
      </c>
      <c r="N223" s="121">
        <f t="shared" si="25"/>
        <v>0.64</v>
      </c>
      <c r="O223" s="121">
        <f t="shared" si="25"/>
        <v>0.64</v>
      </c>
      <c r="P223" s="121">
        <f t="shared" si="25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6">SUM(B218:B223)</f>
        <v>0</v>
      </c>
      <c r="C224" s="125">
        <f t="shared" si="26"/>
        <v>3.54</v>
      </c>
      <c r="D224" s="125">
        <f t="shared" si="26"/>
        <v>3.54</v>
      </c>
      <c r="E224" s="125">
        <f t="shared" si="26"/>
        <v>3.54</v>
      </c>
      <c r="F224" s="125">
        <f t="shared" si="26"/>
        <v>3.54</v>
      </c>
      <c r="G224" s="125">
        <f t="shared" si="26"/>
        <v>3.54</v>
      </c>
      <c r="H224" s="125">
        <f t="shared" si="26"/>
        <v>3.54</v>
      </c>
      <c r="I224" s="125">
        <f t="shared" si="26"/>
        <v>3.54</v>
      </c>
      <c r="J224" s="125">
        <f t="shared" si="26"/>
        <v>3.54</v>
      </c>
      <c r="K224" s="125">
        <f t="shared" si="26"/>
        <v>3.54</v>
      </c>
      <c r="L224" s="125">
        <f t="shared" si="26"/>
        <v>3.54</v>
      </c>
      <c r="M224" s="125">
        <f t="shared" si="26"/>
        <v>3.54</v>
      </c>
      <c r="N224" s="125">
        <f t="shared" si="26"/>
        <v>3.54</v>
      </c>
      <c r="O224" s="125">
        <f t="shared" si="26"/>
        <v>3.54</v>
      </c>
      <c r="P224" s="125">
        <f t="shared" si="26"/>
        <v>3.54</v>
      </c>
      <c r="Q224" s="125">
        <f t="shared" si="26"/>
        <v>0</v>
      </c>
      <c r="R224" s="125">
        <f t="shared" si="26"/>
        <v>0</v>
      </c>
      <c r="S224" s="125">
        <f t="shared" si="26"/>
        <v>0</v>
      </c>
      <c r="T224" s="125">
        <f t="shared" si="26"/>
        <v>0</v>
      </c>
      <c r="U224" s="125">
        <f t="shared" si="26"/>
        <v>0</v>
      </c>
      <c r="V224" s="125">
        <f t="shared" si="26"/>
        <v>0</v>
      </c>
      <c r="W224" s="125">
        <f t="shared" si="26"/>
        <v>0</v>
      </c>
      <c r="X224" s="125">
        <f t="shared" si="26"/>
        <v>0</v>
      </c>
      <c r="Y224" s="125">
        <f t="shared" si="26"/>
        <v>0</v>
      </c>
      <c r="Z224" s="125">
        <f t="shared" si="26"/>
        <v>0</v>
      </c>
      <c r="AA224" s="125">
        <f t="shared" si="26"/>
        <v>0</v>
      </c>
      <c r="AB224" s="125">
        <f t="shared" si="26"/>
        <v>0</v>
      </c>
      <c r="AC224" s="125">
        <f t="shared" si="26"/>
        <v>0</v>
      </c>
      <c r="AD224" s="125">
        <f t="shared" si="26"/>
        <v>0</v>
      </c>
      <c r="AE224" s="125">
        <f t="shared" si="26"/>
        <v>0</v>
      </c>
      <c r="AF224" s="125">
        <f t="shared" si="26"/>
        <v>0</v>
      </c>
      <c r="AG224" s="134">
        <f t="shared" si="26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1609.3400000000001</v>
      </c>
      <c r="C233" s="150">
        <f>INDEX(G9:N9,1,MATCH(MAX(G81:N81),G81:N81,0))</f>
        <v>0.33333333333333331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25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2079/06/25)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2079/06/25)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27">B81</f>
        <v>1217.8400000000001</v>
      </c>
      <c r="U238" s="159">
        <f t="shared" si="27"/>
        <v>1224.74</v>
      </c>
      <c r="V238" s="159">
        <f t="shared" si="27"/>
        <v>1204.44</v>
      </c>
      <c r="W238" s="159">
        <f t="shared" si="27"/>
        <v>1178.54</v>
      </c>
      <c r="X238" s="159">
        <f t="shared" si="27"/>
        <v>1158.1400000000001</v>
      </c>
      <c r="Y238" s="159">
        <f t="shared" si="27"/>
        <v>1266.24</v>
      </c>
      <c r="Z238" s="159">
        <f t="shared" si="27"/>
        <v>1299.74</v>
      </c>
      <c r="AA238" s="159">
        <f t="shared" si="27"/>
        <v>1368.84</v>
      </c>
      <c r="AB238" s="159">
        <f t="shared" si="27"/>
        <v>1476.24</v>
      </c>
      <c r="AC238" s="159">
        <f t="shared" si="27"/>
        <v>1477.3400000000001</v>
      </c>
      <c r="AD238" s="159">
        <f t="shared" si="27"/>
        <v>1565.44</v>
      </c>
      <c r="AE238" s="159">
        <f t="shared" si="27"/>
        <v>1609.3400000000001</v>
      </c>
      <c r="AF238" s="159">
        <f t="shared" si="27"/>
        <v>1547.24</v>
      </c>
      <c r="AG238" s="159">
        <f t="shared" si="27"/>
        <v>1547.24</v>
      </c>
      <c r="AH238" s="159">
        <f t="shared" si="27"/>
        <v>1446.6399999999999</v>
      </c>
      <c r="AI238" s="159">
        <f t="shared" si="27"/>
        <v>1416.6399999999999</v>
      </c>
      <c r="AJ238" s="159">
        <f t="shared" si="27"/>
        <v>1299.94</v>
      </c>
      <c r="AK238" s="159">
        <f t="shared" si="27"/>
        <v>1289.94</v>
      </c>
      <c r="AL238" s="159">
        <f t="shared" si="27"/>
        <v>1324.94</v>
      </c>
      <c r="AM238" s="159">
        <f t="shared" si="27"/>
        <v>1383.94</v>
      </c>
      <c r="AN238" s="159">
        <f t="shared" si="27"/>
        <v>1394.94</v>
      </c>
      <c r="AO238" s="159">
        <f t="shared" si="27"/>
        <v>1533.44</v>
      </c>
      <c r="AP238" s="159">
        <f t="shared" si="27"/>
        <v>1717.44</v>
      </c>
      <c r="AQ238" s="159">
        <f t="shared" si="27"/>
        <v>1626.94</v>
      </c>
      <c r="AR238" s="159">
        <f t="shared" si="27"/>
        <v>1576.94</v>
      </c>
      <c r="AS238" s="159">
        <f t="shared" si="27"/>
        <v>1581.94</v>
      </c>
      <c r="AT238" s="159">
        <f t="shared" si="27"/>
        <v>1512.34</v>
      </c>
      <c r="AU238" s="159">
        <f t="shared" si="27"/>
        <v>1473.24</v>
      </c>
      <c r="AV238" s="159">
        <f t="shared" si="27"/>
        <v>1410.74</v>
      </c>
      <c r="AW238" s="159">
        <f t="shared" si="27"/>
        <v>1306.44</v>
      </c>
      <c r="AX238" s="159">
        <f t="shared" si="27"/>
        <v>1284.3399999999999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28">C223</f>
        <v>0.64</v>
      </c>
      <c r="C259" s="162">
        <f t="shared" si="28"/>
        <v>0.64</v>
      </c>
      <c r="D259" s="162">
        <f t="shared" si="28"/>
        <v>0.64</v>
      </c>
      <c r="E259" s="162">
        <f t="shared" si="28"/>
        <v>0.64</v>
      </c>
      <c r="F259" s="162">
        <f t="shared" si="28"/>
        <v>0.64</v>
      </c>
      <c r="G259" s="162">
        <f t="shared" si="28"/>
        <v>0.64</v>
      </c>
      <c r="H259" s="162">
        <f t="shared" si="28"/>
        <v>0.64</v>
      </c>
      <c r="I259" s="162">
        <f t="shared" si="28"/>
        <v>0.64</v>
      </c>
      <c r="J259" s="162">
        <f t="shared" si="28"/>
        <v>0.64</v>
      </c>
      <c r="K259" s="162">
        <f t="shared" si="28"/>
        <v>0.64</v>
      </c>
      <c r="L259" s="162">
        <f t="shared" si="28"/>
        <v>0.64</v>
      </c>
      <c r="M259" s="162">
        <f t="shared" si="28"/>
        <v>0.64</v>
      </c>
      <c r="N259" s="162">
        <f t="shared" si="28"/>
        <v>0.64</v>
      </c>
      <c r="O259" s="162">
        <f t="shared" si="28"/>
        <v>0.64</v>
      </c>
      <c r="P259" s="162">
        <f t="shared" si="28"/>
        <v>0</v>
      </c>
      <c r="Q259" s="162">
        <f t="shared" si="28"/>
        <v>0</v>
      </c>
      <c r="R259" s="162">
        <f t="shared" si="28"/>
        <v>0</v>
      </c>
      <c r="S259" s="162">
        <f t="shared" si="28"/>
        <v>0</v>
      </c>
      <c r="T259" s="162">
        <f t="shared" si="28"/>
        <v>0</v>
      </c>
      <c r="U259" s="162">
        <f t="shared" si="28"/>
        <v>0</v>
      </c>
      <c r="V259" s="162">
        <f t="shared" si="28"/>
        <v>0</v>
      </c>
      <c r="W259" s="162">
        <f t="shared" si="28"/>
        <v>0</v>
      </c>
      <c r="X259" s="162">
        <f t="shared" si="28"/>
        <v>0</v>
      </c>
      <c r="Y259" s="162">
        <f t="shared" si="28"/>
        <v>0</v>
      </c>
      <c r="Z259" s="162">
        <f t="shared" si="28"/>
        <v>0</v>
      </c>
      <c r="AA259" s="162">
        <f t="shared" si="28"/>
        <v>0</v>
      </c>
      <c r="AB259" s="162">
        <f t="shared" si="28"/>
        <v>0</v>
      </c>
      <c r="AC259" s="162">
        <f t="shared" si="28"/>
        <v>0</v>
      </c>
      <c r="AD259" s="162">
        <f t="shared" si="28"/>
        <v>0</v>
      </c>
      <c r="AE259" s="162">
        <f t="shared" si="28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29">IF(B227&lt;100,"",B227-520)</f>
        <v/>
      </c>
      <c r="C260" s="163" t="str">
        <f t="shared" si="29"/>
        <v/>
      </c>
      <c r="D260" s="163" t="str">
        <f t="shared" si="29"/>
        <v/>
      </c>
      <c r="E260" s="163" t="str">
        <f t="shared" si="29"/>
        <v/>
      </c>
      <c r="F260" s="163" t="str">
        <f t="shared" si="29"/>
        <v/>
      </c>
      <c r="G260" s="163" t="str">
        <f t="shared" si="29"/>
        <v/>
      </c>
      <c r="H260" s="163" t="str">
        <f t="shared" si="29"/>
        <v/>
      </c>
      <c r="I260" s="163" t="str">
        <f t="shared" si="29"/>
        <v/>
      </c>
      <c r="J260" s="163" t="str">
        <f t="shared" si="29"/>
        <v/>
      </c>
      <c r="K260" s="163" t="str">
        <f t="shared" si="29"/>
        <v/>
      </c>
      <c r="L260" s="163" t="str">
        <f t="shared" si="29"/>
        <v/>
      </c>
      <c r="M260" s="163" t="str">
        <f t="shared" si="29"/>
        <v/>
      </c>
      <c r="N260" s="163" t="str">
        <f t="shared" si="29"/>
        <v/>
      </c>
      <c r="O260" s="163" t="str">
        <f t="shared" si="29"/>
        <v/>
      </c>
      <c r="P260" s="163" t="str">
        <f t="shared" si="29"/>
        <v/>
      </c>
      <c r="Q260" s="163" t="str">
        <f t="shared" si="29"/>
        <v/>
      </c>
      <c r="R260" s="163" t="str">
        <f t="shared" si="29"/>
        <v/>
      </c>
      <c r="S260" s="163" t="str">
        <f t="shared" si="29"/>
        <v/>
      </c>
      <c r="T260" s="163" t="str">
        <f t="shared" si="29"/>
        <v/>
      </c>
      <c r="U260" s="163" t="str">
        <f t="shared" si="29"/>
        <v/>
      </c>
      <c r="V260" s="163" t="str">
        <f t="shared" si="29"/>
        <v/>
      </c>
      <c r="W260" s="163" t="str">
        <f t="shared" si="29"/>
        <v/>
      </c>
      <c r="X260" s="163" t="str">
        <f t="shared" si="29"/>
        <v/>
      </c>
      <c r="Y260" s="163" t="str">
        <f t="shared" si="29"/>
        <v/>
      </c>
      <c r="Z260" s="163" t="str">
        <f t="shared" si="29"/>
        <v/>
      </c>
      <c r="AA260" s="163" t="str">
        <f t="shared" si="29"/>
        <v/>
      </c>
      <c r="AB260" s="163" t="str">
        <f t="shared" si="29"/>
        <v/>
      </c>
      <c r="AC260" s="163" t="str">
        <f t="shared" si="29"/>
        <v/>
      </c>
      <c r="AD260" s="163" t="str">
        <f t="shared" si="29"/>
        <v/>
      </c>
      <c r="AE260" s="163" t="str">
        <f t="shared" si="29"/>
        <v/>
      </c>
      <c r="AF260" s="163" t="str">
        <f t="shared" si="29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30">IF(B228&lt;100,"",B228-620)</f>
        <v/>
      </c>
      <c r="C261" s="163" t="str">
        <f t="shared" si="30"/>
        <v/>
      </c>
      <c r="D261" s="163" t="str">
        <f t="shared" si="30"/>
        <v/>
      </c>
      <c r="E261" s="163" t="str">
        <f t="shared" si="30"/>
        <v/>
      </c>
      <c r="F261" s="163" t="str">
        <f t="shared" si="30"/>
        <v/>
      </c>
      <c r="G261" s="163" t="str">
        <f t="shared" si="30"/>
        <v/>
      </c>
      <c r="H261" s="163" t="str">
        <f t="shared" si="30"/>
        <v/>
      </c>
      <c r="I261" s="163" t="str">
        <f t="shared" si="30"/>
        <v/>
      </c>
      <c r="J261" s="163" t="str">
        <f t="shared" si="30"/>
        <v/>
      </c>
      <c r="K261" s="163" t="str">
        <f t="shared" si="30"/>
        <v/>
      </c>
      <c r="L261" s="163" t="str">
        <f t="shared" si="30"/>
        <v/>
      </c>
      <c r="M261" s="163" t="str">
        <f t="shared" si="30"/>
        <v/>
      </c>
      <c r="N261" s="163" t="str">
        <f t="shared" si="30"/>
        <v/>
      </c>
      <c r="O261" s="163" t="str">
        <f t="shared" si="30"/>
        <v/>
      </c>
      <c r="P261" s="163" t="str">
        <f t="shared" si="30"/>
        <v/>
      </c>
      <c r="Q261" s="163" t="str">
        <f t="shared" si="30"/>
        <v/>
      </c>
      <c r="R261" s="163" t="str">
        <f t="shared" si="30"/>
        <v/>
      </c>
      <c r="S261" s="163" t="str">
        <f t="shared" si="30"/>
        <v/>
      </c>
      <c r="T261" s="163" t="str">
        <f t="shared" si="30"/>
        <v/>
      </c>
      <c r="U261" s="163" t="str">
        <f t="shared" si="30"/>
        <v/>
      </c>
      <c r="V261" s="163" t="str">
        <f t="shared" si="30"/>
        <v/>
      </c>
      <c r="W261" s="163" t="str">
        <f t="shared" si="30"/>
        <v/>
      </c>
      <c r="X261" s="163" t="str">
        <f t="shared" si="30"/>
        <v/>
      </c>
      <c r="Y261" s="163" t="str">
        <f t="shared" si="30"/>
        <v/>
      </c>
      <c r="Z261" s="163" t="str">
        <f t="shared" si="30"/>
        <v/>
      </c>
      <c r="AA261" s="163" t="str">
        <f t="shared" si="30"/>
        <v/>
      </c>
      <c r="AB261" s="163" t="str">
        <f t="shared" si="30"/>
        <v/>
      </c>
      <c r="AC261" s="163" t="str">
        <f t="shared" si="30"/>
        <v/>
      </c>
      <c r="AD261" s="163" t="str">
        <f t="shared" si="30"/>
        <v/>
      </c>
      <c r="AE261" s="163" t="str">
        <f t="shared" si="30"/>
        <v/>
      </c>
      <c r="AF261" s="163" t="str">
        <f t="shared" si="30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1">IF(B229&lt;100,"",B229-330)</f>
        <v/>
      </c>
      <c r="C262" s="163" t="str">
        <f t="shared" si="31"/>
        <v/>
      </c>
      <c r="D262" s="163" t="str">
        <f t="shared" si="31"/>
        <v/>
      </c>
      <c r="E262" s="163" t="str">
        <f t="shared" si="31"/>
        <v/>
      </c>
      <c r="F262" s="163" t="str">
        <f t="shared" si="31"/>
        <v/>
      </c>
      <c r="G262" s="163" t="str">
        <f t="shared" si="31"/>
        <v/>
      </c>
      <c r="H262" s="163" t="str">
        <f t="shared" si="31"/>
        <v/>
      </c>
      <c r="I262" s="163" t="str">
        <f t="shared" si="31"/>
        <v/>
      </c>
      <c r="J262" s="163" t="str">
        <f t="shared" si="31"/>
        <v/>
      </c>
      <c r="K262" s="163" t="str">
        <f t="shared" si="31"/>
        <v/>
      </c>
      <c r="L262" s="163" t="str">
        <f t="shared" si="31"/>
        <v/>
      </c>
      <c r="M262" s="163" t="str">
        <f t="shared" si="31"/>
        <v/>
      </c>
      <c r="N262" s="163" t="str">
        <f t="shared" si="31"/>
        <v/>
      </c>
      <c r="O262" s="163" t="str">
        <f t="shared" si="31"/>
        <v/>
      </c>
      <c r="P262" s="163" t="str">
        <f t="shared" si="31"/>
        <v/>
      </c>
      <c r="Q262" s="163" t="str">
        <f t="shared" si="31"/>
        <v/>
      </c>
      <c r="R262" s="163" t="str">
        <f t="shared" si="31"/>
        <v/>
      </c>
      <c r="S262" s="163" t="str">
        <f t="shared" si="31"/>
        <v/>
      </c>
      <c r="T262" s="163" t="str">
        <f t="shared" si="31"/>
        <v/>
      </c>
      <c r="U262" s="163" t="str">
        <f t="shared" si="31"/>
        <v/>
      </c>
      <c r="V262" s="163" t="str">
        <f t="shared" si="31"/>
        <v/>
      </c>
      <c r="W262" s="163" t="str">
        <f t="shared" si="31"/>
        <v/>
      </c>
      <c r="X262" s="163" t="str">
        <f t="shared" si="31"/>
        <v/>
      </c>
      <c r="Y262" s="163" t="str">
        <f t="shared" si="31"/>
        <v/>
      </c>
      <c r="Z262" s="163" t="str">
        <f t="shared" si="31"/>
        <v/>
      </c>
      <c r="AA262" s="163" t="str">
        <f t="shared" si="31"/>
        <v/>
      </c>
      <c r="AB262" s="163" t="str">
        <f t="shared" si="31"/>
        <v/>
      </c>
      <c r="AC262" s="163" t="str">
        <f t="shared" si="31"/>
        <v/>
      </c>
      <c r="AD262" s="163" t="str">
        <f t="shared" si="31"/>
        <v/>
      </c>
      <c r="AE262" s="163" t="str">
        <f t="shared" si="31"/>
        <v/>
      </c>
      <c r="AF262" s="163" t="str">
        <f t="shared" si="31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2">IF(B230&lt;100,"",B230-1500)</f>
        <v/>
      </c>
      <c r="C263" s="163" t="str">
        <f t="shared" si="32"/>
        <v/>
      </c>
      <c r="D263" s="163" t="str">
        <f t="shared" si="32"/>
        <v/>
      </c>
      <c r="E263" s="163" t="str">
        <f t="shared" si="32"/>
        <v/>
      </c>
      <c r="F263" s="163" t="str">
        <f t="shared" si="32"/>
        <v/>
      </c>
      <c r="G263" s="163" t="str">
        <f t="shared" si="32"/>
        <v/>
      </c>
      <c r="H263" s="163" t="str">
        <f t="shared" si="32"/>
        <v/>
      </c>
      <c r="I263" s="163" t="str">
        <f t="shared" si="32"/>
        <v/>
      </c>
      <c r="J263" s="163" t="str">
        <f t="shared" si="32"/>
        <v/>
      </c>
      <c r="K263" s="163" t="str">
        <f t="shared" si="32"/>
        <v/>
      </c>
      <c r="L263" s="163" t="str">
        <f t="shared" si="32"/>
        <v/>
      </c>
      <c r="M263" s="163" t="str">
        <f t="shared" si="32"/>
        <v/>
      </c>
      <c r="N263" s="163" t="str">
        <f t="shared" si="32"/>
        <v/>
      </c>
      <c r="O263" s="163" t="str">
        <f t="shared" si="32"/>
        <v/>
      </c>
      <c r="P263" s="163" t="str">
        <f t="shared" si="32"/>
        <v/>
      </c>
      <c r="Q263" s="163" t="str">
        <f t="shared" si="32"/>
        <v/>
      </c>
      <c r="R263" s="163" t="str">
        <f t="shared" si="32"/>
        <v/>
      </c>
      <c r="S263" s="163" t="str">
        <f t="shared" si="32"/>
        <v/>
      </c>
      <c r="T263" s="163" t="str">
        <f t="shared" si="32"/>
        <v/>
      </c>
      <c r="U263" s="163" t="str">
        <f t="shared" si="32"/>
        <v/>
      </c>
      <c r="V263" s="163" t="str">
        <f t="shared" si="32"/>
        <v/>
      </c>
      <c r="W263" s="163" t="str">
        <f t="shared" si="32"/>
        <v/>
      </c>
      <c r="X263" s="163" t="str">
        <f t="shared" si="32"/>
        <v/>
      </c>
      <c r="Y263" s="163" t="str">
        <f t="shared" si="32"/>
        <v/>
      </c>
      <c r="Z263" s="163" t="str">
        <f t="shared" si="32"/>
        <v/>
      </c>
      <c r="AA263" s="163" t="str">
        <f t="shared" si="32"/>
        <v/>
      </c>
      <c r="AB263" s="163" t="str">
        <f t="shared" si="32"/>
        <v/>
      </c>
      <c r="AC263" s="163" t="str">
        <f t="shared" si="32"/>
        <v/>
      </c>
      <c r="AD263" s="163" t="str">
        <f t="shared" si="32"/>
        <v/>
      </c>
      <c r="AE263" s="163" t="str">
        <f t="shared" si="32"/>
        <v/>
      </c>
      <c r="AF263" s="163" t="str">
        <f t="shared" si="32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X11:AF11 B20:AF23 B16:AF16">
    <cfRule type="expression" dxfId="4022" priority="239">
      <formula>B$9&gt;=20/24</formula>
    </cfRule>
    <cfRule type="expression" dxfId="4021" priority="240">
      <formula>AND(B$9&gt;=14/24,B$9&lt;20/24)</formula>
    </cfRule>
    <cfRule type="expression" dxfId="4020" priority="241">
      <formula>AND(B$9&gt;=8/24,B$9&lt;14/24)</formula>
    </cfRule>
    <cfRule type="expression" dxfId="4019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4018" priority="234">
      <formula>S$9&gt;=20/24</formula>
    </cfRule>
    <cfRule type="expression" dxfId="4017" priority="235">
      <formula>AND(S$9&gt;=14/24,S$9&lt;20/24)</formula>
    </cfRule>
    <cfRule type="expression" dxfId="4016" priority="236">
      <formula>AND(S$9&gt;=8/24,S$9&lt;14/24)</formula>
    </cfRule>
    <cfRule type="expression" dxfId="4015" priority="237">
      <formula>S$9&lt;8/24</formula>
    </cfRule>
  </conditionalFormatting>
  <conditionalFormatting sqref="AG57 B12:W16 S39:AF39 X11:AF16 B37:AF37 B18:AF18 B20:AF23">
    <cfRule type="expression" dxfId="4014" priority="233">
      <formula>B11&gt;$AG11</formula>
    </cfRule>
  </conditionalFormatting>
  <conditionalFormatting sqref="A91:A101 A11:A14 A51:A78 A87:A89 A194:A224 A38:A49 A110:A181 A34:A35 A83:A85 A80:A81 A103:A105 A31:A32 A18:A29 A16">
    <cfRule type="expression" dxfId="4013" priority="232">
      <formula>$AH11=0</formula>
    </cfRule>
  </conditionalFormatting>
  <conditionalFormatting sqref="A106">
    <cfRule type="expression" dxfId="4012" priority="231">
      <formula>$AH106=0</formula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4011" priority="229">
      <formula>$AH37=0</formula>
    </cfRule>
  </conditionalFormatting>
  <conditionalFormatting sqref="A90">
    <cfRule type="expression" dxfId="4010" priority="228">
      <formula>$AH90=0</formula>
    </cfRule>
  </conditionalFormatting>
  <conditionalFormatting sqref="A15">
    <cfRule type="expression" dxfId="4009" priority="227">
      <formula>$AH15=0</formula>
    </cfRule>
  </conditionalFormatting>
  <conditionalFormatting sqref="A188:A193">
    <cfRule type="expression" dxfId="4008" priority="226">
      <formula>$AH188=0</formula>
    </cfRule>
  </conditionalFormatting>
  <conditionalFormatting sqref="A182:A187">
    <cfRule type="expression" dxfId="4007" priority="225">
      <formula>$AH182=0</formula>
    </cfRule>
  </conditionalFormatting>
  <conditionalFormatting sqref="A50">
    <cfRule type="expression" dxfId="4006" priority="224">
      <formula>$AH50=0</formula>
    </cfRule>
  </conditionalFormatting>
  <conditionalFormatting sqref="A86">
    <cfRule type="expression" dxfId="4005" priority="223">
      <formula>$AH86=0</formula>
    </cfRule>
  </conditionalFormatting>
  <conditionalFormatting sqref="C91:AF91">
    <cfRule type="expression" dxfId="4004" priority="219">
      <formula>C$9&gt;=20/24</formula>
    </cfRule>
    <cfRule type="expression" dxfId="4003" priority="220">
      <formula>AND(C$9&gt;=14/24,C$9&lt;20/24)</formula>
    </cfRule>
    <cfRule type="expression" dxfId="4002" priority="221">
      <formula>AND(C$9&gt;=8/24,C$9&lt;14/24)</formula>
    </cfRule>
    <cfRule type="expression" dxfId="4001" priority="222">
      <formula>C$9&lt;8/24</formula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000" priority="245">
      <formula>C$9&gt;=20/24</formula>
    </cfRule>
    <cfRule type="expression" dxfId="3999" priority="246">
      <formula>AND(C$9&gt;=14/24,C$9&lt;20/24)</formula>
    </cfRule>
    <cfRule type="expression" dxfId="3998" priority="247">
      <formula>AND(C$9&gt;=8/24,C$9&lt;14/24)</formula>
    </cfRule>
    <cfRule type="expression" dxfId="3997" priority="248">
      <formula>C$9&lt;8/24</formula>
    </cfRule>
  </conditionalFormatting>
  <conditionalFormatting sqref="A225">
    <cfRule type="expression" dxfId="3996" priority="249">
      <formula>$AH225=0</formula>
    </cfRule>
  </conditionalFormatting>
  <conditionalFormatting sqref="AG237">
    <cfRule type="expression" dxfId="3995" priority="250">
      <formula>B$9&gt;=20/24</formula>
    </cfRule>
    <cfRule type="expression" dxfId="3994" priority="251">
      <formula>AND(B$9&gt;=14/24,B$9&lt;20/24)</formula>
    </cfRule>
    <cfRule type="expression" dxfId="3993" priority="252">
      <formula>AND(B$9&gt;=8/24,B$9&lt;14/24)</formula>
    </cfRule>
    <cfRule type="expression" dxfId="3992" priority="253">
      <formula>B$9&lt;8/24</formula>
    </cfRule>
  </conditionalFormatting>
  <conditionalFormatting sqref="S8">
    <cfRule type="expression" dxfId="3991" priority="214">
      <formula>U$9&gt;=20/24</formula>
    </cfRule>
    <cfRule type="expression" dxfId="3990" priority="215">
      <formula>AND(U$9&gt;=14/24,U$9&lt;20/24)</formula>
    </cfRule>
    <cfRule type="expression" dxfId="3989" priority="216">
      <formula>AND(U$9&gt;=8/24,U$9&lt;14/24)</formula>
    </cfRule>
    <cfRule type="expression" dxfId="3988" priority="217">
      <formula>U$9&lt;8/24</formula>
    </cfRule>
  </conditionalFormatting>
  <conditionalFormatting sqref="AB8">
    <cfRule type="expression" dxfId="3987" priority="210">
      <formula>AD$9&gt;=20/24</formula>
    </cfRule>
    <cfRule type="expression" dxfId="3986" priority="211">
      <formula>AND(AD$9&gt;=14/24,AD$9&lt;20/24)</formula>
    </cfRule>
    <cfRule type="expression" dxfId="3985" priority="212">
      <formula>AND(AD$9&gt;=8/24,AD$9&lt;14/24)</formula>
    </cfRule>
    <cfRule type="expression" dxfId="3984" priority="213">
      <formula>AD$9&lt;8/24</formula>
    </cfRule>
  </conditionalFormatting>
  <conditionalFormatting sqref="AH237:AX237">
    <cfRule type="expression" dxfId="3983" priority="254">
      <formula>AG$9&gt;=20/24</formula>
    </cfRule>
    <cfRule type="expression" dxfId="3982" priority="255">
      <formula>AND(AG$9&gt;=14/24,AG$9&lt;20/24)</formula>
    </cfRule>
    <cfRule type="expression" dxfId="3981" priority="256">
      <formula>AND(AG$9&gt;=8/24,AG$9&lt;14/24)</formula>
    </cfRule>
    <cfRule type="expression" dxfId="3980" priority="257">
      <formula>AG$9&lt;8/24</formula>
    </cfRule>
  </conditionalFormatting>
  <conditionalFormatting sqref="T237">
    <cfRule type="expression" dxfId="3979" priority="258">
      <formula>AX$9&gt;=20/24</formula>
    </cfRule>
    <cfRule type="expression" dxfId="3978" priority="259">
      <formula>AND(AX$9&gt;=14/24,AX$9&lt;20/24)</formula>
    </cfRule>
    <cfRule type="expression" dxfId="3977" priority="260">
      <formula>AND(AX$9&gt;=8/24,AX$9&lt;14/24)</formula>
    </cfRule>
    <cfRule type="expression" dxfId="3976" priority="261">
      <formula>AX$9&lt;8/24</formula>
    </cfRule>
  </conditionalFormatting>
  <conditionalFormatting sqref="A107:A108">
    <cfRule type="expression" dxfId="3975" priority="209">
      <formula>$AH107=0</formula>
    </cfRule>
  </conditionalFormatting>
  <conditionalFormatting sqref="AF46:AF47 E46:W47 K63:AF63">
    <cfRule type="expression" dxfId="3974" priority="205">
      <formula>E$9&gt;=20/24</formula>
    </cfRule>
    <cfRule type="expression" dxfId="3973" priority="206">
      <formula>AND(E$9&gt;=14/24,E$9&lt;20/24)</formula>
    </cfRule>
    <cfRule type="expression" dxfId="3972" priority="207">
      <formula>AND(E$9&gt;=8/24,E$9&lt;14/24)</formula>
    </cfRule>
    <cfRule type="expression" dxfId="3971" priority="208">
      <formula>E$9&lt;8/24</formula>
    </cfRule>
  </conditionalFormatting>
  <conditionalFormatting sqref="AF45 E45:W45">
    <cfRule type="expression" dxfId="3970" priority="201">
      <formula>E$9&gt;=20/24</formula>
    </cfRule>
    <cfRule type="expression" dxfId="3969" priority="202">
      <formula>AND(E$9&gt;=14/24,E$9&lt;20/24)</formula>
    </cfRule>
    <cfRule type="expression" dxfId="3968" priority="203">
      <formula>AND(E$9&gt;=8/24,E$9&lt;14/24)</formula>
    </cfRule>
    <cfRule type="expression" dxfId="3967" priority="204">
      <formula>E$9&lt;8/24</formula>
    </cfRule>
  </conditionalFormatting>
  <conditionalFormatting sqref="AF45:AF47 E45:W47">
    <cfRule type="expression" dxfId="3966" priority="200">
      <formula>E45&gt;$AG45</formula>
    </cfRule>
  </conditionalFormatting>
  <conditionalFormatting sqref="C88:AF88 G65:Y65 M39:R39 K64:Y64 X66:Y72 C75:AF78 X73:AD73 Z64:AD72 X25:AF27 X29:AF29 X12:AF14 X18:AF18 X31:AF34 S59:AF61 AE64:AF73 D92:AF98">
    <cfRule type="expression" dxfId="3965" priority="196">
      <formula>C$9&gt;=20/24</formula>
    </cfRule>
    <cfRule type="expression" dxfId="3964" priority="197">
      <formula>AND(C$9&gt;=14/24,C$9&lt;20/24)</formula>
    </cfRule>
    <cfRule type="expression" dxfId="3963" priority="198">
      <formula>AND(C$9&gt;=8/24,C$9&lt;14/24)</formula>
    </cfRule>
    <cfRule type="expression" dxfId="3962" priority="199">
      <formula>C$9&lt;8/24</formula>
    </cfRule>
  </conditionalFormatting>
  <conditionalFormatting sqref="X35:AF35">
    <cfRule type="expression" dxfId="3961" priority="192">
      <formula>X$9&gt;=20/24</formula>
    </cfRule>
    <cfRule type="expression" dxfId="3960" priority="193">
      <formula>AND(X$9&gt;=14/24,X$9&lt;20/24)</formula>
    </cfRule>
    <cfRule type="expression" dxfId="3959" priority="194">
      <formula>AND(X$9&gt;=8/24,X$9&lt;14/24)</formula>
    </cfRule>
    <cfRule type="expression" dxfId="3958" priority="195">
      <formula>X$9&lt;8/24</formula>
    </cfRule>
  </conditionalFormatting>
  <conditionalFormatting sqref="AF48:AF49 C57:AF57 M39:R39 E48:W48 X25:AF29 X31:AF35 S59:AF61">
    <cfRule type="expression" dxfId="3957" priority="191">
      <formula>C25&gt;$AG25</formula>
    </cfRule>
  </conditionalFormatting>
  <conditionalFormatting sqref="X37:AF37">
    <cfRule type="expression" dxfId="3956" priority="187">
      <formula>X$9&gt;=20/24</formula>
    </cfRule>
    <cfRule type="expression" dxfId="3955" priority="188">
      <formula>AND(X$9&gt;=14/24,X$9&lt;20/24)</formula>
    </cfRule>
    <cfRule type="expression" dxfId="3954" priority="189">
      <formula>AND(X$9&gt;=8/24,X$9&lt;14/24)</formula>
    </cfRule>
    <cfRule type="expression" dxfId="3953" priority="190">
      <formula>X$9&lt;8/24</formula>
    </cfRule>
  </conditionalFormatting>
  <conditionalFormatting sqref="X15:AF15">
    <cfRule type="expression" dxfId="3952" priority="183">
      <formula>X$9&gt;=20/24</formula>
    </cfRule>
    <cfRule type="expression" dxfId="3951" priority="184">
      <formula>AND(X$9&gt;=14/24,X$9&lt;20/24)</formula>
    </cfRule>
    <cfRule type="expression" dxfId="3950" priority="185">
      <formula>AND(X$9&gt;=8/24,X$9&lt;14/24)</formula>
    </cfRule>
    <cfRule type="expression" dxfId="3949" priority="186">
      <formula>X$9&lt;8/24</formula>
    </cfRule>
  </conditionalFormatting>
  <conditionalFormatting sqref="X36:AF36">
    <cfRule type="expression" dxfId="3948" priority="179">
      <formula>X$9&gt;=20/24</formula>
    </cfRule>
    <cfRule type="expression" dxfId="3947" priority="180">
      <formula>AND(X$9&gt;=14/24,X$9&lt;20/24)</formula>
    </cfRule>
    <cfRule type="expression" dxfId="3946" priority="181">
      <formula>AND(X$9&gt;=8/24,X$9&lt;14/24)</formula>
    </cfRule>
    <cfRule type="expression" dxfId="3945" priority="182">
      <formula>X$9&lt;8/24</formula>
    </cfRule>
  </conditionalFormatting>
  <conditionalFormatting sqref="X36:AF36">
    <cfRule type="expression" dxfId="3944" priority="178">
      <formula>X36&gt;$AG36</formula>
    </cfRule>
  </conditionalFormatting>
  <conditionalFormatting sqref="X48:AE49">
    <cfRule type="expression" dxfId="3943" priority="174">
      <formula>X$9&gt;=20/24</formula>
    </cfRule>
    <cfRule type="expression" dxfId="3942" priority="175">
      <formula>AND(X$9&gt;=14/24,X$9&lt;20/24)</formula>
    </cfRule>
    <cfRule type="expression" dxfId="3941" priority="176">
      <formula>AND(X$9&gt;=8/24,X$9&lt;14/24)</formula>
    </cfRule>
    <cfRule type="expression" dxfId="3940" priority="177">
      <formula>X$9&lt;8/24</formula>
    </cfRule>
  </conditionalFormatting>
  <conditionalFormatting sqref="X48:AE49">
    <cfRule type="expression" dxfId="3939" priority="173">
      <formula>X48&gt;$AG48</formula>
    </cfRule>
  </conditionalFormatting>
  <conditionalFormatting sqref="M49:W49 X50:AF51">
    <cfRule type="expression" dxfId="3938" priority="169">
      <formula>M$9&gt;=20/24</formula>
    </cfRule>
    <cfRule type="expression" dxfId="3937" priority="170">
      <formula>AND(M$9&gt;=14/24,M$9&lt;20/24)</formula>
    </cfRule>
    <cfRule type="expression" dxfId="3936" priority="171">
      <formula>AND(M$9&gt;=8/24,M$9&lt;14/24)</formula>
    </cfRule>
    <cfRule type="expression" dxfId="3935" priority="172">
      <formula>M$9&lt;8/24</formula>
    </cfRule>
  </conditionalFormatting>
  <conditionalFormatting sqref="M49:W49 X50:AF51">
    <cfRule type="expression" dxfId="3934" priority="168">
      <formula>M49&gt;$AG49</formula>
    </cfRule>
  </conditionalFormatting>
  <conditionalFormatting sqref="X28:AF28">
    <cfRule type="expression" dxfId="3933" priority="164">
      <formula>X$9&gt;=20/24</formula>
    </cfRule>
    <cfRule type="expression" dxfId="3932" priority="165">
      <formula>AND(X$9&gt;=14/24,X$9&lt;20/24)</formula>
    </cfRule>
    <cfRule type="expression" dxfId="3931" priority="166">
      <formula>AND(X$9&gt;=8/24,X$9&lt;14/24)</formula>
    </cfRule>
    <cfRule type="expression" dxfId="3930" priority="167">
      <formula>X$9&lt;8/24</formula>
    </cfRule>
  </conditionalFormatting>
  <conditionalFormatting sqref="X19:AF19 X24:AF24">
    <cfRule type="expression" dxfId="3929" priority="160">
      <formula>X$9&gt;=20/24</formula>
    </cfRule>
    <cfRule type="expression" dxfId="3928" priority="161">
      <formula>AND(X$9&gt;=14/24,X$9&lt;20/24)</formula>
    </cfRule>
    <cfRule type="expression" dxfId="3927" priority="162">
      <formula>AND(X$9&gt;=8/24,X$9&lt;14/24)</formula>
    </cfRule>
    <cfRule type="expression" dxfId="3926" priority="163">
      <formula>X$9&lt;8/24</formula>
    </cfRule>
  </conditionalFormatting>
  <conditionalFormatting sqref="X19:AF19 X24:AF24">
    <cfRule type="expression" dxfId="3925" priority="159">
      <formula>X19&gt;$AG19</formula>
    </cfRule>
  </conditionalFormatting>
  <conditionalFormatting sqref="D45">
    <cfRule type="expression" dxfId="3924" priority="155">
      <formula>D$9&gt;=20/24</formula>
    </cfRule>
    <cfRule type="expression" dxfId="3923" priority="156">
      <formula>AND(D$9&gt;=14/24,D$9&lt;20/24)</formula>
    </cfRule>
    <cfRule type="expression" dxfId="3922" priority="157">
      <formula>AND(D$9&gt;=8/24,D$9&lt;14/24)</formula>
    </cfRule>
    <cfRule type="expression" dxfId="3921" priority="158">
      <formula>D$9&lt;8/24</formula>
    </cfRule>
  </conditionalFormatting>
  <conditionalFormatting sqref="D45">
    <cfRule type="expression" dxfId="3920" priority="154">
      <formula>D45&gt;$AG45</formula>
    </cfRule>
  </conditionalFormatting>
  <conditionalFormatting sqref="X46:AE47">
    <cfRule type="expression" dxfId="3919" priority="150">
      <formula>X$9&gt;=20/24</formula>
    </cfRule>
    <cfRule type="expression" dxfId="3918" priority="151">
      <formula>AND(X$9&gt;=14/24,X$9&lt;20/24)</formula>
    </cfRule>
    <cfRule type="expression" dxfId="3917" priority="152">
      <formula>AND(X$9&gt;=8/24,X$9&lt;14/24)</formula>
    </cfRule>
    <cfRule type="expression" dxfId="3916" priority="153">
      <formula>X$9&lt;8/24</formula>
    </cfRule>
  </conditionalFormatting>
  <conditionalFormatting sqref="X45:AE45">
    <cfRule type="expression" dxfId="3915" priority="146">
      <formula>X$9&gt;=20/24</formula>
    </cfRule>
    <cfRule type="expression" dxfId="3914" priority="147">
      <formula>AND(X$9&gt;=14/24,X$9&lt;20/24)</formula>
    </cfRule>
    <cfRule type="expression" dxfId="3913" priority="148">
      <formula>AND(X$9&gt;=8/24,X$9&lt;14/24)</formula>
    </cfRule>
    <cfRule type="expression" dxfId="3912" priority="149">
      <formula>X$9&lt;8/24</formula>
    </cfRule>
  </conditionalFormatting>
  <conditionalFormatting sqref="X45:AE47">
    <cfRule type="expression" dxfId="3911" priority="145">
      <formula>X45&gt;$AG45</formula>
    </cfRule>
  </conditionalFormatting>
  <conditionalFormatting sqref="B101 B80:AF80 B89:AF89 B103:B108 B11:W11">
    <cfRule type="expression" dxfId="3910" priority="141">
      <formula>B$9&gt;=20/24</formula>
    </cfRule>
    <cfRule type="expression" dxfId="3909" priority="142">
      <formula>AND(B$9&gt;=14/24,B$9&lt;20/24)</formula>
    </cfRule>
    <cfRule type="expression" dxfId="3908" priority="143">
      <formula>AND(B$9&gt;=8/24,B$9&lt;14/24)</formula>
    </cfRule>
    <cfRule type="expression" dxfId="3907" priority="144">
      <formula>B$9&lt;8/24</formula>
    </cfRule>
  </conditionalFormatting>
  <conditionalFormatting sqref="B39:L39">
    <cfRule type="expression" dxfId="3906" priority="137">
      <formula>B$9&gt;=20/24</formula>
    </cfRule>
    <cfRule type="expression" dxfId="3905" priority="138">
      <formula>AND(B$9&gt;=14/24,B$9&lt;20/24)</formula>
    </cfRule>
    <cfRule type="expression" dxfId="3904" priority="139">
      <formula>AND(B$9&gt;=8/24,B$9&lt;14/24)</formula>
    </cfRule>
    <cfRule type="expression" dxfId="3903" priority="140">
      <formula>B$9&lt;8/24</formula>
    </cfRule>
  </conditionalFormatting>
  <conditionalFormatting sqref="B39:L39 B11:W11">
    <cfRule type="expression" dxfId="3902" priority="136">
      <formula>B11&gt;$AG11</formula>
    </cfRule>
  </conditionalFormatting>
  <conditionalFormatting sqref="B91">
    <cfRule type="expression" dxfId="3901" priority="132">
      <formula>B$9&gt;=20/24</formula>
    </cfRule>
    <cfRule type="expression" dxfId="3900" priority="133">
      <formula>AND(B$9&gt;=14/24,B$9&lt;20/24)</formula>
    </cfRule>
    <cfRule type="expression" dxfId="3899" priority="134">
      <formula>AND(B$9&gt;=8/24,B$9&lt;14/24)</formula>
    </cfRule>
    <cfRule type="expression" dxfId="3898" priority="135">
      <formula>B$9&lt;8/24</formula>
    </cfRule>
  </conditionalFormatting>
  <conditionalFormatting sqref="B46:D47 B63:J63 B38:AF38">
    <cfRule type="expression" dxfId="3897" priority="128">
      <formula>B$9&gt;=20/24</formula>
    </cfRule>
    <cfRule type="expression" dxfId="3896" priority="129">
      <formula>AND(B$9&gt;=14/24,B$9&lt;20/24)</formula>
    </cfRule>
    <cfRule type="expression" dxfId="3895" priority="130">
      <formula>AND(B$9&gt;=8/24,B$9&lt;14/24)</formula>
    </cfRule>
    <cfRule type="expression" dxfId="3894" priority="131">
      <formula>B$9&lt;8/24</formula>
    </cfRule>
  </conditionalFormatting>
  <conditionalFormatting sqref="B45:C45">
    <cfRule type="expression" dxfId="3893" priority="124">
      <formula>B$9&gt;=20/24</formula>
    </cfRule>
    <cfRule type="expression" dxfId="3892" priority="125">
      <formula>AND(B$9&gt;=14/24,B$9&lt;20/24)</formula>
    </cfRule>
    <cfRule type="expression" dxfId="3891" priority="126">
      <formula>AND(B$9&gt;=8/24,B$9&lt;14/24)</formula>
    </cfRule>
    <cfRule type="expression" dxfId="3890" priority="127">
      <formula>B$9&lt;8/24</formula>
    </cfRule>
  </conditionalFormatting>
  <conditionalFormatting sqref="B45:C47 D46:D47 B38:AF38">
    <cfRule type="expression" dxfId="3889" priority="123">
      <formula>B38&gt;$AG38</formula>
    </cfRule>
  </conditionalFormatting>
  <conditionalFormatting sqref="B59:B62 B75:B79 B81:AF81 B88 C79:AG79 B90:AF90 B92:C98 B64:F73 G64:J64 C59:R61 C62:AG62 B12:W14 B18:W18 B25:W27 B29:W29 B31:W34 G66:W73">
    <cfRule type="expression" dxfId="3888" priority="119">
      <formula>B$9&gt;=20/24</formula>
    </cfRule>
    <cfRule type="expression" dxfId="3887" priority="120">
      <formula>AND(B$9&gt;=14/24,B$9&lt;20/24)</formula>
    </cfRule>
    <cfRule type="expression" dxfId="3886" priority="121">
      <formula>AND(B$9&gt;=8/24,B$9&lt;14/24)</formula>
    </cfRule>
    <cfRule type="expression" dxfId="3885" priority="122">
      <formula>B$9&lt;8/24</formula>
    </cfRule>
  </conditionalFormatting>
  <conditionalFormatting sqref="B35:W35">
    <cfRule type="expression" dxfId="3884" priority="115">
      <formula>B$9&gt;=20/24</formula>
    </cfRule>
    <cfRule type="expression" dxfId="3883" priority="116">
      <formula>AND(B$9&gt;=14/24,B$9&lt;20/24)</formula>
    </cfRule>
    <cfRule type="expression" dxfId="3882" priority="117">
      <formula>AND(B$9&gt;=8/24,B$9&lt;14/24)</formula>
    </cfRule>
    <cfRule type="expression" dxfId="3881" priority="118">
      <formula>B$9&lt;8/24</formula>
    </cfRule>
  </conditionalFormatting>
  <conditionalFormatting sqref="B57:B62 B40:AG40 C58:AG58 B48:D49 C59:R61 E49:L49 C62:AG62 B25:W29 B31:W35">
    <cfRule type="expression" dxfId="3880" priority="114">
      <formula>B25&gt;$AG25</formula>
    </cfRule>
  </conditionalFormatting>
  <conditionalFormatting sqref="B37:W37">
    <cfRule type="expression" dxfId="3879" priority="110">
      <formula>B$9&gt;=20/24</formula>
    </cfRule>
    <cfRule type="expression" dxfId="3878" priority="111">
      <formula>AND(B$9&gt;=14/24,B$9&lt;20/24)</formula>
    </cfRule>
    <cfRule type="expression" dxfId="3877" priority="112">
      <formula>AND(B$9&gt;=8/24,B$9&lt;14/24)</formula>
    </cfRule>
    <cfRule type="expression" dxfId="3876" priority="113">
      <formula>B$9&lt;8/24</formula>
    </cfRule>
  </conditionalFormatting>
  <conditionalFormatting sqref="B15:W15">
    <cfRule type="expression" dxfId="3875" priority="106">
      <formula>B$9&gt;=20/24</formula>
    </cfRule>
    <cfRule type="expression" dxfId="3874" priority="107">
      <formula>AND(B$9&gt;=14/24,B$9&lt;20/24)</formula>
    </cfRule>
    <cfRule type="expression" dxfId="3873" priority="108">
      <formula>AND(B$9&gt;=8/24,B$9&lt;14/24)</formula>
    </cfRule>
    <cfRule type="expression" dxfId="3872" priority="109">
      <formula>B$9&lt;8/24</formula>
    </cfRule>
  </conditionalFormatting>
  <conditionalFormatting sqref="B36:W36">
    <cfRule type="expression" dxfId="3871" priority="102">
      <formula>B$9&gt;=20/24</formula>
    </cfRule>
    <cfRule type="expression" dxfId="3870" priority="103">
      <formula>AND(B$9&gt;=14/24,B$9&lt;20/24)</formula>
    </cfRule>
    <cfRule type="expression" dxfId="3869" priority="104">
      <formula>AND(B$9&gt;=8/24,B$9&lt;14/24)</formula>
    </cfRule>
    <cfRule type="expression" dxfId="3868" priority="105">
      <formula>B$9&lt;8/24</formula>
    </cfRule>
  </conditionalFormatting>
  <conditionalFormatting sqref="B36:W36">
    <cfRule type="expression" dxfId="3867" priority="101">
      <formula>B36&gt;$AG36</formula>
    </cfRule>
  </conditionalFormatting>
  <conditionalFormatting sqref="B50:W54 B56:W56 B55:AF55">
    <cfRule type="expression" dxfId="3866" priority="97">
      <formula>B$9&gt;=20/24</formula>
    </cfRule>
    <cfRule type="expression" dxfId="3865" priority="98">
      <formula>AND(B$9&gt;=14/24,B$9&lt;20/24)</formula>
    </cfRule>
    <cfRule type="expression" dxfId="3864" priority="99">
      <formula>AND(B$9&gt;=8/24,B$9&lt;14/24)</formula>
    </cfRule>
    <cfRule type="expression" dxfId="3863" priority="100">
      <formula>B$9&lt;8/24</formula>
    </cfRule>
  </conditionalFormatting>
  <conditionalFormatting sqref="B50:W54 B56:W56 B55:AF55">
    <cfRule type="expression" dxfId="3862" priority="96">
      <formula>B50&gt;$AG50</formula>
    </cfRule>
  </conditionalFormatting>
  <conditionalFormatting sqref="B28:W28">
    <cfRule type="expression" dxfId="3861" priority="92">
      <formula>B$9&gt;=20/24</formula>
    </cfRule>
    <cfRule type="expression" dxfId="3860" priority="93">
      <formula>AND(B$9&gt;=14/24,B$9&lt;20/24)</formula>
    </cfRule>
    <cfRule type="expression" dxfId="3859" priority="94">
      <formula>AND(B$9&gt;=8/24,B$9&lt;14/24)</formula>
    </cfRule>
    <cfRule type="expression" dxfId="3858" priority="95">
      <formula>B$9&lt;8/24</formula>
    </cfRule>
  </conditionalFormatting>
  <conditionalFormatting sqref="B19:W19 B24:W24">
    <cfRule type="expression" dxfId="3857" priority="88">
      <formula>B$9&gt;=20/24</formula>
    </cfRule>
    <cfRule type="expression" dxfId="3856" priority="89">
      <formula>AND(B$9&gt;=14/24,B$9&lt;20/24)</formula>
    </cfRule>
    <cfRule type="expression" dxfId="3855" priority="90">
      <formula>AND(B$9&gt;=8/24,B$9&lt;14/24)</formula>
    </cfRule>
    <cfRule type="expression" dxfId="3854" priority="91">
      <formula>B$9&lt;8/24</formula>
    </cfRule>
  </conditionalFormatting>
  <conditionalFormatting sqref="B19:W19 B24:W24">
    <cfRule type="expression" dxfId="3853" priority="87">
      <formula>B19&gt;$AG19</formula>
    </cfRule>
  </conditionalFormatting>
  <conditionalFormatting sqref="A36">
    <cfRule type="expression" dxfId="3852" priority="86">
      <formula>$AH36=0</formula>
    </cfRule>
  </conditionalFormatting>
  <conditionalFormatting sqref="B74:AF74">
    <cfRule type="expression" dxfId="3851" priority="82">
      <formula>B$9&gt;=20/24</formula>
    </cfRule>
    <cfRule type="expression" dxfId="3850" priority="83">
      <formula>AND(B$9&gt;=14/24,B$9&lt;20/24)</formula>
    </cfRule>
    <cfRule type="expression" dxfId="3849" priority="84">
      <formula>AND(B$9&gt;=8/24,B$9&lt;14/24)</formula>
    </cfRule>
    <cfRule type="expression" dxfId="3848" priority="85">
      <formula>B$9&lt;8/24</formula>
    </cfRule>
  </conditionalFormatting>
  <conditionalFormatting sqref="B83:AF87">
    <cfRule type="expression" dxfId="3847" priority="78">
      <formula>B$9&gt;=20/24</formula>
    </cfRule>
    <cfRule type="expression" dxfId="3846" priority="79">
      <formula>AND(B$9&gt;=14/24,B$9&lt;20/24)</formula>
    </cfRule>
    <cfRule type="expression" dxfId="3845" priority="80">
      <formula>AND(B$9&gt;=8/24,B$9&lt;14/24)</formula>
    </cfRule>
    <cfRule type="expression" dxfId="3844" priority="81">
      <formula>B$9&lt;8/24</formula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C41:F41 G41:AF43">
    <cfRule type="expression" dxfId="3843" priority="74">
      <formula>C$9&gt;=20/24</formula>
    </cfRule>
    <cfRule type="expression" dxfId="3842" priority="75">
      <formula>AND(C$9&gt;=14/24,C$9&lt;20/24)</formula>
    </cfRule>
    <cfRule type="expression" dxfId="3841" priority="76">
      <formula>AND(C$9&gt;=8/24,C$9&lt;14/24)</formula>
    </cfRule>
    <cfRule type="expression" dxfId="3840" priority="77">
      <formula>C$9&lt;8/24</formula>
    </cfRule>
  </conditionalFormatting>
  <conditionalFormatting sqref="C41:F41 G41:AF43">
    <cfRule type="expression" dxfId="3839" priority="73">
      <formula>C41&gt;$AG41</formula>
    </cfRule>
  </conditionalFormatting>
  <conditionalFormatting sqref="B41:B44 C44:AG44 C42:F43">
    <cfRule type="expression" dxfId="3838" priority="69">
      <formula>B$9&gt;=20/24</formula>
    </cfRule>
    <cfRule type="expression" dxfId="3837" priority="70">
      <formula>AND(B$9&gt;=14/24,B$9&lt;20/24)</formula>
    </cfRule>
    <cfRule type="expression" dxfId="3836" priority="71">
      <formula>AND(B$9&gt;=8/24,B$9&lt;14/24)</formula>
    </cfRule>
    <cfRule type="expression" dxfId="3835" priority="72">
      <formula>B$9&lt;8/24</formula>
    </cfRule>
  </conditionalFormatting>
  <conditionalFormatting sqref="B41:B44 C44:AG44 C42:F43">
    <cfRule type="expression" dxfId="3834" priority="68">
      <formula>B41&gt;$AG41</formula>
    </cfRule>
  </conditionalFormatting>
  <conditionalFormatting sqref="C99:AF99">
    <cfRule type="expression" dxfId="3833" priority="64">
      <formula>C$9&gt;=20/24</formula>
    </cfRule>
    <cfRule type="expression" dxfId="3832" priority="65">
      <formula>AND(C$9&gt;=14/24,C$9&lt;20/24)</formula>
    </cfRule>
    <cfRule type="expression" dxfId="3831" priority="66">
      <formula>AND(C$9&gt;=8/24,C$9&lt;14/24)</formula>
    </cfRule>
    <cfRule type="expression" dxfId="3830" priority="67">
      <formula>C$9&lt;8/24</formula>
    </cfRule>
  </conditionalFormatting>
  <conditionalFormatting sqref="B99">
    <cfRule type="expression" dxfId="3829" priority="60">
      <formula>B$9&gt;=20/24</formula>
    </cfRule>
    <cfRule type="expression" dxfId="3828" priority="61">
      <formula>AND(B$9&gt;=14/24,B$9&lt;20/24)</formula>
    </cfRule>
    <cfRule type="expression" dxfId="3827" priority="62">
      <formula>AND(B$9&gt;=8/24,B$9&lt;14/24)</formula>
    </cfRule>
    <cfRule type="expression" dxfId="3826" priority="63">
      <formula>B$9&lt;8/24</formula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3825" priority="54">
      <formula>$AH33=0</formula>
    </cfRule>
  </conditionalFormatting>
  <conditionalFormatting sqref="A82">
    <cfRule type="expression" dxfId="3824" priority="52">
      <formula>$AH82=0</formula>
    </cfRule>
  </conditionalFormatting>
  <conditionalFormatting sqref="A79">
    <cfRule type="expression" dxfId="3823" priority="53">
      <formula>$AH79=0</formula>
    </cfRule>
  </conditionalFormatting>
  <conditionalFormatting sqref="A109">
    <cfRule type="expression" dxfId="3822" priority="43">
      <formula>$AH109=0</formula>
    </cfRule>
  </conditionalFormatting>
  <conditionalFormatting sqref="C102:AF102">
    <cfRule type="expression" dxfId="3821" priority="39">
      <formula>C$9&gt;=20/24</formula>
    </cfRule>
    <cfRule type="expression" dxfId="3820" priority="40">
      <formula>AND(C$9&gt;=14/24,C$9&lt;20/24)</formula>
    </cfRule>
    <cfRule type="expression" dxfId="3819" priority="41">
      <formula>AND(C$9&gt;=8/24,C$9&lt;14/24)</formula>
    </cfRule>
    <cfRule type="expression" dxfId="3818" priority="42">
      <formula>C$9&lt;8/24</formula>
    </cfRule>
  </conditionalFormatting>
  <conditionalFormatting sqref="A102">
    <cfRule type="expression" dxfId="3817" priority="38">
      <formula>$AH102=0</formula>
    </cfRule>
  </conditionalFormatting>
  <conditionalFormatting sqref="B102">
    <cfRule type="expression" dxfId="3816" priority="34">
      <formula>B$9&gt;=20/24</formula>
    </cfRule>
    <cfRule type="expression" dxfId="3815" priority="35">
      <formula>AND(B$9&gt;=14/24,B$9&lt;20/24)</formula>
    </cfRule>
    <cfRule type="expression" dxfId="3814" priority="36">
      <formula>AND(B$9&gt;=8/24,B$9&lt;14/24)</formula>
    </cfRule>
    <cfRule type="expression" dxfId="3813" priority="37">
      <formula>B$9&lt;8/24</formula>
    </cfRule>
  </conditionalFormatting>
  <conditionalFormatting sqref="X52:AF54 X56:AF56">
    <cfRule type="expression" dxfId="3812" priority="30">
      <formula>X$9&gt;=20/24</formula>
    </cfRule>
    <cfRule type="expression" dxfId="3811" priority="31">
      <formula>AND(X$9&gt;=14/24,X$9&lt;20/24)</formula>
    </cfRule>
    <cfRule type="expression" dxfId="3810" priority="32">
      <formula>AND(X$9&gt;=8/24,X$9&lt;14/24)</formula>
    </cfRule>
    <cfRule type="expression" dxfId="3809" priority="33">
      <formula>X$9&lt;8/24</formula>
    </cfRule>
  </conditionalFormatting>
  <conditionalFormatting sqref="X52:AF54 X56:AF56">
    <cfRule type="expression" dxfId="3808" priority="29">
      <formula>X52&gt;$AG52</formula>
    </cfRule>
  </conditionalFormatting>
  <conditionalFormatting sqref="B17:AF17">
    <cfRule type="expression" dxfId="3807" priority="27">
      <formula>B17&gt;$AG17</formula>
    </cfRule>
  </conditionalFormatting>
  <conditionalFormatting sqref="A17">
    <cfRule type="expression" dxfId="3806" priority="26">
      <formula>$AH17=0</formula>
    </cfRule>
  </conditionalFormatting>
  <conditionalFormatting sqref="X17:AF17">
    <cfRule type="expression" dxfId="3805" priority="22">
      <formula>X$9&gt;=20/24</formula>
    </cfRule>
    <cfRule type="expression" dxfId="3804" priority="23">
      <formula>AND(X$9&gt;=14/24,X$9&lt;20/24)</formula>
    </cfRule>
    <cfRule type="expression" dxfId="3803" priority="24">
      <formula>AND(X$9&gt;=8/24,X$9&lt;14/24)</formula>
    </cfRule>
    <cfRule type="expression" dxfId="3802" priority="25">
      <formula>X$9&lt;8/24</formula>
    </cfRule>
  </conditionalFormatting>
  <conditionalFormatting sqref="B17:W17">
    <cfRule type="expression" dxfId="3801" priority="18">
      <formula>B$9&gt;=20/24</formula>
    </cfRule>
    <cfRule type="expression" dxfId="3800" priority="19">
      <formula>AND(B$9&gt;=14/24,B$9&lt;20/24)</formula>
    </cfRule>
    <cfRule type="expression" dxfId="3799" priority="20">
      <formula>AND(B$9&gt;=8/24,B$9&lt;14/24)</formula>
    </cfRule>
    <cfRule type="expression" dxfId="3798" priority="21">
      <formula>B$9&lt;8/24</formula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3797" priority="16">
      <formula>$AH30=0</formula>
    </cfRule>
  </conditionalFormatting>
  <conditionalFormatting sqref="X30:AF30">
    <cfRule type="expression" dxfId="3796" priority="12">
      <formula>X$9&gt;=20/24</formula>
    </cfRule>
    <cfRule type="expression" dxfId="3795" priority="13">
      <formula>AND(X$9&gt;=14/24,X$9&lt;20/24)</formula>
    </cfRule>
    <cfRule type="expression" dxfId="3794" priority="14">
      <formula>AND(X$9&gt;=8/24,X$9&lt;14/24)</formula>
    </cfRule>
    <cfRule type="expression" dxfId="3793" priority="15">
      <formula>X$9&lt;8/24</formula>
    </cfRule>
  </conditionalFormatting>
  <conditionalFormatting sqref="X30:AF30">
    <cfRule type="expression" dxfId="3792" priority="11">
      <formula>X30&gt;$AG30</formula>
    </cfRule>
  </conditionalFormatting>
  <conditionalFormatting sqref="B30:W30">
    <cfRule type="expression" dxfId="3791" priority="2">
      <formula>B$9&gt;=20/24</formula>
    </cfRule>
    <cfRule type="expression" dxfId="3790" priority="3">
      <formula>AND(B$9&gt;=14/24,B$9&lt;20/24)</formula>
    </cfRule>
    <cfRule type="expression" dxfId="3789" priority="4">
      <formula>AND(B$9&gt;=8/24,B$9&lt;14/24)</formula>
    </cfRule>
    <cfRule type="expression" dxfId="3788" priority="5">
      <formula>B$9&lt;8/24</formula>
    </cfRule>
  </conditionalFormatting>
  <conditionalFormatting sqref="B30:W30">
    <cfRule type="expression" dxfId="3787" priority="1">
      <formula>B30&gt;$AG30</formula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EB51162F-A732-4D47-A138-E0BA1AA2A8B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F7021330-58BE-41CD-9F62-945601B408DD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53E26FA7-C281-4214-9413-0A975E5F841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FD1F7758-BC85-42BD-87A4-5B443EF51B8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8" id="{32D477DA-8FDA-48BB-B5C4-F0FCB74CB0B2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C2DDF93F-6CA0-40A4-A603-B67FD9683DF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DCCD298C-DF52-4647-BCE1-CB33CF1263F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C325A4FC-08A8-493A-A6C5-74D08A9A3F60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4" id="{CFA9E7EC-1396-4FF6-99D2-DDAC82106462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00B00B56-AADE-4EA4-82AF-B27696F536E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E6BF3CDD-42E9-4A79-9532-FDA7C0CC7DD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617A22E2-8832-49E7-A816-2433AF75BBAF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J270"/>
  <sheetViews>
    <sheetView zoomScale="90" zoomScaleNormal="90" workbookViewId="0">
      <pane xSplit="1" ySplit="10" topLeftCell="B20" activePane="bottomRight" state="frozen"/>
      <selection activeCell="AK109" sqref="AK109"/>
      <selection pane="topRight" activeCell="AK109" sqref="AK109"/>
      <selection pane="bottomLeft" activeCell="AK109" sqref="AK109"/>
      <selection pane="bottomRight" activeCell="AK109" sqref="AK10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2079/06/26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1485MW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Load=1220</v>
      </c>
      <c r="B7" s="35">
        <f t="shared" ref="B7:AF7" si="1">B81</f>
        <v>1231.3399999999999</v>
      </c>
      <c r="C7" s="35">
        <f t="shared" si="1"/>
        <v>1256.1399999999999</v>
      </c>
      <c r="D7" s="35">
        <f t="shared" si="1"/>
        <v>1256.1399999999999</v>
      </c>
      <c r="E7" s="35">
        <f t="shared" si="1"/>
        <v>1243.1399999999999</v>
      </c>
      <c r="F7" s="35">
        <f t="shared" si="1"/>
        <v>1221.1399999999999</v>
      </c>
      <c r="G7" s="35">
        <f t="shared" si="1"/>
        <v>1286.24</v>
      </c>
      <c r="H7" s="35">
        <f t="shared" si="1"/>
        <v>1297.6400000000001</v>
      </c>
      <c r="I7" s="35">
        <f t="shared" si="1"/>
        <v>1335.64</v>
      </c>
      <c r="J7" s="35">
        <f t="shared" si="1"/>
        <v>1361.14</v>
      </c>
      <c r="K7" s="35">
        <f t="shared" si="1"/>
        <v>1408.14</v>
      </c>
      <c r="L7" s="35">
        <f t="shared" si="1"/>
        <v>1408.14</v>
      </c>
      <c r="M7" s="35">
        <f t="shared" si="1"/>
        <v>1485.24</v>
      </c>
      <c r="N7" s="35">
        <f t="shared" si="1"/>
        <v>1450.24</v>
      </c>
      <c r="O7" s="35">
        <f t="shared" si="1"/>
        <v>1398.14</v>
      </c>
      <c r="P7" s="35">
        <f t="shared" si="1"/>
        <v>1339.34</v>
      </c>
      <c r="Q7" s="35">
        <f t="shared" si="1"/>
        <v>1277.8399999999999</v>
      </c>
      <c r="R7" s="35">
        <f t="shared" si="1"/>
        <v>1251.94</v>
      </c>
      <c r="S7" s="35">
        <f t="shared" si="1"/>
        <v>1257.4399999999998</v>
      </c>
      <c r="T7" s="35">
        <f t="shared" si="1"/>
        <v>1254.04</v>
      </c>
      <c r="U7" s="35">
        <f t="shared" si="1"/>
        <v>1279.6399999999999</v>
      </c>
      <c r="V7" s="35">
        <f t="shared" si="1"/>
        <v>1357.1399999999999</v>
      </c>
      <c r="W7" s="35">
        <f t="shared" si="1"/>
        <v>1440.2400000000002</v>
      </c>
      <c r="X7" s="35">
        <f t="shared" si="1"/>
        <v>1583.84</v>
      </c>
      <c r="Y7" s="35">
        <f t="shared" si="1"/>
        <v>1553.74</v>
      </c>
      <c r="Z7" s="35">
        <f t="shared" si="1"/>
        <v>1513.84</v>
      </c>
      <c r="AA7" s="35">
        <f t="shared" si="1"/>
        <v>1473.84</v>
      </c>
      <c r="AB7" s="35">
        <f t="shared" si="1"/>
        <v>1408.74</v>
      </c>
      <c r="AC7" s="35">
        <f t="shared" si="1"/>
        <v>1357.54</v>
      </c>
      <c r="AD7" s="35">
        <f t="shared" si="1"/>
        <v>1292.8400000000001</v>
      </c>
      <c r="AE7" s="35">
        <f t="shared" si="1"/>
        <v>1224.74</v>
      </c>
      <c r="AF7" s="35">
        <f t="shared" si="1"/>
        <v>1220.1399999999999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42</v>
      </c>
      <c r="C11" s="45">
        <v>42</v>
      </c>
      <c r="D11" s="45">
        <v>42</v>
      </c>
      <c r="E11" s="45">
        <v>42</v>
      </c>
      <c r="F11" s="45">
        <v>42</v>
      </c>
      <c r="G11" s="45">
        <v>42</v>
      </c>
      <c r="H11" s="45">
        <v>42</v>
      </c>
      <c r="I11" s="45">
        <v>42</v>
      </c>
      <c r="J11" s="45">
        <v>42</v>
      </c>
      <c r="K11" s="45">
        <v>42</v>
      </c>
      <c r="L11" s="45">
        <v>42</v>
      </c>
      <c r="M11" s="45">
        <v>42</v>
      </c>
      <c r="N11" s="45">
        <v>42</v>
      </c>
      <c r="O11" s="45">
        <v>42</v>
      </c>
      <c r="P11" s="45">
        <v>42</v>
      </c>
      <c r="Q11" s="45">
        <v>42</v>
      </c>
      <c r="R11" s="45">
        <v>42</v>
      </c>
      <c r="S11" s="45">
        <v>40.700000000000003</v>
      </c>
      <c r="T11" s="45">
        <v>40.700000000000003</v>
      </c>
      <c r="U11" s="45">
        <v>40.700000000000003</v>
      </c>
      <c r="V11" s="45">
        <v>40.700000000000003</v>
      </c>
      <c r="W11" s="45">
        <v>40.700000000000003</v>
      </c>
      <c r="X11" s="46">
        <v>40.700000000000003</v>
      </c>
      <c r="Y11" s="46">
        <v>40.700000000000003</v>
      </c>
      <c r="Z11" s="46">
        <v>40.700000000000003</v>
      </c>
      <c r="AA11" s="46">
        <v>40.700000000000003</v>
      </c>
      <c r="AB11" s="46">
        <v>40.4</v>
      </c>
      <c r="AC11" s="46">
        <v>41</v>
      </c>
      <c r="AD11" s="46">
        <v>41</v>
      </c>
      <c r="AE11" s="46">
        <v>41</v>
      </c>
      <c r="AF11" s="46">
        <v>41</v>
      </c>
      <c r="AG11" s="47">
        <v>52.4</v>
      </c>
      <c r="AH11" s="48">
        <f>MAX(B11:AF11)</f>
        <v>42</v>
      </c>
      <c r="AI11" s="49">
        <f>MIN(B11:AF11)</f>
        <v>40.4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50.6</v>
      </c>
      <c r="C12" s="45">
        <v>50.6</v>
      </c>
      <c r="D12" s="45">
        <v>50.6</v>
      </c>
      <c r="E12" s="45">
        <v>50.6</v>
      </c>
      <c r="F12" s="45">
        <v>50.6</v>
      </c>
      <c r="G12" s="45">
        <v>50.6</v>
      </c>
      <c r="H12" s="45">
        <v>50.6</v>
      </c>
      <c r="I12" s="45">
        <v>50.6</v>
      </c>
      <c r="J12" s="45">
        <v>50.6</v>
      </c>
      <c r="K12" s="45">
        <v>50.6</v>
      </c>
      <c r="L12" s="45">
        <v>50.6</v>
      </c>
      <c r="M12" s="45">
        <v>50.6</v>
      </c>
      <c r="N12" s="45">
        <v>50.6</v>
      </c>
      <c r="O12" s="45">
        <v>50.6</v>
      </c>
      <c r="P12" s="45">
        <v>50.6</v>
      </c>
      <c r="Q12" s="45">
        <v>50.6</v>
      </c>
      <c r="R12" s="45">
        <v>50.6</v>
      </c>
      <c r="S12" s="45">
        <v>50.3</v>
      </c>
      <c r="T12" s="45">
        <v>50.3</v>
      </c>
      <c r="U12" s="45">
        <v>50.3</v>
      </c>
      <c r="V12" s="45">
        <v>50.3</v>
      </c>
      <c r="W12" s="45">
        <v>50.3</v>
      </c>
      <c r="X12" s="45">
        <v>50.3</v>
      </c>
      <c r="Y12" s="45">
        <v>50.3</v>
      </c>
      <c r="Z12" s="45">
        <v>50.3</v>
      </c>
      <c r="AA12" s="45">
        <v>50.3</v>
      </c>
      <c r="AB12" s="45">
        <v>50.2</v>
      </c>
      <c r="AC12" s="45">
        <v>50.4</v>
      </c>
      <c r="AD12" s="45">
        <v>50.6</v>
      </c>
      <c r="AE12" s="45">
        <v>50.2</v>
      </c>
      <c r="AF12" s="45">
        <v>50.2</v>
      </c>
      <c r="AG12" s="51">
        <v>50</v>
      </c>
      <c r="AH12" s="48">
        <f t="shared" ref="AH12:AH75" si="2">MAX(B12:AF12)</f>
        <v>50.6</v>
      </c>
      <c r="AI12" s="49">
        <f t="shared" ref="AI12:AI75" si="3">MIN(B12:AF12)</f>
        <v>50.2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40.5</v>
      </c>
      <c r="C13" s="45">
        <v>40.5</v>
      </c>
      <c r="D13" s="45">
        <v>40.5</v>
      </c>
      <c r="E13" s="45">
        <v>40.5</v>
      </c>
      <c r="F13" s="45">
        <v>40.5</v>
      </c>
      <c r="G13" s="45">
        <v>40.5</v>
      </c>
      <c r="H13" s="45">
        <v>40.5</v>
      </c>
      <c r="I13" s="45">
        <v>40.5</v>
      </c>
      <c r="J13" s="45">
        <v>40.5</v>
      </c>
      <c r="K13" s="45">
        <v>40.5</v>
      </c>
      <c r="L13" s="45">
        <v>40.5</v>
      </c>
      <c r="M13" s="45">
        <v>40.5</v>
      </c>
      <c r="N13" s="45">
        <v>40.5</v>
      </c>
      <c r="O13" s="45">
        <v>40.5</v>
      </c>
      <c r="P13" s="45">
        <v>40.5</v>
      </c>
      <c r="Q13" s="45">
        <v>40.5</v>
      </c>
      <c r="R13" s="45">
        <v>40.5</v>
      </c>
      <c r="S13" s="45">
        <v>34.799999999999997</v>
      </c>
      <c r="T13" s="45">
        <v>34.799999999999997</v>
      </c>
      <c r="U13" s="45">
        <v>34.799999999999997</v>
      </c>
      <c r="V13" s="45">
        <v>34.799999999999997</v>
      </c>
      <c r="W13" s="45">
        <v>38.5</v>
      </c>
      <c r="X13" s="45">
        <v>38.5</v>
      </c>
      <c r="Y13" s="45">
        <v>38.5</v>
      </c>
      <c r="Z13" s="45">
        <v>38.5</v>
      </c>
      <c r="AA13" s="45">
        <v>38.5</v>
      </c>
      <c r="AB13" s="45">
        <v>37.6</v>
      </c>
      <c r="AC13" s="45">
        <v>37.6</v>
      </c>
      <c r="AD13" s="45">
        <v>37.700000000000003</v>
      </c>
      <c r="AE13" s="45">
        <v>38.799999999999997</v>
      </c>
      <c r="AF13" s="45">
        <v>37.9</v>
      </c>
      <c r="AG13" s="51">
        <v>45</v>
      </c>
      <c r="AH13" s="48">
        <f t="shared" si="2"/>
        <v>40.5</v>
      </c>
      <c r="AI13" s="49">
        <f t="shared" si="3"/>
        <v>34.799999999999997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21</v>
      </c>
      <c r="C14" s="45">
        <v>21</v>
      </c>
      <c r="D14" s="45">
        <v>21</v>
      </c>
      <c r="E14" s="45">
        <v>21</v>
      </c>
      <c r="F14" s="45">
        <v>21</v>
      </c>
      <c r="G14" s="45">
        <v>21</v>
      </c>
      <c r="H14" s="45">
        <v>28</v>
      </c>
      <c r="I14" s="45">
        <v>28</v>
      </c>
      <c r="J14" s="45">
        <v>28</v>
      </c>
      <c r="K14" s="45">
        <v>24</v>
      </c>
      <c r="L14" s="45">
        <v>21</v>
      </c>
      <c r="M14" s="45">
        <v>22</v>
      </c>
      <c r="N14" s="45">
        <v>22</v>
      </c>
      <c r="O14" s="45">
        <v>22</v>
      </c>
      <c r="P14" s="45">
        <v>22</v>
      </c>
      <c r="Q14" s="45">
        <v>21.5</v>
      </c>
      <c r="R14" s="45">
        <v>21.5</v>
      </c>
      <c r="S14" s="45">
        <v>23.4</v>
      </c>
      <c r="T14" s="45">
        <v>0</v>
      </c>
      <c r="U14" s="45">
        <v>0</v>
      </c>
      <c r="V14" s="45">
        <v>0</v>
      </c>
      <c r="W14" s="45">
        <v>28</v>
      </c>
      <c r="X14" s="45">
        <v>28</v>
      </c>
      <c r="Y14" s="45">
        <v>28</v>
      </c>
      <c r="Z14" s="45">
        <v>28</v>
      </c>
      <c r="AA14" s="45">
        <v>28</v>
      </c>
      <c r="AB14" s="45">
        <v>28</v>
      </c>
      <c r="AC14" s="45">
        <v>24</v>
      </c>
      <c r="AD14" s="45">
        <v>23</v>
      </c>
      <c r="AE14" s="45">
        <v>18</v>
      </c>
      <c r="AF14" s="45">
        <v>22</v>
      </c>
      <c r="AG14" s="51">
        <v>42</v>
      </c>
      <c r="AH14" s="48">
        <f t="shared" si="2"/>
        <v>28</v>
      </c>
      <c r="AI14" s="49">
        <f t="shared" si="3"/>
        <v>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20</v>
      </c>
      <c r="H15" s="45">
        <v>0</v>
      </c>
      <c r="I15" s="45">
        <v>4</v>
      </c>
      <c r="J15" s="45">
        <v>10</v>
      </c>
      <c r="K15" s="45">
        <v>25</v>
      </c>
      <c r="L15" s="45">
        <v>30</v>
      </c>
      <c r="M15" s="45">
        <v>28.6</v>
      </c>
      <c r="N15" s="45">
        <v>28.6</v>
      </c>
      <c r="O15" s="45">
        <v>22</v>
      </c>
      <c r="P15" s="45">
        <v>21.6</v>
      </c>
      <c r="Q15" s="45">
        <v>21.6</v>
      </c>
      <c r="R15" s="45">
        <v>5.7</v>
      </c>
      <c r="S15" s="45">
        <v>0</v>
      </c>
      <c r="T15" s="45">
        <v>20.7</v>
      </c>
      <c r="U15" s="45">
        <v>28.3</v>
      </c>
      <c r="V15" s="45">
        <v>25.5</v>
      </c>
      <c r="W15" s="45">
        <v>25.5</v>
      </c>
      <c r="X15" s="45">
        <v>25.5</v>
      </c>
      <c r="Y15" s="45">
        <v>25.5</v>
      </c>
      <c r="Z15" s="45">
        <v>25.5</v>
      </c>
      <c r="AA15" s="45">
        <v>25.5</v>
      </c>
      <c r="AB15" s="45">
        <v>15.5</v>
      </c>
      <c r="AC15" s="45">
        <v>6.9</v>
      </c>
      <c r="AD15" s="45">
        <v>0</v>
      </c>
      <c r="AE15" s="45">
        <v>0</v>
      </c>
      <c r="AF15" s="45">
        <v>0</v>
      </c>
      <c r="AG15" s="52">
        <v>30</v>
      </c>
      <c r="AH15" s="48">
        <f t="shared" si="2"/>
        <v>30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19.600000000000001</v>
      </c>
      <c r="C16" s="45">
        <v>19.600000000000001</v>
      </c>
      <c r="D16" s="45">
        <v>19.600000000000001</v>
      </c>
      <c r="E16" s="45">
        <v>19.600000000000001</v>
      </c>
      <c r="F16" s="45">
        <v>19.600000000000001</v>
      </c>
      <c r="G16" s="45">
        <v>19.600000000000001</v>
      </c>
      <c r="H16" s="45">
        <v>20</v>
      </c>
      <c r="I16" s="45">
        <v>20</v>
      </c>
      <c r="J16" s="45">
        <v>20</v>
      </c>
      <c r="K16" s="45">
        <v>20</v>
      </c>
      <c r="L16" s="45">
        <v>20</v>
      </c>
      <c r="M16" s="45">
        <v>20</v>
      </c>
      <c r="N16" s="45">
        <v>20</v>
      </c>
      <c r="O16" s="45">
        <v>20</v>
      </c>
      <c r="P16" s="45">
        <v>20</v>
      </c>
      <c r="Q16" s="45">
        <v>20</v>
      </c>
      <c r="R16" s="45">
        <v>20</v>
      </c>
      <c r="S16" s="45">
        <v>18.600000000000001</v>
      </c>
      <c r="T16" s="45">
        <v>18.600000000000001</v>
      </c>
      <c r="U16" s="45">
        <v>18.600000000000001</v>
      </c>
      <c r="V16" s="45">
        <v>18.600000000000001</v>
      </c>
      <c r="W16" s="45">
        <v>18.600000000000001</v>
      </c>
      <c r="X16" s="45">
        <v>18.600000000000001</v>
      </c>
      <c r="Y16" s="45">
        <v>18.600000000000001</v>
      </c>
      <c r="Z16" s="45">
        <v>18.600000000000001</v>
      </c>
      <c r="AA16" s="45">
        <v>18.600000000000001</v>
      </c>
      <c r="AB16" s="45">
        <v>18.600000000000001</v>
      </c>
      <c r="AC16" s="45">
        <v>19.3</v>
      </c>
      <c r="AD16" s="45">
        <v>19.3</v>
      </c>
      <c r="AE16" s="45">
        <v>19.3</v>
      </c>
      <c r="AF16" s="45">
        <v>19.3</v>
      </c>
      <c r="AG16" s="51">
        <v>24.2</v>
      </c>
      <c r="AH16" s="48">
        <f t="shared" si="2"/>
        <v>20</v>
      </c>
      <c r="AI16" s="49">
        <f t="shared" si="3"/>
        <v>18.600000000000001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9</v>
      </c>
      <c r="J17" s="45">
        <v>12</v>
      </c>
      <c r="K17" s="45">
        <v>18</v>
      </c>
      <c r="L17" s="45">
        <v>18</v>
      </c>
      <c r="M17" s="45">
        <v>18</v>
      </c>
      <c r="N17" s="45">
        <v>18</v>
      </c>
      <c r="O17" s="45">
        <v>18</v>
      </c>
      <c r="P17" s="45">
        <v>25</v>
      </c>
      <c r="Q17" s="45">
        <v>15</v>
      </c>
      <c r="R17" s="45">
        <v>15</v>
      </c>
      <c r="S17" s="45">
        <v>0</v>
      </c>
      <c r="T17" s="45">
        <v>0</v>
      </c>
      <c r="U17" s="45">
        <v>18</v>
      </c>
      <c r="V17" s="45">
        <v>18</v>
      </c>
      <c r="W17" s="45">
        <v>18</v>
      </c>
      <c r="X17" s="45">
        <v>18</v>
      </c>
      <c r="Y17" s="45">
        <v>18</v>
      </c>
      <c r="Z17" s="45">
        <v>18</v>
      </c>
      <c r="AA17" s="45">
        <v>18</v>
      </c>
      <c r="AB17" s="45">
        <v>18</v>
      </c>
      <c r="AC17" s="45">
        <v>5</v>
      </c>
      <c r="AD17" s="45">
        <v>0</v>
      </c>
      <c r="AE17" s="45">
        <v>0</v>
      </c>
      <c r="AF17" s="45">
        <v>0</v>
      </c>
      <c r="AG17" s="52">
        <v>30</v>
      </c>
      <c r="AH17" s="48">
        <f t="shared" si="2"/>
        <v>25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20.9</v>
      </c>
      <c r="C18" s="45">
        <v>20.9</v>
      </c>
      <c r="D18" s="45">
        <v>20.9</v>
      </c>
      <c r="E18" s="45">
        <v>20.9</v>
      </c>
      <c r="F18" s="45">
        <v>20.9</v>
      </c>
      <c r="G18" s="45">
        <v>20.9</v>
      </c>
      <c r="H18" s="45">
        <v>20.9</v>
      </c>
      <c r="I18" s="45">
        <v>20.9</v>
      </c>
      <c r="J18" s="45">
        <v>20.9</v>
      </c>
      <c r="K18" s="45">
        <v>20.9</v>
      </c>
      <c r="L18" s="45">
        <v>20.9</v>
      </c>
      <c r="M18" s="45">
        <v>20.9</v>
      </c>
      <c r="N18" s="45">
        <v>20.9</v>
      </c>
      <c r="O18" s="45">
        <v>20.9</v>
      </c>
      <c r="P18" s="45">
        <v>20.9</v>
      </c>
      <c r="Q18" s="45">
        <v>20.9</v>
      </c>
      <c r="R18" s="45">
        <v>20.9</v>
      </c>
      <c r="S18" s="45">
        <v>20.2</v>
      </c>
      <c r="T18" s="45">
        <v>20.2</v>
      </c>
      <c r="U18" s="45">
        <v>20.2</v>
      </c>
      <c r="V18" s="45">
        <v>20.2</v>
      </c>
      <c r="W18" s="45">
        <v>20.2</v>
      </c>
      <c r="X18" s="45">
        <v>20.2</v>
      </c>
      <c r="Y18" s="45">
        <v>20.2</v>
      </c>
      <c r="Z18" s="45">
        <v>20.2</v>
      </c>
      <c r="AA18" s="45">
        <v>20.2</v>
      </c>
      <c r="AB18" s="45">
        <v>20.2</v>
      </c>
      <c r="AC18" s="45">
        <v>20.3</v>
      </c>
      <c r="AD18" s="45">
        <v>20.3</v>
      </c>
      <c r="AE18" s="45">
        <v>20.3</v>
      </c>
      <c r="AF18" s="45">
        <v>20.3</v>
      </c>
      <c r="AG18" s="51">
        <v>25</v>
      </c>
      <c r="AH18" s="48">
        <f t="shared" si="2"/>
        <v>20.9</v>
      </c>
      <c r="AI18" s="49">
        <f t="shared" si="3"/>
        <v>20.2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21</v>
      </c>
      <c r="C19" s="45">
        <v>21</v>
      </c>
      <c r="D19" s="45">
        <v>21</v>
      </c>
      <c r="E19" s="45">
        <v>21</v>
      </c>
      <c r="F19" s="45">
        <v>21</v>
      </c>
      <c r="G19" s="45">
        <v>21</v>
      </c>
      <c r="H19" s="45">
        <v>21</v>
      </c>
      <c r="I19" s="45">
        <v>21</v>
      </c>
      <c r="J19" s="45">
        <v>21</v>
      </c>
      <c r="K19" s="45">
        <v>21</v>
      </c>
      <c r="L19" s="45">
        <v>21</v>
      </c>
      <c r="M19" s="45">
        <v>21</v>
      </c>
      <c r="N19" s="45">
        <v>21</v>
      </c>
      <c r="O19" s="45">
        <v>21</v>
      </c>
      <c r="P19" s="45">
        <v>21</v>
      </c>
      <c r="Q19" s="45">
        <v>21</v>
      </c>
      <c r="R19" s="45">
        <v>21</v>
      </c>
      <c r="S19" s="45">
        <v>21</v>
      </c>
      <c r="T19" s="45">
        <v>21</v>
      </c>
      <c r="U19" s="45">
        <v>21</v>
      </c>
      <c r="V19" s="45">
        <v>21</v>
      </c>
      <c r="W19" s="45">
        <v>21</v>
      </c>
      <c r="X19" s="45">
        <v>21</v>
      </c>
      <c r="Y19" s="45">
        <v>21</v>
      </c>
      <c r="Z19" s="45">
        <v>21</v>
      </c>
      <c r="AA19" s="45">
        <v>21</v>
      </c>
      <c r="AB19" s="45">
        <v>21</v>
      </c>
      <c r="AC19" s="45">
        <v>21</v>
      </c>
      <c r="AD19" s="45">
        <v>21</v>
      </c>
      <c r="AE19" s="45">
        <v>21</v>
      </c>
      <c r="AF19" s="45">
        <v>21</v>
      </c>
      <c r="AG19" s="51">
        <v>25</v>
      </c>
      <c r="AH19" s="48">
        <f t="shared" si="2"/>
        <v>21</v>
      </c>
      <c r="AI19" s="49">
        <f t="shared" si="3"/>
        <v>21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18</v>
      </c>
      <c r="C20" s="45">
        <v>18</v>
      </c>
      <c r="D20" s="45">
        <v>18</v>
      </c>
      <c r="E20" s="45">
        <v>18</v>
      </c>
      <c r="F20" s="45">
        <v>18</v>
      </c>
      <c r="G20" s="45">
        <v>18</v>
      </c>
      <c r="H20" s="45">
        <v>18</v>
      </c>
      <c r="I20" s="45">
        <v>18</v>
      </c>
      <c r="J20" s="45">
        <v>18</v>
      </c>
      <c r="K20" s="45">
        <v>18</v>
      </c>
      <c r="L20" s="45">
        <v>18</v>
      </c>
      <c r="M20" s="45">
        <v>18</v>
      </c>
      <c r="N20" s="45">
        <v>18</v>
      </c>
      <c r="O20" s="45">
        <v>18</v>
      </c>
      <c r="P20" s="45">
        <v>18</v>
      </c>
      <c r="Q20" s="45">
        <v>18</v>
      </c>
      <c r="R20" s="45">
        <v>18</v>
      </c>
      <c r="S20" s="45">
        <v>18</v>
      </c>
      <c r="T20" s="45">
        <v>18</v>
      </c>
      <c r="U20" s="45">
        <v>18</v>
      </c>
      <c r="V20" s="45">
        <v>18</v>
      </c>
      <c r="W20" s="45">
        <v>18</v>
      </c>
      <c r="X20" s="45">
        <v>18</v>
      </c>
      <c r="Y20" s="45">
        <v>18</v>
      </c>
      <c r="Z20" s="45">
        <v>18</v>
      </c>
      <c r="AA20" s="45">
        <v>18</v>
      </c>
      <c r="AB20" s="45">
        <v>18</v>
      </c>
      <c r="AC20" s="45">
        <v>18</v>
      </c>
      <c r="AD20" s="45">
        <v>18</v>
      </c>
      <c r="AE20" s="45">
        <v>18</v>
      </c>
      <c r="AF20" s="45">
        <v>18</v>
      </c>
      <c r="AG20" s="51">
        <v>25</v>
      </c>
      <c r="AH20" s="48">
        <f t="shared" si="2"/>
        <v>18</v>
      </c>
      <c r="AI20" s="49">
        <f t="shared" si="3"/>
        <v>18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18.2</v>
      </c>
      <c r="C21" s="45">
        <v>18.2</v>
      </c>
      <c r="D21" s="45">
        <v>18.2</v>
      </c>
      <c r="E21" s="45">
        <v>18.2</v>
      </c>
      <c r="F21" s="45">
        <v>18.2</v>
      </c>
      <c r="G21" s="45">
        <v>18.2</v>
      </c>
      <c r="H21" s="45">
        <v>18.2</v>
      </c>
      <c r="I21" s="45">
        <v>18.2</v>
      </c>
      <c r="J21" s="45">
        <v>18.2</v>
      </c>
      <c r="K21" s="45">
        <v>18.2</v>
      </c>
      <c r="L21" s="45">
        <v>18.2</v>
      </c>
      <c r="M21" s="45">
        <v>18.2</v>
      </c>
      <c r="N21" s="45">
        <v>18.2</v>
      </c>
      <c r="O21" s="45">
        <v>18.2</v>
      </c>
      <c r="P21" s="45">
        <v>18.2</v>
      </c>
      <c r="Q21" s="45">
        <v>18.2</v>
      </c>
      <c r="R21" s="45">
        <v>18.2</v>
      </c>
      <c r="S21" s="45">
        <v>17.7</v>
      </c>
      <c r="T21" s="45">
        <v>17.7</v>
      </c>
      <c r="U21" s="45">
        <v>17.7</v>
      </c>
      <c r="V21" s="45">
        <v>17.7</v>
      </c>
      <c r="W21" s="45">
        <v>17.7</v>
      </c>
      <c r="X21" s="45">
        <v>17.7</v>
      </c>
      <c r="Y21" s="45">
        <v>17.7</v>
      </c>
      <c r="Z21" s="45">
        <v>17.7</v>
      </c>
      <c r="AA21" s="45">
        <v>17.7</v>
      </c>
      <c r="AB21" s="45">
        <v>17.7</v>
      </c>
      <c r="AC21" s="45">
        <v>17.7</v>
      </c>
      <c r="AD21" s="45">
        <v>17.7</v>
      </c>
      <c r="AE21" s="45">
        <v>17.7</v>
      </c>
      <c r="AF21" s="45">
        <v>17.7</v>
      </c>
      <c r="AG21" s="51">
        <v>23.5</v>
      </c>
      <c r="AH21" s="48">
        <f t="shared" si="2"/>
        <v>18.2</v>
      </c>
      <c r="AI21" s="49">
        <f t="shared" si="3"/>
        <v>17.7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51">
        <v>22.2</v>
      </c>
      <c r="AH22" s="48">
        <f t="shared" si="2"/>
        <v>0</v>
      </c>
      <c r="AI22" s="49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18</v>
      </c>
      <c r="C23" s="45">
        <v>18</v>
      </c>
      <c r="D23" s="45">
        <v>18</v>
      </c>
      <c r="E23" s="45">
        <v>18</v>
      </c>
      <c r="F23" s="45">
        <v>18</v>
      </c>
      <c r="G23" s="45">
        <v>18</v>
      </c>
      <c r="H23" s="45">
        <v>18</v>
      </c>
      <c r="I23" s="45">
        <v>18</v>
      </c>
      <c r="J23" s="45">
        <v>18</v>
      </c>
      <c r="K23" s="45">
        <v>18</v>
      </c>
      <c r="L23" s="45">
        <v>18</v>
      </c>
      <c r="M23" s="45">
        <v>18</v>
      </c>
      <c r="N23" s="45">
        <v>18</v>
      </c>
      <c r="O23" s="45">
        <v>18</v>
      </c>
      <c r="P23" s="45">
        <v>18</v>
      </c>
      <c r="Q23" s="45">
        <v>18</v>
      </c>
      <c r="R23" s="45">
        <v>18</v>
      </c>
      <c r="S23" s="45">
        <v>18</v>
      </c>
      <c r="T23" s="45">
        <v>18</v>
      </c>
      <c r="U23" s="45">
        <v>18</v>
      </c>
      <c r="V23" s="45">
        <v>18</v>
      </c>
      <c r="W23" s="45">
        <v>18</v>
      </c>
      <c r="X23" s="45">
        <v>18</v>
      </c>
      <c r="Y23" s="45">
        <v>18</v>
      </c>
      <c r="Z23" s="45">
        <v>18</v>
      </c>
      <c r="AA23" s="45">
        <v>18</v>
      </c>
      <c r="AB23" s="45">
        <v>18</v>
      </c>
      <c r="AC23" s="45">
        <v>18</v>
      </c>
      <c r="AD23" s="45">
        <v>18</v>
      </c>
      <c r="AE23" s="45">
        <v>18</v>
      </c>
      <c r="AF23" s="45">
        <v>18</v>
      </c>
      <c r="AG23" s="51">
        <v>22.1</v>
      </c>
      <c r="AH23" s="48">
        <f t="shared" si="2"/>
        <v>18</v>
      </c>
      <c r="AI23" s="49">
        <f t="shared" si="3"/>
        <v>18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14</v>
      </c>
      <c r="C24" s="45">
        <v>14</v>
      </c>
      <c r="D24" s="45">
        <v>14</v>
      </c>
      <c r="E24" s="45">
        <v>14</v>
      </c>
      <c r="F24" s="45">
        <v>14</v>
      </c>
      <c r="G24" s="45">
        <v>14</v>
      </c>
      <c r="H24" s="45">
        <v>14</v>
      </c>
      <c r="I24" s="45">
        <v>14</v>
      </c>
      <c r="J24" s="45">
        <v>14</v>
      </c>
      <c r="K24" s="45">
        <v>14</v>
      </c>
      <c r="L24" s="45">
        <v>14</v>
      </c>
      <c r="M24" s="45">
        <v>14</v>
      </c>
      <c r="N24" s="45">
        <v>14</v>
      </c>
      <c r="O24" s="45">
        <v>14</v>
      </c>
      <c r="P24" s="45">
        <v>14</v>
      </c>
      <c r="Q24" s="45">
        <v>14</v>
      </c>
      <c r="R24" s="45">
        <v>14</v>
      </c>
      <c r="S24" s="45">
        <v>14</v>
      </c>
      <c r="T24" s="45">
        <v>14</v>
      </c>
      <c r="U24" s="45">
        <v>14</v>
      </c>
      <c r="V24" s="45">
        <v>14</v>
      </c>
      <c r="W24" s="45">
        <v>14</v>
      </c>
      <c r="X24" s="45">
        <v>14</v>
      </c>
      <c r="Y24" s="45">
        <v>14</v>
      </c>
      <c r="Z24" s="45">
        <v>14</v>
      </c>
      <c r="AA24" s="45">
        <v>14</v>
      </c>
      <c r="AB24" s="45">
        <v>14</v>
      </c>
      <c r="AC24" s="45">
        <v>14</v>
      </c>
      <c r="AD24" s="45">
        <v>14</v>
      </c>
      <c r="AE24" s="45">
        <v>14</v>
      </c>
      <c r="AF24" s="45">
        <v>14</v>
      </c>
      <c r="AG24" s="51">
        <v>22</v>
      </c>
      <c r="AH24" s="48">
        <f t="shared" si="2"/>
        <v>14</v>
      </c>
      <c r="AI24" s="49">
        <f t="shared" si="3"/>
        <v>14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17</v>
      </c>
      <c r="C25" s="45">
        <v>17</v>
      </c>
      <c r="D25" s="45">
        <v>17</v>
      </c>
      <c r="E25" s="45">
        <v>17</v>
      </c>
      <c r="F25" s="45">
        <v>17</v>
      </c>
      <c r="G25" s="45">
        <v>17</v>
      </c>
      <c r="H25" s="45">
        <v>17</v>
      </c>
      <c r="I25" s="45">
        <v>17</v>
      </c>
      <c r="J25" s="45">
        <v>17</v>
      </c>
      <c r="K25" s="45">
        <v>17</v>
      </c>
      <c r="L25" s="45">
        <v>17</v>
      </c>
      <c r="M25" s="45">
        <v>17</v>
      </c>
      <c r="N25" s="45">
        <v>17</v>
      </c>
      <c r="O25" s="45">
        <v>17</v>
      </c>
      <c r="P25" s="45">
        <v>17</v>
      </c>
      <c r="Q25" s="45">
        <v>17</v>
      </c>
      <c r="R25" s="45">
        <v>17</v>
      </c>
      <c r="S25" s="45">
        <v>14</v>
      </c>
      <c r="T25" s="45">
        <v>14</v>
      </c>
      <c r="U25" s="45">
        <v>14</v>
      </c>
      <c r="V25" s="45">
        <v>14</v>
      </c>
      <c r="W25" s="45">
        <v>14</v>
      </c>
      <c r="X25" s="45">
        <v>14</v>
      </c>
      <c r="Y25" s="45">
        <v>14</v>
      </c>
      <c r="Z25" s="45">
        <v>14</v>
      </c>
      <c r="AA25" s="45">
        <v>14</v>
      </c>
      <c r="AB25" s="45">
        <v>14</v>
      </c>
      <c r="AC25" s="45">
        <v>18</v>
      </c>
      <c r="AD25" s="45">
        <v>18</v>
      </c>
      <c r="AE25" s="45">
        <v>18</v>
      </c>
      <c r="AF25" s="45">
        <v>18</v>
      </c>
      <c r="AG25" s="51">
        <v>22</v>
      </c>
      <c r="AH25" s="48">
        <f t="shared" si="2"/>
        <v>18</v>
      </c>
      <c r="AI25" s="49">
        <f t="shared" si="3"/>
        <v>14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5</v>
      </c>
      <c r="C26" s="45">
        <v>5</v>
      </c>
      <c r="D26" s="45">
        <v>5</v>
      </c>
      <c r="E26" s="45">
        <v>5</v>
      </c>
      <c r="F26" s="45">
        <v>5</v>
      </c>
      <c r="G26" s="45">
        <v>5</v>
      </c>
      <c r="H26" s="45">
        <v>5</v>
      </c>
      <c r="I26" s="45">
        <v>5</v>
      </c>
      <c r="J26" s="45">
        <v>5</v>
      </c>
      <c r="K26" s="45">
        <v>10</v>
      </c>
      <c r="L26" s="45">
        <v>10</v>
      </c>
      <c r="M26" s="45">
        <v>10</v>
      </c>
      <c r="N26" s="45">
        <v>10</v>
      </c>
      <c r="O26" s="45">
        <v>10</v>
      </c>
      <c r="P26" s="45">
        <v>10</v>
      </c>
      <c r="Q26" s="45">
        <v>5</v>
      </c>
      <c r="R26" s="45">
        <v>5</v>
      </c>
      <c r="S26" s="45">
        <v>5</v>
      </c>
      <c r="T26" s="45">
        <v>0</v>
      </c>
      <c r="U26" s="45">
        <v>0</v>
      </c>
      <c r="V26" s="45">
        <v>0</v>
      </c>
      <c r="W26" s="45">
        <v>10</v>
      </c>
      <c r="X26" s="45">
        <v>10</v>
      </c>
      <c r="Y26" s="45">
        <v>10</v>
      </c>
      <c r="Z26" s="45">
        <v>10</v>
      </c>
      <c r="AA26" s="45">
        <v>10</v>
      </c>
      <c r="AB26" s="45">
        <v>10</v>
      </c>
      <c r="AC26" s="45">
        <v>10</v>
      </c>
      <c r="AD26" s="45">
        <v>0</v>
      </c>
      <c r="AE26" s="45">
        <v>0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11</v>
      </c>
      <c r="C27" s="45">
        <v>11</v>
      </c>
      <c r="D27" s="45">
        <v>11</v>
      </c>
      <c r="E27" s="45">
        <v>11</v>
      </c>
      <c r="F27" s="45">
        <v>11</v>
      </c>
      <c r="G27" s="45">
        <v>11</v>
      </c>
      <c r="H27" s="45">
        <v>11</v>
      </c>
      <c r="I27" s="45">
        <v>11</v>
      </c>
      <c r="J27" s="45">
        <v>11</v>
      </c>
      <c r="K27" s="45">
        <v>11</v>
      </c>
      <c r="L27" s="45">
        <v>11</v>
      </c>
      <c r="M27" s="45">
        <v>11</v>
      </c>
      <c r="N27" s="45">
        <v>11</v>
      </c>
      <c r="O27" s="45">
        <v>11</v>
      </c>
      <c r="P27" s="45">
        <v>11</v>
      </c>
      <c r="Q27" s="45">
        <v>11</v>
      </c>
      <c r="R27" s="45">
        <v>11</v>
      </c>
      <c r="S27" s="45">
        <v>11</v>
      </c>
      <c r="T27" s="45">
        <v>11</v>
      </c>
      <c r="U27" s="45">
        <v>11</v>
      </c>
      <c r="V27" s="45">
        <v>11</v>
      </c>
      <c r="W27" s="45">
        <v>11</v>
      </c>
      <c r="X27" s="45">
        <v>11</v>
      </c>
      <c r="Y27" s="45">
        <v>11</v>
      </c>
      <c r="Z27" s="45">
        <v>11</v>
      </c>
      <c r="AA27" s="45">
        <v>11</v>
      </c>
      <c r="AB27" s="45">
        <v>11</v>
      </c>
      <c r="AC27" s="45">
        <v>11</v>
      </c>
      <c r="AD27" s="45">
        <v>11</v>
      </c>
      <c r="AE27" s="45">
        <v>11</v>
      </c>
      <c r="AF27" s="45">
        <v>11</v>
      </c>
      <c r="AG27" s="51">
        <v>14.9</v>
      </c>
      <c r="AH27" s="48">
        <f t="shared" si="2"/>
        <v>11</v>
      </c>
      <c r="AI27" s="49">
        <f t="shared" si="3"/>
        <v>11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3.5</v>
      </c>
      <c r="C28" s="45">
        <v>3.5</v>
      </c>
      <c r="D28" s="45">
        <v>3.5</v>
      </c>
      <c r="E28" s="45">
        <v>3.5</v>
      </c>
      <c r="F28" s="45">
        <v>3.5</v>
      </c>
      <c r="G28" s="45">
        <v>3.5</v>
      </c>
      <c r="H28" s="45">
        <v>3.5</v>
      </c>
      <c r="I28" s="45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>
        <v>3.5</v>
      </c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45">
        <v>3.5</v>
      </c>
      <c r="Y28" s="45">
        <v>3.5</v>
      </c>
      <c r="Z28" s="45">
        <v>3.5</v>
      </c>
      <c r="AA28" s="45">
        <v>3.5</v>
      </c>
      <c r="AB28" s="45">
        <v>3.5</v>
      </c>
      <c r="AC28" s="45">
        <v>3.5</v>
      </c>
      <c r="AD28" s="45">
        <v>3.5</v>
      </c>
      <c r="AE28" s="45">
        <v>3.5</v>
      </c>
      <c r="AF28" s="45">
        <v>3.5</v>
      </c>
      <c r="AG28" s="51">
        <v>13.6</v>
      </c>
      <c r="AH28" s="48">
        <f t="shared" si="2"/>
        <v>3.5</v>
      </c>
      <c r="AI28" s="49">
        <f t="shared" si="3"/>
        <v>3.5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9</v>
      </c>
      <c r="C29" s="45">
        <v>9</v>
      </c>
      <c r="D29" s="45">
        <v>9</v>
      </c>
      <c r="E29" s="45">
        <v>9</v>
      </c>
      <c r="F29" s="45">
        <v>9</v>
      </c>
      <c r="G29" s="45">
        <v>9</v>
      </c>
      <c r="H29" s="45">
        <v>9</v>
      </c>
      <c r="I29" s="45">
        <v>9</v>
      </c>
      <c r="J29" s="45">
        <v>9</v>
      </c>
      <c r="K29" s="45">
        <v>9</v>
      </c>
      <c r="L29" s="45">
        <v>9</v>
      </c>
      <c r="M29" s="45">
        <v>9</v>
      </c>
      <c r="N29" s="45">
        <v>9</v>
      </c>
      <c r="O29" s="45">
        <v>9</v>
      </c>
      <c r="P29" s="45">
        <v>9</v>
      </c>
      <c r="Q29" s="45">
        <v>9</v>
      </c>
      <c r="R29" s="45">
        <v>9</v>
      </c>
      <c r="S29" s="45">
        <v>5</v>
      </c>
      <c r="T29" s="45">
        <v>5</v>
      </c>
      <c r="U29" s="45">
        <v>5</v>
      </c>
      <c r="V29" s="45">
        <v>5</v>
      </c>
      <c r="W29" s="45">
        <v>5</v>
      </c>
      <c r="X29" s="45">
        <v>9</v>
      </c>
      <c r="Y29" s="45">
        <v>9</v>
      </c>
      <c r="Z29" s="45">
        <v>9</v>
      </c>
      <c r="AA29" s="45">
        <v>9</v>
      </c>
      <c r="AB29" s="45">
        <v>9</v>
      </c>
      <c r="AC29" s="45">
        <v>9</v>
      </c>
      <c r="AD29" s="45">
        <v>9</v>
      </c>
      <c r="AE29" s="45">
        <v>9</v>
      </c>
      <c r="AF29" s="45">
        <v>9</v>
      </c>
      <c r="AG29" s="51">
        <v>13</v>
      </c>
      <c r="AH29" s="48">
        <f t="shared" si="2"/>
        <v>9</v>
      </c>
      <c r="AI29" s="49">
        <f t="shared" si="3"/>
        <v>5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10</v>
      </c>
      <c r="L30" s="45">
        <v>10</v>
      </c>
      <c r="M30" s="45">
        <v>8</v>
      </c>
      <c r="N30" s="45">
        <v>8</v>
      </c>
      <c r="O30" s="45">
        <v>8</v>
      </c>
      <c r="P30" s="45">
        <v>8</v>
      </c>
      <c r="Q30" s="45">
        <v>5</v>
      </c>
      <c r="R30" s="45">
        <v>5</v>
      </c>
      <c r="S30" s="45">
        <v>10</v>
      </c>
      <c r="T30" s="45">
        <v>10</v>
      </c>
      <c r="U30" s="45">
        <v>10</v>
      </c>
      <c r="V30" s="45">
        <v>10</v>
      </c>
      <c r="W30" s="45">
        <v>10</v>
      </c>
      <c r="X30" s="45">
        <v>10</v>
      </c>
      <c r="Y30" s="45">
        <v>10</v>
      </c>
      <c r="Z30" s="45">
        <v>10</v>
      </c>
      <c r="AA30" s="45">
        <v>10</v>
      </c>
      <c r="AB30" s="45">
        <v>8</v>
      </c>
      <c r="AC30" s="45">
        <v>8</v>
      </c>
      <c r="AD30" s="45">
        <v>8</v>
      </c>
      <c r="AE30" s="45">
        <v>8</v>
      </c>
      <c r="AF30" s="45">
        <v>8</v>
      </c>
      <c r="AG30" s="51">
        <v>12</v>
      </c>
      <c r="AH30" s="48">
        <f t="shared" si="2"/>
        <v>10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</v>
      </c>
      <c r="C31" s="45">
        <v>6</v>
      </c>
      <c r="D31" s="45">
        <v>6</v>
      </c>
      <c r="E31" s="45">
        <v>6</v>
      </c>
      <c r="F31" s="45">
        <v>6</v>
      </c>
      <c r="G31" s="45">
        <v>6</v>
      </c>
      <c r="H31" s="45">
        <v>6</v>
      </c>
      <c r="I31" s="45">
        <v>6</v>
      </c>
      <c r="J31" s="45">
        <v>6</v>
      </c>
      <c r="K31" s="45">
        <v>6</v>
      </c>
      <c r="L31" s="45">
        <v>6</v>
      </c>
      <c r="M31" s="45">
        <v>6</v>
      </c>
      <c r="N31" s="45">
        <v>6</v>
      </c>
      <c r="O31" s="45">
        <v>6</v>
      </c>
      <c r="P31" s="45">
        <v>6</v>
      </c>
      <c r="Q31" s="45">
        <v>6</v>
      </c>
      <c r="R31" s="45">
        <v>6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2"/>
        <v>12</v>
      </c>
      <c r="AI31" s="49">
        <f t="shared" si="3"/>
        <v>6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1">
        <v>12</v>
      </c>
      <c r="AH32" s="48">
        <f t="shared" si="2"/>
        <v>0</v>
      </c>
      <c r="AI32" s="49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8</v>
      </c>
      <c r="C33" s="45">
        <v>8</v>
      </c>
      <c r="D33" s="45">
        <v>8</v>
      </c>
      <c r="E33" s="45">
        <v>8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3">
        <v>22</v>
      </c>
      <c r="AH33" s="48">
        <f t="shared" si="2"/>
        <v>8</v>
      </c>
      <c r="AI33" s="49">
        <f t="shared" si="3"/>
        <v>8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10</v>
      </c>
      <c r="C34" s="45">
        <v>10</v>
      </c>
      <c r="D34" s="45">
        <v>10</v>
      </c>
      <c r="E34" s="45">
        <v>10</v>
      </c>
      <c r="F34" s="45">
        <v>10</v>
      </c>
      <c r="G34" s="45">
        <v>10</v>
      </c>
      <c r="H34" s="45">
        <v>10</v>
      </c>
      <c r="I34" s="45">
        <v>10</v>
      </c>
      <c r="J34" s="45">
        <v>10</v>
      </c>
      <c r="K34" s="45">
        <v>10</v>
      </c>
      <c r="L34" s="45">
        <v>10</v>
      </c>
      <c r="M34" s="45">
        <v>10</v>
      </c>
      <c r="N34" s="45">
        <v>10</v>
      </c>
      <c r="O34" s="45">
        <v>10</v>
      </c>
      <c r="P34" s="45">
        <v>10</v>
      </c>
      <c r="Q34" s="45">
        <v>10</v>
      </c>
      <c r="R34" s="45">
        <v>10</v>
      </c>
      <c r="S34" s="45">
        <v>5</v>
      </c>
      <c r="T34" s="45">
        <v>5</v>
      </c>
      <c r="U34" s="45">
        <v>5</v>
      </c>
      <c r="V34" s="45">
        <v>5</v>
      </c>
      <c r="W34" s="45">
        <v>5</v>
      </c>
      <c r="X34" s="45">
        <v>8.5</v>
      </c>
      <c r="Y34" s="45">
        <v>8.5</v>
      </c>
      <c r="Z34" s="45">
        <v>8.5</v>
      </c>
      <c r="AA34" s="45">
        <v>8.5</v>
      </c>
      <c r="AB34" s="45">
        <v>8.5</v>
      </c>
      <c r="AC34" s="45">
        <v>8.5</v>
      </c>
      <c r="AD34" s="45">
        <v>8.5</v>
      </c>
      <c r="AE34" s="45">
        <v>8.5</v>
      </c>
      <c r="AF34" s="45">
        <v>8.5</v>
      </c>
      <c r="AG34" s="52">
        <v>11.88</v>
      </c>
      <c r="AH34" s="48">
        <f t="shared" si="2"/>
        <v>10</v>
      </c>
      <c r="AI34" s="49">
        <f t="shared" si="3"/>
        <v>5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9</v>
      </c>
      <c r="C35" s="45">
        <v>9</v>
      </c>
      <c r="D35" s="45">
        <v>9</v>
      </c>
      <c r="E35" s="45">
        <v>9</v>
      </c>
      <c r="F35" s="45">
        <v>9</v>
      </c>
      <c r="G35" s="45">
        <v>9</v>
      </c>
      <c r="H35" s="45">
        <v>9</v>
      </c>
      <c r="I35" s="45">
        <v>9</v>
      </c>
      <c r="J35" s="45">
        <v>9</v>
      </c>
      <c r="K35" s="45">
        <v>9</v>
      </c>
      <c r="L35" s="45">
        <v>9</v>
      </c>
      <c r="M35" s="45">
        <v>9</v>
      </c>
      <c r="N35" s="45">
        <v>9</v>
      </c>
      <c r="O35" s="45">
        <v>9</v>
      </c>
      <c r="P35" s="45">
        <v>9</v>
      </c>
      <c r="Q35" s="45">
        <v>9</v>
      </c>
      <c r="R35" s="45">
        <v>9</v>
      </c>
      <c r="S35" s="45">
        <v>9</v>
      </c>
      <c r="T35" s="45">
        <v>9</v>
      </c>
      <c r="U35" s="45">
        <v>9</v>
      </c>
      <c r="V35" s="45">
        <v>9</v>
      </c>
      <c r="W35" s="45">
        <v>9</v>
      </c>
      <c r="X35" s="45">
        <v>9</v>
      </c>
      <c r="Y35" s="45">
        <v>9</v>
      </c>
      <c r="Z35" s="45">
        <v>9</v>
      </c>
      <c r="AA35" s="45">
        <v>9</v>
      </c>
      <c r="AB35" s="45">
        <v>9</v>
      </c>
      <c r="AC35" s="45">
        <v>9</v>
      </c>
      <c r="AD35" s="45">
        <v>9</v>
      </c>
      <c r="AE35" s="45">
        <v>9</v>
      </c>
      <c r="AF35" s="45">
        <v>9</v>
      </c>
      <c r="AG35" s="55">
        <v>11</v>
      </c>
      <c r="AH35" s="48">
        <f t="shared" si="2"/>
        <v>9</v>
      </c>
      <c r="AI35" s="49">
        <f t="shared" si="3"/>
        <v>9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5">
        <v>10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2</v>
      </c>
      <c r="N37" s="45">
        <v>2</v>
      </c>
      <c r="O37" s="45">
        <v>2</v>
      </c>
      <c r="P37" s="45">
        <v>2</v>
      </c>
      <c r="Q37" s="45">
        <v>2</v>
      </c>
      <c r="R37" s="45">
        <v>2</v>
      </c>
      <c r="S37" s="45">
        <v>2</v>
      </c>
      <c r="T37" s="45">
        <v>2</v>
      </c>
      <c r="U37" s="45">
        <v>2</v>
      </c>
      <c r="V37" s="45">
        <v>2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2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270</v>
      </c>
      <c r="C38" s="57">
        <v>270</v>
      </c>
      <c r="D38" s="57">
        <v>270</v>
      </c>
      <c r="E38" s="57">
        <v>270</v>
      </c>
      <c r="F38" s="57">
        <v>270</v>
      </c>
      <c r="G38" s="57">
        <v>270</v>
      </c>
      <c r="H38" s="57">
        <v>270</v>
      </c>
      <c r="I38" s="57">
        <v>270</v>
      </c>
      <c r="J38" s="57">
        <v>270</v>
      </c>
      <c r="K38" s="57">
        <v>270</v>
      </c>
      <c r="L38" s="57">
        <v>270</v>
      </c>
      <c r="M38" s="57">
        <v>270</v>
      </c>
      <c r="N38" s="57">
        <v>270</v>
      </c>
      <c r="O38" s="57">
        <v>270</v>
      </c>
      <c r="P38" s="57">
        <v>270</v>
      </c>
      <c r="Q38" s="57">
        <v>270</v>
      </c>
      <c r="R38" s="57">
        <v>270</v>
      </c>
      <c r="S38" s="57">
        <v>270</v>
      </c>
      <c r="T38" s="57">
        <v>270</v>
      </c>
      <c r="U38" s="57">
        <v>270</v>
      </c>
      <c r="V38" s="57">
        <v>270</v>
      </c>
      <c r="W38" s="57">
        <v>270</v>
      </c>
      <c r="X38" s="57">
        <v>270</v>
      </c>
      <c r="Y38" s="57">
        <v>270</v>
      </c>
      <c r="Z38" s="57">
        <v>270</v>
      </c>
      <c r="AA38" s="57">
        <v>270</v>
      </c>
      <c r="AB38" s="57">
        <v>270</v>
      </c>
      <c r="AC38" s="57">
        <v>270</v>
      </c>
      <c r="AD38" s="57">
        <v>270</v>
      </c>
      <c r="AE38" s="57">
        <v>270</v>
      </c>
      <c r="AF38" s="57">
        <v>270</v>
      </c>
      <c r="AG38" s="55">
        <v>85</v>
      </c>
      <c r="AH38" s="48">
        <f t="shared" si="2"/>
        <v>270</v>
      </c>
      <c r="AI38" s="49">
        <f t="shared" si="3"/>
        <v>270</v>
      </c>
      <c r="AK38" s="50"/>
    </row>
    <row r="39" spans="1:88" ht="15.75" thickBot="1" x14ac:dyDescent="0.3">
      <c r="A39" s="58" t="s">
        <v>47</v>
      </c>
      <c r="B39" s="59">
        <v>125</v>
      </c>
      <c r="C39" s="59">
        <v>115</v>
      </c>
      <c r="D39" s="59">
        <v>120</v>
      </c>
      <c r="E39" s="59">
        <v>120</v>
      </c>
      <c r="F39" s="59">
        <v>120</v>
      </c>
      <c r="G39" s="59">
        <v>120</v>
      </c>
      <c r="H39" s="59">
        <v>123</v>
      </c>
      <c r="I39" s="59">
        <v>123</v>
      </c>
      <c r="J39" s="59">
        <v>123</v>
      </c>
      <c r="K39" s="59">
        <v>123</v>
      </c>
      <c r="L39" s="57">
        <v>120</v>
      </c>
      <c r="M39" s="57">
        <f>66.8+53.2</f>
        <v>120</v>
      </c>
      <c r="N39" s="57">
        <f>66.4+51</f>
        <v>117.4</v>
      </c>
      <c r="O39" s="57">
        <f>66.5+51.6</f>
        <v>118.1</v>
      </c>
      <c r="P39" s="57">
        <v>114</v>
      </c>
      <c r="Q39" s="57">
        <f>62.2+52.8</f>
        <v>115</v>
      </c>
      <c r="R39" s="57">
        <f>65+52</f>
        <v>117</v>
      </c>
      <c r="S39" s="59">
        <f>63.6+51.8</f>
        <v>115.4</v>
      </c>
      <c r="T39" s="59">
        <f>51.4+71.2</f>
        <v>122.6</v>
      </c>
      <c r="U39" s="59">
        <f>50.6+61.8</f>
        <v>112.4</v>
      </c>
      <c r="V39" s="59">
        <f>50.4+64.6</f>
        <v>115</v>
      </c>
      <c r="W39" s="59">
        <f>61+49.6</f>
        <v>110.6</v>
      </c>
      <c r="X39" s="59">
        <v>107.5</v>
      </c>
      <c r="Y39" s="59">
        <f>58.6+49.5</f>
        <v>108.1</v>
      </c>
      <c r="Z39" s="59">
        <f>57+50.3</f>
        <v>107.3</v>
      </c>
      <c r="AA39" s="59">
        <f>64.8+50.4</f>
        <v>115.19999999999999</v>
      </c>
      <c r="AB39" s="59">
        <v>116</v>
      </c>
      <c r="AC39" s="59">
        <f>51.3+65.3</f>
        <v>116.6</v>
      </c>
      <c r="AD39" s="59">
        <f>51.5+63.2</f>
        <v>114.7</v>
      </c>
      <c r="AE39" s="59">
        <f>51.6+63.4</f>
        <v>115</v>
      </c>
      <c r="AF39" s="59">
        <f>51.7+64.3</f>
        <v>116</v>
      </c>
      <c r="AG39" s="55">
        <v>240</v>
      </c>
      <c r="AH39" s="48">
        <f t="shared" si="2"/>
        <v>125</v>
      </c>
      <c r="AI39" s="49">
        <f t="shared" si="3"/>
        <v>107.3</v>
      </c>
      <c r="AK39" s="50"/>
    </row>
    <row r="40" spans="1:88" ht="15.75" thickBot="1" x14ac:dyDescent="0.3">
      <c r="A40" s="60" t="s">
        <v>48</v>
      </c>
      <c r="B40" s="61">
        <f t="shared" ref="B40:AG40" si="4">SUM(B11:B38)</f>
        <v>639.29999999999995</v>
      </c>
      <c r="C40" s="61">
        <f t="shared" si="4"/>
        <v>639.29999999999995</v>
      </c>
      <c r="D40" s="61">
        <f t="shared" si="4"/>
        <v>639.29999999999995</v>
      </c>
      <c r="E40" s="61">
        <f t="shared" si="4"/>
        <v>639.29999999999995</v>
      </c>
      <c r="F40" s="61">
        <f t="shared" si="4"/>
        <v>639.29999999999995</v>
      </c>
      <c r="G40" s="61">
        <f t="shared" si="4"/>
        <v>659.3</v>
      </c>
      <c r="H40" s="61">
        <f t="shared" si="4"/>
        <v>646.70000000000005</v>
      </c>
      <c r="I40" s="61">
        <f t="shared" si="4"/>
        <v>659.7</v>
      </c>
      <c r="J40" s="61">
        <f t="shared" si="4"/>
        <v>668.7</v>
      </c>
      <c r="K40" s="61">
        <f t="shared" si="4"/>
        <v>700.7</v>
      </c>
      <c r="L40" s="61">
        <f t="shared" si="4"/>
        <v>702.7</v>
      </c>
      <c r="M40" s="61">
        <f t="shared" si="4"/>
        <v>702.3</v>
      </c>
      <c r="N40" s="61">
        <f t="shared" si="4"/>
        <v>702.3</v>
      </c>
      <c r="O40" s="61">
        <f t="shared" si="4"/>
        <v>695.7</v>
      </c>
      <c r="P40" s="61">
        <f t="shared" si="4"/>
        <v>702.3</v>
      </c>
      <c r="Q40" s="61">
        <f t="shared" si="4"/>
        <v>683.8</v>
      </c>
      <c r="R40" s="61">
        <f t="shared" si="4"/>
        <v>667.9</v>
      </c>
      <c r="S40" s="61">
        <f t="shared" si="4"/>
        <v>638.19999999999993</v>
      </c>
      <c r="T40" s="61">
        <f t="shared" si="4"/>
        <v>630.5</v>
      </c>
      <c r="U40" s="61">
        <f t="shared" si="4"/>
        <v>656.09999999999991</v>
      </c>
      <c r="V40" s="61">
        <f t="shared" si="4"/>
        <v>653.29999999999995</v>
      </c>
      <c r="W40" s="61">
        <f t="shared" si="4"/>
        <v>693</v>
      </c>
      <c r="X40" s="61">
        <f t="shared" si="4"/>
        <v>700.5</v>
      </c>
      <c r="Y40" s="61">
        <f t="shared" si="4"/>
        <v>700.5</v>
      </c>
      <c r="Z40" s="61">
        <f t="shared" si="4"/>
        <v>700.5</v>
      </c>
      <c r="AA40" s="61">
        <f t="shared" si="4"/>
        <v>700.5</v>
      </c>
      <c r="AB40" s="61">
        <f t="shared" si="4"/>
        <v>687.2</v>
      </c>
      <c r="AC40" s="61">
        <f t="shared" si="4"/>
        <v>667.2</v>
      </c>
      <c r="AD40" s="61">
        <f t="shared" si="4"/>
        <v>644.6</v>
      </c>
      <c r="AE40" s="61">
        <f t="shared" si="4"/>
        <v>640.29999999999995</v>
      </c>
      <c r="AF40" s="61">
        <f t="shared" si="4"/>
        <v>643.4</v>
      </c>
      <c r="AG40" s="62">
        <f t="shared" si="4"/>
        <v>707.78000000000009</v>
      </c>
      <c r="AH40" s="48">
        <f t="shared" si="2"/>
        <v>702.7</v>
      </c>
      <c r="AI40" s="49">
        <f t="shared" si="3"/>
        <v>630.5</v>
      </c>
      <c r="AK40" s="50"/>
    </row>
    <row r="41" spans="1:88" x14ac:dyDescent="0.25">
      <c r="A41" s="63" t="s">
        <v>49</v>
      </c>
      <c r="B41" s="45">
        <v>180</v>
      </c>
      <c r="C41" s="45">
        <v>230</v>
      </c>
      <c r="D41" s="45">
        <v>230</v>
      </c>
      <c r="E41" s="45">
        <v>230</v>
      </c>
      <c r="F41" s="45">
        <v>200</v>
      </c>
      <c r="G41" s="45">
        <v>190</v>
      </c>
      <c r="H41" s="45">
        <v>190</v>
      </c>
      <c r="I41" s="45">
        <v>210</v>
      </c>
      <c r="J41" s="45">
        <v>225</v>
      </c>
      <c r="K41" s="45">
        <v>240</v>
      </c>
      <c r="L41" s="45">
        <v>260</v>
      </c>
      <c r="M41" s="45">
        <v>300</v>
      </c>
      <c r="N41" s="45">
        <v>280</v>
      </c>
      <c r="O41" s="45">
        <v>270</v>
      </c>
      <c r="P41" s="45">
        <v>220</v>
      </c>
      <c r="Q41" s="45">
        <v>190</v>
      </c>
      <c r="R41" s="45">
        <v>180</v>
      </c>
      <c r="S41" s="45">
        <v>210</v>
      </c>
      <c r="T41" s="45">
        <v>200</v>
      </c>
      <c r="U41" s="45">
        <v>200</v>
      </c>
      <c r="V41" s="45">
        <v>220</v>
      </c>
      <c r="W41" s="45">
        <v>270</v>
      </c>
      <c r="X41" s="45">
        <v>390</v>
      </c>
      <c r="Y41" s="45">
        <v>360</v>
      </c>
      <c r="Z41" s="45">
        <v>320</v>
      </c>
      <c r="AA41" s="45">
        <v>280</v>
      </c>
      <c r="AB41" s="45">
        <v>250</v>
      </c>
      <c r="AC41" s="45">
        <v>220</v>
      </c>
      <c r="AD41" s="45">
        <v>180</v>
      </c>
      <c r="AE41" s="45">
        <v>140</v>
      </c>
      <c r="AF41" s="45">
        <v>190</v>
      </c>
      <c r="AG41" s="52">
        <v>456</v>
      </c>
      <c r="AH41" s="48">
        <f t="shared" si="2"/>
        <v>390</v>
      </c>
      <c r="AI41" s="49">
        <f t="shared" si="3"/>
        <v>140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22</v>
      </c>
      <c r="C43" s="67">
        <v>22</v>
      </c>
      <c r="D43" s="67">
        <v>22</v>
      </c>
      <c r="E43" s="67">
        <v>22</v>
      </c>
      <c r="F43" s="67">
        <v>22</v>
      </c>
      <c r="G43" s="67">
        <v>22</v>
      </c>
      <c r="H43" s="67">
        <v>22</v>
      </c>
      <c r="I43" s="67">
        <v>22</v>
      </c>
      <c r="J43" s="67">
        <v>22</v>
      </c>
      <c r="K43" s="67">
        <v>22</v>
      </c>
      <c r="L43" s="67"/>
      <c r="M43" s="67">
        <v>22</v>
      </c>
      <c r="N43" s="67">
        <v>22</v>
      </c>
      <c r="O43" s="67">
        <v>22</v>
      </c>
      <c r="P43" s="67">
        <v>22</v>
      </c>
      <c r="Q43" s="67">
        <v>22</v>
      </c>
      <c r="R43" s="67">
        <v>22</v>
      </c>
      <c r="S43" s="67">
        <v>22.4</v>
      </c>
      <c r="T43" s="67">
        <v>22.5</v>
      </c>
      <c r="U43" s="67">
        <v>22.5</v>
      </c>
      <c r="V43" s="67">
        <v>22.4</v>
      </c>
      <c r="W43" s="67">
        <v>22.4</v>
      </c>
      <c r="X43" s="67">
        <v>22.5</v>
      </c>
      <c r="Y43" s="67">
        <v>22.4</v>
      </c>
      <c r="Z43" s="67">
        <v>22.5</v>
      </c>
      <c r="AA43" s="67">
        <v>22.5</v>
      </c>
      <c r="AB43" s="67">
        <v>22.5</v>
      </c>
      <c r="AC43" s="67">
        <v>22.5</v>
      </c>
      <c r="AD43" s="67">
        <v>22.4</v>
      </c>
      <c r="AE43" s="67">
        <v>22.5</v>
      </c>
      <c r="AF43" s="67">
        <v>22.5</v>
      </c>
      <c r="AG43" s="68">
        <v>22.1</v>
      </c>
      <c r="AH43" s="48">
        <f t="shared" si="2"/>
        <v>22.5</v>
      </c>
      <c r="AI43" s="49">
        <f t="shared" si="3"/>
        <v>22</v>
      </c>
      <c r="AK43" s="50"/>
    </row>
    <row r="44" spans="1:88" ht="15.75" thickBot="1" x14ac:dyDescent="0.3">
      <c r="A44" s="69" t="s">
        <v>52</v>
      </c>
      <c r="B44" s="61">
        <f t="shared" ref="B44:AG44" si="5">SUM(B41:B43)</f>
        <v>262</v>
      </c>
      <c r="C44" s="61">
        <f t="shared" si="5"/>
        <v>312</v>
      </c>
      <c r="D44" s="61">
        <f t="shared" si="5"/>
        <v>312</v>
      </c>
      <c r="E44" s="61">
        <f t="shared" si="5"/>
        <v>312</v>
      </c>
      <c r="F44" s="61">
        <f t="shared" si="5"/>
        <v>282</v>
      </c>
      <c r="G44" s="61">
        <f t="shared" si="5"/>
        <v>272</v>
      </c>
      <c r="H44" s="61">
        <f t="shared" si="5"/>
        <v>272</v>
      </c>
      <c r="I44" s="61">
        <f t="shared" si="5"/>
        <v>292</v>
      </c>
      <c r="J44" s="61">
        <f t="shared" si="5"/>
        <v>307</v>
      </c>
      <c r="K44" s="61">
        <f t="shared" si="5"/>
        <v>322</v>
      </c>
      <c r="L44" s="61">
        <f t="shared" si="5"/>
        <v>320</v>
      </c>
      <c r="M44" s="61">
        <f t="shared" si="5"/>
        <v>382</v>
      </c>
      <c r="N44" s="61">
        <f t="shared" si="5"/>
        <v>362</v>
      </c>
      <c r="O44" s="61">
        <f t="shared" si="5"/>
        <v>352</v>
      </c>
      <c r="P44" s="61">
        <f t="shared" si="5"/>
        <v>302</v>
      </c>
      <c r="Q44" s="61">
        <f t="shared" si="5"/>
        <v>272</v>
      </c>
      <c r="R44" s="61">
        <f t="shared" si="5"/>
        <v>262</v>
      </c>
      <c r="S44" s="61">
        <f t="shared" si="5"/>
        <v>292.39999999999998</v>
      </c>
      <c r="T44" s="61">
        <f t="shared" si="5"/>
        <v>282.5</v>
      </c>
      <c r="U44" s="61">
        <f t="shared" si="5"/>
        <v>282.5</v>
      </c>
      <c r="V44" s="61">
        <f t="shared" si="5"/>
        <v>302.39999999999998</v>
      </c>
      <c r="W44" s="61">
        <f t="shared" si="5"/>
        <v>352.4</v>
      </c>
      <c r="X44" s="61">
        <f t="shared" si="5"/>
        <v>472.5</v>
      </c>
      <c r="Y44" s="61">
        <f t="shared" si="5"/>
        <v>442.4</v>
      </c>
      <c r="Z44" s="61">
        <f t="shared" si="5"/>
        <v>402.5</v>
      </c>
      <c r="AA44" s="61">
        <f t="shared" si="5"/>
        <v>362.5</v>
      </c>
      <c r="AB44" s="61">
        <f t="shared" si="5"/>
        <v>332.5</v>
      </c>
      <c r="AC44" s="61">
        <f t="shared" si="5"/>
        <v>302.5</v>
      </c>
      <c r="AD44" s="61">
        <f t="shared" si="5"/>
        <v>262.39999999999998</v>
      </c>
      <c r="AE44" s="61">
        <f t="shared" si="5"/>
        <v>222.5</v>
      </c>
      <c r="AF44" s="61">
        <f t="shared" si="5"/>
        <v>272.5</v>
      </c>
      <c r="AG44" s="62">
        <f t="shared" si="5"/>
        <v>538.1</v>
      </c>
      <c r="AH44" s="48">
        <f t="shared" si="2"/>
        <v>472.5</v>
      </c>
      <c r="AI44" s="49">
        <f t="shared" si="3"/>
        <v>222.5</v>
      </c>
      <c r="AK44" s="50"/>
    </row>
    <row r="45" spans="1:88" x14ac:dyDescent="0.25">
      <c r="A45" s="44" t="s">
        <v>53</v>
      </c>
      <c r="B45" s="45">
        <v>121</v>
      </c>
      <c r="C45" s="45">
        <v>112</v>
      </c>
      <c r="D45" s="45">
        <v>112</v>
      </c>
      <c r="E45" s="45">
        <v>112</v>
      </c>
      <c r="F45" s="45">
        <v>112</v>
      </c>
      <c r="G45" s="45">
        <v>124</v>
      </c>
      <c r="H45" s="45">
        <v>144</v>
      </c>
      <c r="I45" s="45">
        <v>144</v>
      </c>
      <c r="J45" s="45">
        <v>144</v>
      </c>
      <c r="K45" s="45">
        <v>144</v>
      </c>
      <c r="L45" s="45">
        <v>144</v>
      </c>
      <c r="M45" s="45">
        <v>144</v>
      </c>
      <c r="N45" s="45">
        <v>144</v>
      </c>
      <c r="O45" s="45">
        <v>144</v>
      </c>
      <c r="P45" s="45">
        <v>144</v>
      </c>
      <c r="Q45" s="45">
        <v>144</v>
      </c>
      <c r="R45" s="45">
        <v>144</v>
      </c>
      <c r="S45" s="45">
        <v>143.4</v>
      </c>
      <c r="T45" s="45">
        <v>143.5</v>
      </c>
      <c r="U45" s="45">
        <v>143.5</v>
      </c>
      <c r="V45" s="45">
        <v>143.5</v>
      </c>
      <c r="W45" s="45">
        <v>143.30000000000001</v>
      </c>
      <c r="X45" s="45">
        <v>143.30000000000001</v>
      </c>
      <c r="Y45" s="45">
        <v>143.30000000000001</v>
      </c>
      <c r="Z45" s="45">
        <v>143.30000000000001</v>
      </c>
      <c r="AA45" s="45">
        <v>143.30000000000001</v>
      </c>
      <c r="AB45" s="45">
        <v>143.30000000000001</v>
      </c>
      <c r="AC45" s="45">
        <v>143.6</v>
      </c>
      <c r="AD45" s="45">
        <v>143.4</v>
      </c>
      <c r="AE45" s="45">
        <v>143.1</v>
      </c>
      <c r="AF45" s="45">
        <v>112.6</v>
      </c>
      <c r="AG45" s="52">
        <v>144</v>
      </c>
      <c r="AH45" s="48">
        <f t="shared" si="2"/>
        <v>144</v>
      </c>
      <c r="AI45" s="49">
        <f t="shared" si="3"/>
        <v>112</v>
      </c>
      <c r="AK45" s="50"/>
    </row>
    <row r="46" spans="1:88" x14ac:dyDescent="0.25">
      <c r="A46" s="54" t="s">
        <v>54</v>
      </c>
      <c r="B46" s="65">
        <v>44</v>
      </c>
      <c r="C46" s="65">
        <v>50</v>
      </c>
      <c r="D46" s="65">
        <v>50</v>
      </c>
      <c r="E46" s="65">
        <v>50</v>
      </c>
      <c r="F46" s="65">
        <v>50</v>
      </c>
      <c r="G46" s="65">
        <v>70</v>
      </c>
      <c r="H46" s="65">
        <v>70</v>
      </c>
      <c r="I46" s="65">
        <v>70</v>
      </c>
      <c r="J46" s="65">
        <v>70</v>
      </c>
      <c r="K46" s="65">
        <v>70</v>
      </c>
      <c r="L46" s="65">
        <v>70</v>
      </c>
      <c r="M46" s="65">
        <v>70</v>
      </c>
      <c r="N46" s="65">
        <v>70</v>
      </c>
      <c r="O46" s="65">
        <v>70</v>
      </c>
      <c r="P46" s="45">
        <v>70</v>
      </c>
      <c r="Q46" s="45">
        <v>70</v>
      </c>
      <c r="R46" s="45">
        <v>70</v>
      </c>
      <c r="S46" s="65">
        <v>72.8</v>
      </c>
      <c r="T46" s="65">
        <v>72.7</v>
      </c>
      <c r="U46" s="65">
        <v>72.7</v>
      </c>
      <c r="V46" s="65">
        <v>72.7</v>
      </c>
      <c r="W46" s="65">
        <v>72.2</v>
      </c>
      <c r="X46" s="65">
        <v>73.5</v>
      </c>
      <c r="Y46" s="65">
        <v>73.5</v>
      </c>
      <c r="Z46" s="65">
        <v>73.5</v>
      </c>
      <c r="AA46" s="65">
        <v>73.5</v>
      </c>
      <c r="AB46" s="65">
        <v>73.5</v>
      </c>
      <c r="AC46" s="65">
        <v>71.599999999999994</v>
      </c>
      <c r="AD46" s="65">
        <v>70.5</v>
      </c>
      <c r="AE46" s="65">
        <v>70.5</v>
      </c>
      <c r="AF46" s="65">
        <v>50.2</v>
      </c>
      <c r="AG46" s="55">
        <v>70</v>
      </c>
      <c r="AH46" s="48">
        <f t="shared" si="2"/>
        <v>73.5</v>
      </c>
      <c r="AI46" s="49">
        <f t="shared" si="3"/>
        <v>44</v>
      </c>
      <c r="AK46" s="50"/>
    </row>
    <row r="47" spans="1:88" x14ac:dyDescent="0.25">
      <c r="A47" s="54" t="s">
        <v>55</v>
      </c>
      <c r="B47" s="65">
        <v>63.7</v>
      </c>
      <c r="C47" s="65">
        <v>62</v>
      </c>
      <c r="D47" s="65">
        <v>62</v>
      </c>
      <c r="E47" s="65">
        <v>52</v>
      </c>
      <c r="F47" s="65">
        <v>60</v>
      </c>
      <c r="G47" s="65">
        <v>70</v>
      </c>
      <c r="H47" s="65">
        <v>70</v>
      </c>
      <c r="I47" s="65">
        <v>70</v>
      </c>
      <c r="J47" s="65">
        <v>70</v>
      </c>
      <c r="K47" s="65">
        <v>70</v>
      </c>
      <c r="L47" s="65">
        <v>70</v>
      </c>
      <c r="M47" s="65">
        <v>70</v>
      </c>
      <c r="N47" s="65">
        <v>70</v>
      </c>
      <c r="O47" s="65">
        <v>70</v>
      </c>
      <c r="P47" s="45">
        <v>71.599999999999994</v>
      </c>
      <c r="Q47" s="45">
        <v>71.599999999999994</v>
      </c>
      <c r="R47" s="45">
        <v>71.599999999999994</v>
      </c>
      <c r="S47" s="65">
        <v>70.599999999999994</v>
      </c>
      <c r="T47" s="65">
        <v>71.2</v>
      </c>
      <c r="U47" s="65">
        <v>71.2</v>
      </c>
      <c r="V47" s="65">
        <v>71.2</v>
      </c>
      <c r="W47" s="65">
        <v>70.599999999999994</v>
      </c>
      <c r="X47" s="65">
        <v>70.599999999999994</v>
      </c>
      <c r="Y47" s="65">
        <v>70.599999999999994</v>
      </c>
      <c r="Z47" s="65">
        <v>70.599999999999994</v>
      </c>
      <c r="AA47" s="65">
        <v>70.599999999999994</v>
      </c>
      <c r="AB47" s="65">
        <v>70.599999999999994</v>
      </c>
      <c r="AC47" s="65">
        <v>70.900000000000006</v>
      </c>
      <c r="AD47" s="65">
        <v>70.400000000000006</v>
      </c>
      <c r="AE47" s="65">
        <v>70.599999999999994</v>
      </c>
      <c r="AF47" s="65">
        <v>71</v>
      </c>
      <c r="AG47" s="55">
        <v>69</v>
      </c>
      <c r="AH47" s="48">
        <f t="shared" si="2"/>
        <v>71.599999999999994</v>
      </c>
      <c r="AI47" s="49">
        <f t="shared" si="3"/>
        <v>52</v>
      </c>
      <c r="AK47" s="50"/>
    </row>
    <row r="48" spans="1:88" x14ac:dyDescent="0.25">
      <c r="A48" s="54" t="s">
        <v>56</v>
      </c>
      <c r="B48" s="57">
        <v>51.4</v>
      </c>
      <c r="C48" s="57">
        <v>51.4</v>
      </c>
      <c r="D48" s="57">
        <v>51.4</v>
      </c>
      <c r="E48" s="57">
        <v>51.4</v>
      </c>
      <c r="F48" s="57">
        <v>51.4</v>
      </c>
      <c r="G48" s="57">
        <v>51</v>
      </c>
      <c r="H48" s="57">
        <v>55</v>
      </c>
      <c r="I48" s="57">
        <v>60</v>
      </c>
      <c r="J48" s="57">
        <v>60</v>
      </c>
      <c r="K48" s="57">
        <v>60</v>
      </c>
      <c r="L48" s="57">
        <v>60</v>
      </c>
      <c r="M48" s="45">
        <v>60</v>
      </c>
      <c r="N48" s="45">
        <v>60</v>
      </c>
      <c r="O48" s="45">
        <v>0</v>
      </c>
      <c r="P48" s="45">
        <v>0</v>
      </c>
      <c r="Q48" s="45">
        <v>0</v>
      </c>
      <c r="R48" s="45">
        <v>0</v>
      </c>
      <c r="S48" s="45">
        <v>0</v>
      </c>
      <c r="T48" s="45">
        <v>0</v>
      </c>
      <c r="U48" s="45">
        <v>0</v>
      </c>
      <c r="V48" s="45">
        <v>60.4</v>
      </c>
      <c r="W48" s="65">
        <v>60.4</v>
      </c>
      <c r="X48" s="65">
        <v>60.4</v>
      </c>
      <c r="Y48" s="65">
        <v>60.4</v>
      </c>
      <c r="Z48" s="65">
        <v>60.4</v>
      </c>
      <c r="AA48" s="65">
        <v>60.4</v>
      </c>
      <c r="AB48" s="57">
        <v>60.4</v>
      </c>
      <c r="AC48" s="57">
        <v>60.4</v>
      </c>
      <c r="AD48" s="57">
        <v>60.4</v>
      </c>
      <c r="AE48" s="57">
        <v>51.4</v>
      </c>
      <c r="AF48" s="57">
        <v>39.299999999999997</v>
      </c>
      <c r="AG48" s="55">
        <v>60</v>
      </c>
      <c r="AH48" s="48">
        <f t="shared" si="2"/>
        <v>60.4</v>
      </c>
      <c r="AI48" s="49">
        <f t="shared" si="3"/>
        <v>0</v>
      </c>
      <c r="AK48" s="50"/>
    </row>
    <row r="49" spans="1:41" x14ac:dyDescent="0.25">
      <c r="A49" s="54" t="s">
        <v>57</v>
      </c>
      <c r="B49" s="57">
        <v>0</v>
      </c>
      <c r="C49" s="57">
        <v>0</v>
      </c>
      <c r="D49" s="57">
        <v>0</v>
      </c>
      <c r="E49" s="57">
        <v>0</v>
      </c>
      <c r="F49" s="57">
        <v>0</v>
      </c>
      <c r="G49" s="57">
        <v>13.5</v>
      </c>
      <c r="H49" s="57">
        <v>13.5</v>
      </c>
      <c r="I49" s="57">
        <v>13.5</v>
      </c>
      <c r="J49" s="57">
        <v>15</v>
      </c>
      <c r="K49" s="57">
        <v>15</v>
      </c>
      <c r="L49" s="57">
        <v>15</v>
      </c>
      <c r="M49" s="45">
        <v>30</v>
      </c>
      <c r="N49" s="45">
        <v>15</v>
      </c>
      <c r="O49" s="45">
        <v>30</v>
      </c>
      <c r="P49" s="45">
        <v>13</v>
      </c>
      <c r="Q49" s="45">
        <v>0</v>
      </c>
      <c r="R49" s="45">
        <v>0</v>
      </c>
      <c r="S49" s="45">
        <v>0</v>
      </c>
      <c r="T49" s="45">
        <v>13.6</v>
      </c>
      <c r="U49" s="45">
        <v>13.6</v>
      </c>
      <c r="V49" s="45">
        <v>13.6</v>
      </c>
      <c r="W49" s="65">
        <v>15.1</v>
      </c>
      <c r="X49" s="65">
        <v>29.8</v>
      </c>
      <c r="Y49" s="65">
        <v>29.8</v>
      </c>
      <c r="Z49" s="65">
        <v>29.8</v>
      </c>
      <c r="AA49" s="65">
        <v>29.8</v>
      </c>
      <c r="AB49" s="57">
        <v>15</v>
      </c>
      <c r="AC49" s="57">
        <v>15</v>
      </c>
      <c r="AD49" s="57">
        <v>14.8</v>
      </c>
      <c r="AE49" s="57">
        <v>0</v>
      </c>
      <c r="AF49" s="57">
        <v>0</v>
      </c>
      <c r="AG49" s="55">
        <v>30</v>
      </c>
      <c r="AH49" s="48">
        <f t="shared" si="2"/>
        <v>30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10</v>
      </c>
      <c r="N50" s="65">
        <v>10</v>
      </c>
      <c r="O50" s="65">
        <v>10</v>
      </c>
      <c r="P50" s="65">
        <v>10</v>
      </c>
      <c r="Q50" s="65">
        <v>10</v>
      </c>
      <c r="R50" s="65">
        <v>10</v>
      </c>
      <c r="S50" s="45">
        <v>10</v>
      </c>
      <c r="T50" s="45">
        <v>10</v>
      </c>
      <c r="U50" s="45">
        <v>10</v>
      </c>
      <c r="V50" s="45">
        <v>10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  <c r="AG50" s="55">
        <v>25</v>
      </c>
      <c r="AH50" s="48">
        <f t="shared" si="2"/>
        <v>10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12</v>
      </c>
      <c r="C51" s="65">
        <v>0</v>
      </c>
      <c r="D51" s="65">
        <v>0</v>
      </c>
      <c r="E51" s="65">
        <v>0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45">
        <v>0</v>
      </c>
      <c r="T51" s="45">
        <v>0</v>
      </c>
      <c r="U51" s="45">
        <v>0</v>
      </c>
      <c r="V51" s="45">
        <v>0</v>
      </c>
      <c r="W51" s="45">
        <v>0</v>
      </c>
      <c r="X51" s="45">
        <v>0</v>
      </c>
      <c r="Y51" s="45">
        <v>0</v>
      </c>
      <c r="Z51" s="45">
        <v>0</v>
      </c>
      <c r="AA51" s="45">
        <v>0</v>
      </c>
      <c r="AB51" s="65">
        <v>0</v>
      </c>
      <c r="AC51" s="65">
        <v>0</v>
      </c>
      <c r="AD51" s="65">
        <v>0</v>
      </c>
      <c r="AE51" s="65">
        <v>0</v>
      </c>
      <c r="AF51" s="65">
        <v>0</v>
      </c>
      <c r="AG51" s="55">
        <v>24</v>
      </c>
      <c r="AH51" s="48">
        <f t="shared" si="2"/>
        <v>12</v>
      </c>
      <c r="AI51" s="49">
        <f t="shared" si="3"/>
        <v>0</v>
      </c>
      <c r="AK51" s="50"/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11.5</v>
      </c>
      <c r="C53" s="65">
        <v>3</v>
      </c>
      <c r="D53" s="65">
        <v>3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  <c r="AG53" s="55">
        <v>14.1</v>
      </c>
      <c r="AH53" s="48">
        <f t="shared" si="2"/>
        <v>11.5</v>
      </c>
      <c r="AI53" s="49">
        <f t="shared" si="3"/>
        <v>0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7.2</v>
      </c>
      <c r="C54" s="65">
        <v>7.2</v>
      </c>
      <c r="D54" s="65">
        <v>7.2</v>
      </c>
      <c r="E54" s="65">
        <v>7.2</v>
      </c>
      <c r="F54" s="65">
        <v>7.2</v>
      </c>
      <c r="G54" s="65">
        <v>7.2</v>
      </c>
      <c r="H54" s="65">
        <v>7.2</v>
      </c>
      <c r="I54" s="65">
        <v>7.2</v>
      </c>
      <c r="J54" s="65">
        <v>7.2</v>
      </c>
      <c r="K54" s="65">
        <v>7.2</v>
      </c>
      <c r="L54" s="65">
        <v>7.2</v>
      </c>
      <c r="M54" s="65">
        <v>7.2</v>
      </c>
      <c r="N54" s="65">
        <v>7.2</v>
      </c>
      <c r="O54" s="65">
        <v>7.2</v>
      </c>
      <c r="P54" s="65">
        <v>7.2</v>
      </c>
      <c r="Q54" s="65">
        <v>7.2</v>
      </c>
      <c r="R54" s="65">
        <v>7.2</v>
      </c>
      <c r="S54" s="65">
        <v>10.8</v>
      </c>
      <c r="T54" s="65">
        <v>10.8</v>
      </c>
      <c r="U54" s="65">
        <v>10.8</v>
      </c>
      <c r="V54" s="65">
        <v>10.8</v>
      </c>
      <c r="W54" s="65">
        <v>14</v>
      </c>
      <c r="X54" s="65">
        <v>14</v>
      </c>
      <c r="Y54" s="65">
        <v>14</v>
      </c>
      <c r="Z54" s="65">
        <v>14</v>
      </c>
      <c r="AA54" s="65">
        <v>14</v>
      </c>
      <c r="AB54" s="65">
        <v>7</v>
      </c>
      <c r="AC54" s="65">
        <v>7.1</v>
      </c>
      <c r="AD54" s="65">
        <v>7.1</v>
      </c>
      <c r="AE54" s="65">
        <v>7.1</v>
      </c>
      <c r="AF54" s="65">
        <v>11.9</v>
      </c>
      <c r="AG54" s="55">
        <v>14</v>
      </c>
      <c r="AH54" s="48">
        <f t="shared" si="2"/>
        <v>14</v>
      </c>
      <c r="AI54" s="49">
        <f t="shared" si="3"/>
        <v>7</v>
      </c>
      <c r="AK54" s="50"/>
    </row>
    <row r="55" spans="1:41" x14ac:dyDescent="0.25">
      <c r="A55" s="54" t="s">
        <v>63</v>
      </c>
      <c r="B55" s="65">
        <v>9.5</v>
      </c>
      <c r="C55" s="65">
        <v>9.5</v>
      </c>
      <c r="D55" s="65">
        <v>9.5</v>
      </c>
      <c r="E55" s="65">
        <v>9.5</v>
      </c>
      <c r="F55" s="65">
        <v>9.5</v>
      </c>
      <c r="G55" s="65">
        <v>9.5</v>
      </c>
      <c r="H55" s="65">
        <v>9.5</v>
      </c>
      <c r="I55" s="65">
        <v>9.5</v>
      </c>
      <c r="J55" s="65">
        <v>9.5</v>
      </c>
      <c r="K55" s="65">
        <v>9.5</v>
      </c>
      <c r="L55" s="65">
        <v>9.5</v>
      </c>
      <c r="M55" s="65">
        <v>0</v>
      </c>
      <c r="N55" s="65">
        <v>0</v>
      </c>
      <c r="O55" s="65">
        <v>9.5</v>
      </c>
      <c r="P55" s="65">
        <v>9.5</v>
      </c>
      <c r="Q55" s="65">
        <v>9.5</v>
      </c>
      <c r="R55" s="65">
        <v>9.5</v>
      </c>
      <c r="S55" s="65">
        <v>9.5</v>
      </c>
      <c r="T55" s="65">
        <v>9.5</v>
      </c>
      <c r="U55" s="65">
        <v>9.5</v>
      </c>
      <c r="V55" s="65">
        <v>9.5</v>
      </c>
      <c r="W55" s="65">
        <v>9.5</v>
      </c>
      <c r="X55" s="65">
        <v>9.5</v>
      </c>
      <c r="Y55" s="65">
        <v>9.5</v>
      </c>
      <c r="Z55" s="65">
        <v>9.5</v>
      </c>
      <c r="AA55" s="65">
        <v>9.5</v>
      </c>
      <c r="AB55" s="65">
        <v>9.5</v>
      </c>
      <c r="AC55" s="65">
        <v>9.5</v>
      </c>
      <c r="AD55" s="65">
        <v>9.5</v>
      </c>
      <c r="AE55" s="65">
        <v>9.5</v>
      </c>
      <c r="AF55" s="65">
        <v>9.5</v>
      </c>
      <c r="AG55" s="55">
        <v>10.050000000000001</v>
      </c>
      <c r="AH55" s="48">
        <f t="shared" si="2"/>
        <v>9.5</v>
      </c>
      <c r="AI55" s="49">
        <f t="shared" si="3"/>
        <v>0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:AG58" si="6">SUM(B45:B57)</f>
        <v>330.03999999999996</v>
      </c>
      <c r="C58" s="61">
        <f t="shared" si="6"/>
        <v>304.83999999999997</v>
      </c>
      <c r="D58" s="61">
        <f t="shared" si="6"/>
        <v>304.83999999999997</v>
      </c>
      <c r="E58" s="61">
        <f t="shared" si="6"/>
        <v>291.83999999999997</v>
      </c>
      <c r="F58" s="61">
        <f t="shared" si="6"/>
        <v>299.83999999999997</v>
      </c>
      <c r="G58" s="61">
        <f t="shared" si="6"/>
        <v>354.94</v>
      </c>
      <c r="H58" s="61">
        <f t="shared" si="6"/>
        <v>378.94</v>
      </c>
      <c r="I58" s="61">
        <f t="shared" si="6"/>
        <v>383.94</v>
      </c>
      <c r="J58" s="61">
        <f t="shared" si="6"/>
        <v>385.44</v>
      </c>
      <c r="K58" s="61">
        <f t="shared" si="6"/>
        <v>385.44</v>
      </c>
      <c r="L58" s="61">
        <f t="shared" si="6"/>
        <v>385.44</v>
      </c>
      <c r="M58" s="61">
        <f t="shared" si="6"/>
        <v>400.94</v>
      </c>
      <c r="N58" s="61">
        <f t="shared" si="6"/>
        <v>385.94</v>
      </c>
      <c r="O58" s="61">
        <f t="shared" si="6"/>
        <v>350.44</v>
      </c>
      <c r="P58" s="61">
        <f t="shared" si="6"/>
        <v>335.04</v>
      </c>
      <c r="Q58" s="61">
        <f t="shared" si="6"/>
        <v>322.04000000000002</v>
      </c>
      <c r="R58" s="61">
        <f t="shared" si="6"/>
        <v>322.04000000000002</v>
      </c>
      <c r="S58" s="61">
        <f t="shared" si="6"/>
        <v>326.83999999999997</v>
      </c>
      <c r="T58" s="61">
        <f t="shared" si="6"/>
        <v>341.04</v>
      </c>
      <c r="U58" s="61">
        <f t="shared" si="6"/>
        <v>341.04</v>
      </c>
      <c r="V58" s="61">
        <f t="shared" si="6"/>
        <v>401.44</v>
      </c>
      <c r="W58" s="61">
        <f t="shared" si="6"/>
        <v>394.84000000000003</v>
      </c>
      <c r="X58" s="61">
        <f t="shared" si="6"/>
        <v>410.84</v>
      </c>
      <c r="Y58" s="61">
        <f t="shared" si="6"/>
        <v>410.84</v>
      </c>
      <c r="Z58" s="61">
        <f t="shared" si="6"/>
        <v>410.84</v>
      </c>
      <c r="AA58" s="61">
        <f t="shared" si="6"/>
        <v>410.84</v>
      </c>
      <c r="AB58" s="61">
        <f t="shared" si="6"/>
        <v>389.03999999999996</v>
      </c>
      <c r="AC58" s="61">
        <f t="shared" si="6"/>
        <v>387.84000000000003</v>
      </c>
      <c r="AD58" s="61">
        <f t="shared" si="6"/>
        <v>385.84000000000003</v>
      </c>
      <c r="AE58" s="61">
        <f t="shared" si="6"/>
        <v>361.94</v>
      </c>
      <c r="AF58" s="61">
        <f t="shared" si="6"/>
        <v>304.24</v>
      </c>
      <c r="AG58" s="62">
        <f t="shared" si="6"/>
        <v>489.91</v>
      </c>
      <c r="AH58" s="48">
        <f t="shared" si="2"/>
        <v>410.84</v>
      </c>
      <c r="AI58" s="49">
        <f t="shared" si="3"/>
        <v>291.83999999999997</v>
      </c>
      <c r="AK58" s="50"/>
    </row>
    <row r="59" spans="1:41" x14ac:dyDescent="0.25">
      <c r="A59" s="44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67">
        <v>0</v>
      </c>
      <c r="AB61" s="67">
        <v>0</v>
      </c>
      <c r="AC61" s="67">
        <v>0</v>
      </c>
      <c r="AD61" s="67">
        <v>0</v>
      </c>
      <c r="AE61" s="67">
        <v>0</v>
      </c>
      <c r="AF61" s="67">
        <v>0</v>
      </c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AG62" si="7">SUM(B59:B61)</f>
        <v>0</v>
      </c>
      <c r="C62" s="61">
        <f t="shared" si="7"/>
        <v>0</v>
      </c>
      <c r="D62" s="61">
        <f t="shared" si="7"/>
        <v>0</v>
      </c>
      <c r="E62" s="61">
        <f t="shared" si="7"/>
        <v>0</v>
      </c>
      <c r="F62" s="61">
        <f t="shared" si="7"/>
        <v>0</v>
      </c>
      <c r="G62" s="61">
        <f t="shared" si="7"/>
        <v>0</v>
      </c>
      <c r="H62" s="61">
        <f t="shared" si="7"/>
        <v>0</v>
      </c>
      <c r="I62" s="61">
        <f t="shared" si="7"/>
        <v>0</v>
      </c>
      <c r="J62" s="61">
        <f t="shared" si="7"/>
        <v>0</v>
      </c>
      <c r="K62" s="61">
        <f t="shared" si="7"/>
        <v>0</v>
      </c>
      <c r="L62" s="61">
        <f t="shared" si="7"/>
        <v>0</v>
      </c>
      <c r="M62" s="61">
        <f t="shared" si="7"/>
        <v>0</v>
      </c>
      <c r="N62" s="61">
        <f t="shared" si="7"/>
        <v>0</v>
      </c>
      <c r="O62" s="61">
        <f t="shared" si="7"/>
        <v>0</v>
      </c>
      <c r="P62" s="61">
        <f t="shared" si="7"/>
        <v>0</v>
      </c>
      <c r="Q62" s="61">
        <f t="shared" si="7"/>
        <v>0</v>
      </c>
      <c r="R62" s="61">
        <f t="shared" si="7"/>
        <v>0</v>
      </c>
      <c r="S62" s="61">
        <f t="shared" si="7"/>
        <v>0</v>
      </c>
      <c r="T62" s="61">
        <f t="shared" si="7"/>
        <v>0</v>
      </c>
      <c r="U62" s="61">
        <f t="shared" si="7"/>
        <v>0</v>
      </c>
      <c r="V62" s="61">
        <f t="shared" si="7"/>
        <v>0</v>
      </c>
      <c r="W62" s="61">
        <f t="shared" si="7"/>
        <v>0</v>
      </c>
      <c r="X62" s="61">
        <f t="shared" si="7"/>
        <v>0</v>
      </c>
      <c r="Y62" s="61">
        <f t="shared" si="7"/>
        <v>0</v>
      </c>
      <c r="Z62" s="61">
        <f t="shared" si="7"/>
        <v>0</v>
      </c>
      <c r="AA62" s="61">
        <f t="shared" si="7"/>
        <v>0</v>
      </c>
      <c r="AB62" s="61">
        <f t="shared" si="7"/>
        <v>0</v>
      </c>
      <c r="AC62" s="61">
        <f t="shared" si="7"/>
        <v>0</v>
      </c>
      <c r="AD62" s="61">
        <f t="shared" si="7"/>
        <v>0</v>
      </c>
      <c r="AE62" s="61">
        <f t="shared" si="7"/>
        <v>0</v>
      </c>
      <c r="AF62" s="61">
        <f t="shared" si="7"/>
        <v>0</v>
      </c>
      <c r="AG62" s="62">
        <f t="shared" si="7"/>
        <v>106</v>
      </c>
      <c r="AH62" s="48">
        <f t="shared" si="2"/>
        <v>0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-300</v>
      </c>
      <c r="C65" s="65">
        <v>-352</v>
      </c>
      <c r="D65" s="65">
        <v>-366</v>
      </c>
      <c r="E65" s="65">
        <v>-360</v>
      </c>
      <c r="F65" s="65">
        <v>-309</v>
      </c>
      <c r="G65" s="65">
        <v>-324</v>
      </c>
      <c r="H65" s="65">
        <v>-316</v>
      </c>
      <c r="I65" s="65">
        <v>-340</v>
      </c>
      <c r="J65" s="65">
        <v>-320</v>
      </c>
      <c r="K65" s="65">
        <v>-310</v>
      </c>
      <c r="L65" s="65">
        <v>-310</v>
      </c>
      <c r="M65" s="65">
        <v>-350</v>
      </c>
      <c r="N65" s="65">
        <v>-325</v>
      </c>
      <c r="O65" s="65">
        <v>-319</v>
      </c>
      <c r="P65" s="65">
        <v>-307</v>
      </c>
      <c r="Q65" s="65">
        <v>-313</v>
      </c>
      <c r="R65" s="65">
        <v>-323</v>
      </c>
      <c r="S65" s="65">
        <v>-312</v>
      </c>
      <c r="T65" s="65">
        <v>-297</v>
      </c>
      <c r="U65" s="65">
        <v>-267</v>
      </c>
      <c r="V65" s="65">
        <v>-301.10000000000002</v>
      </c>
      <c r="W65" s="65">
        <v>-300</v>
      </c>
      <c r="X65" s="65">
        <v>-313.3</v>
      </c>
      <c r="Y65" s="65">
        <v>-296</v>
      </c>
      <c r="Z65" s="65">
        <v>-331</v>
      </c>
      <c r="AA65" s="65">
        <v>-340</v>
      </c>
      <c r="AB65" s="65">
        <v>-349.4</v>
      </c>
      <c r="AC65" s="65">
        <v>-355</v>
      </c>
      <c r="AD65" s="65">
        <v>-351</v>
      </c>
      <c r="AE65" s="65">
        <v>-354.1</v>
      </c>
      <c r="AF65" s="65">
        <v>-346.5</v>
      </c>
      <c r="AG65" s="75"/>
      <c r="AH65" s="48">
        <f t="shared" si="2"/>
        <v>-267</v>
      </c>
      <c r="AI65" s="49">
        <f t="shared" si="3"/>
        <v>-366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>
        <v>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7">
        <v>0</v>
      </c>
      <c r="AF70" s="77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7">
        <v>0</v>
      </c>
      <c r="AF71" s="77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9">
        <v>0</v>
      </c>
      <c r="C72" s="79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7">
        <v>0</v>
      </c>
      <c r="AF72" s="77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9">
        <v>0</v>
      </c>
      <c r="C73" s="79">
        <v>0</v>
      </c>
      <c r="D73" s="79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7">
        <v>0</v>
      </c>
      <c r="AF73" s="77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:AF74" si="8">SUMIF(B63:B73,"&gt;0")</f>
        <v>0</v>
      </c>
      <c r="C74" s="61">
        <f t="shared" si="8"/>
        <v>0</v>
      </c>
      <c r="D74" s="61">
        <f t="shared" si="8"/>
        <v>0</v>
      </c>
      <c r="E74" s="61">
        <f t="shared" si="8"/>
        <v>0</v>
      </c>
      <c r="F74" s="61">
        <f t="shared" si="8"/>
        <v>0</v>
      </c>
      <c r="G74" s="61">
        <f t="shared" si="8"/>
        <v>0</v>
      </c>
      <c r="H74" s="61">
        <f t="shared" si="8"/>
        <v>0</v>
      </c>
      <c r="I74" s="61">
        <f t="shared" si="8"/>
        <v>0</v>
      </c>
      <c r="J74" s="61">
        <f t="shared" si="8"/>
        <v>0</v>
      </c>
      <c r="K74" s="61">
        <f t="shared" si="8"/>
        <v>0</v>
      </c>
      <c r="L74" s="61">
        <f t="shared" si="8"/>
        <v>0</v>
      </c>
      <c r="M74" s="61">
        <f t="shared" si="8"/>
        <v>0</v>
      </c>
      <c r="N74" s="61">
        <f t="shared" si="8"/>
        <v>0</v>
      </c>
      <c r="O74" s="61">
        <f t="shared" si="8"/>
        <v>0</v>
      </c>
      <c r="P74" s="61">
        <f t="shared" si="8"/>
        <v>0</v>
      </c>
      <c r="Q74" s="61">
        <f t="shared" si="8"/>
        <v>0</v>
      </c>
      <c r="R74" s="61">
        <f t="shared" si="8"/>
        <v>0</v>
      </c>
      <c r="S74" s="61">
        <f t="shared" si="8"/>
        <v>0</v>
      </c>
      <c r="T74" s="61">
        <f t="shared" si="8"/>
        <v>0</v>
      </c>
      <c r="U74" s="61">
        <f t="shared" si="8"/>
        <v>0</v>
      </c>
      <c r="V74" s="61">
        <f t="shared" si="8"/>
        <v>0</v>
      </c>
      <c r="W74" s="61">
        <f t="shared" si="8"/>
        <v>0</v>
      </c>
      <c r="X74" s="61">
        <f t="shared" si="8"/>
        <v>0</v>
      </c>
      <c r="Y74" s="61">
        <f t="shared" si="8"/>
        <v>0</v>
      </c>
      <c r="Z74" s="61">
        <f t="shared" si="8"/>
        <v>0</v>
      </c>
      <c r="AA74" s="61">
        <f t="shared" si="8"/>
        <v>0</v>
      </c>
      <c r="AB74" s="61">
        <f t="shared" si="8"/>
        <v>0</v>
      </c>
      <c r="AC74" s="61">
        <f t="shared" si="8"/>
        <v>0</v>
      </c>
      <c r="AD74" s="61">
        <f t="shared" si="8"/>
        <v>0</v>
      </c>
      <c r="AE74" s="61">
        <f t="shared" si="8"/>
        <v>0</v>
      </c>
      <c r="AF74" s="61">
        <f t="shared" si="8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44" t="s">
        <v>83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75">
        <v>14.4</v>
      </c>
      <c r="AH76" s="48">
        <f t="shared" ref="AH76:AH109" si="9">MAX(B76:AF76)</f>
        <v>0</v>
      </c>
      <c r="AI76" s="49">
        <f t="shared" ref="AI76:AI109" si="10">MIN(B76:AF76)</f>
        <v>0</v>
      </c>
      <c r="AK76" s="50"/>
    </row>
    <row r="77" spans="1:37" ht="15.75" thickBot="1" x14ac:dyDescent="0.3">
      <c r="A77" s="78" t="s">
        <v>85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79">
        <v>0</v>
      </c>
      <c r="AC77" s="79">
        <v>0</v>
      </c>
      <c r="AD77" s="79">
        <v>0</v>
      </c>
      <c r="AE77" s="79">
        <v>0</v>
      </c>
      <c r="AF77" s="79">
        <v>0</v>
      </c>
      <c r="AG77" s="80">
        <v>2</v>
      </c>
      <c r="AH77" s="48">
        <f t="shared" si="9"/>
        <v>0</v>
      </c>
      <c r="AI77" s="49">
        <f t="shared" si="10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9"/>
        <v>0</v>
      </c>
      <c r="AI78" s="49">
        <f t="shared" si="10"/>
        <v>0</v>
      </c>
    </row>
    <row r="79" spans="1:37" ht="15.75" thickBot="1" x14ac:dyDescent="0.3">
      <c r="A79" s="74" t="s">
        <v>87</v>
      </c>
      <c r="B79" s="83">
        <f t="shared" ref="B79:AG79" si="11">B40+B44+B62+B58+B74+B78</f>
        <v>1231.3399999999999</v>
      </c>
      <c r="C79" s="83">
        <f t="shared" si="11"/>
        <v>1256.1399999999999</v>
      </c>
      <c r="D79" s="83">
        <f t="shared" si="11"/>
        <v>1256.1399999999999</v>
      </c>
      <c r="E79" s="83">
        <f t="shared" si="11"/>
        <v>1243.1399999999999</v>
      </c>
      <c r="F79" s="83">
        <f t="shared" si="11"/>
        <v>1221.1399999999999</v>
      </c>
      <c r="G79" s="83">
        <f t="shared" si="11"/>
        <v>1286.24</v>
      </c>
      <c r="H79" s="83">
        <f t="shared" si="11"/>
        <v>1297.6400000000001</v>
      </c>
      <c r="I79" s="83">
        <f t="shared" si="11"/>
        <v>1335.64</v>
      </c>
      <c r="J79" s="83">
        <f t="shared" si="11"/>
        <v>1361.14</v>
      </c>
      <c r="K79" s="83">
        <f t="shared" si="11"/>
        <v>1408.14</v>
      </c>
      <c r="L79" s="83">
        <f t="shared" si="11"/>
        <v>1408.14</v>
      </c>
      <c r="M79" s="83">
        <f t="shared" si="11"/>
        <v>1485.24</v>
      </c>
      <c r="N79" s="83">
        <f t="shared" si="11"/>
        <v>1450.24</v>
      </c>
      <c r="O79" s="83">
        <f t="shared" si="11"/>
        <v>1398.14</v>
      </c>
      <c r="P79" s="83">
        <f t="shared" si="11"/>
        <v>1339.34</v>
      </c>
      <c r="Q79" s="83">
        <f t="shared" si="11"/>
        <v>1277.8399999999999</v>
      </c>
      <c r="R79" s="83">
        <f t="shared" si="11"/>
        <v>1251.94</v>
      </c>
      <c r="S79" s="83">
        <f t="shared" si="11"/>
        <v>1257.4399999999998</v>
      </c>
      <c r="T79" s="83">
        <f t="shared" si="11"/>
        <v>1254.04</v>
      </c>
      <c r="U79" s="83">
        <f t="shared" si="11"/>
        <v>1279.6399999999999</v>
      </c>
      <c r="V79" s="83">
        <f t="shared" si="11"/>
        <v>1357.1399999999999</v>
      </c>
      <c r="W79" s="83">
        <f t="shared" si="11"/>
        <v>1440.2400000000002</v>
      </c>
      <c r="X79" s="83">
        <f t="shared" si="11"/>
        <v>1583.84</v>
      </c>
      <c r="Y79" s="83">
        <f t="shared" si="11"/>
        <v>1553.74</v>
      </c>
      <c r="Z79" s="83">
        <f t="shared" si="11"/>
        <v>1513.84</v>
      </c>
      <c r="AA79" s="83">
        <f t="shared" si="11"/>
        <v>1473.84</v>
      </c>
      <c r="AB79" s="83">
        <f t="shared" si="11"/>
        <v>1408.74</v>
      </c>
      <c r="AC79" s="83">
        <f t="shared" si="11"/>
        <v>1357.54</v>
      </c>
      <c r="AD79" s="83">
        <f t="shared" si="11"/>
        <v>1292.8400000000001</v>
      </c>
      <c r="AE79" s="83">
        <f t="shared" si="11"/>
        <v>1224.74</v>
      </c>
      <c r="AF79" s="83">
        <f t="shared" si="11"/>
        <v>1220.1399999999999</v>
      </c>
      <c r="AG79" s="62">
        <f t="shared" si="11"/>
        <v>1897.1900000000003</v>
      </c>
      <c r="AH79" s="48">
        <f t="shared" si="9"/>
        <v>1583.84</v>
      </c>
      <c r="AI79" s="49">
        <f t="shared" si="10"/>
        <v>1220.1399999999999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9"/>
        <v>0</v>
      </c>
      <c r="AI80" s="49">
        <f t="shared" si="10"/>
        <v>0</v>
      </c>
    </row>
    <row r="81" spans="1:37" ht="15.75" thickBot="1" x14ac:dyDescent="0.3">
      <c r="A81" s="74" t="s">
        <v>89</v>
      </c>
      <c r="B81" s="83">
        <f t="shared" ref="B81:AF81" si="12">B79+B80</f>
        <v>1231.3399999999999</v>
      </c>
      <c r="C81" s="83">
        <f t="shared" si="12"/>
        <v>1256.1399999999999</v>
      </c>
      <c r="D81" s="83">
        <f t="shared" si="12"/>
        <v>1256.1399999999999</v>
      </c>
      <c r="E81" s="83">
        <f t="shared" si="12"/>
        <v>1243.1399999999999</v>
      </c>
      <c r="F81" s="83">
        <f t="shared" si="12"/>
        <v>1221.1399999999999</v>
      </c>
      <c r="G81" s="83">
        <f t="shared" si="12"/>
        <v>1286.24</v>
      </c>
      <c r="H81" s="83">
        <f t="shared" si="12"/>
        <v>1297.6400000000001</v>
      </c>
      <c r="I81" s="83">
        <f t="shared" si="12"/>
        <v>1335.64</v>
      </c>
      <c r="J81" s="83">
        <f t="shared" si="12"/>
        <v>1361.14</v>
      </c>
      <c r="K81" s="83">
        <f t="shared" si="12"/>
        <v>1408.14</v>
      </c>
      <c r="L81" s="83">
        <f t="shared" si="12"/>
        <v>1408.14</v>
      </c>
      <c r="M81" s="83">
        <f t="shared" si="12"/>
        <v>1485.24</v>
      </c>
      <c r="N81" s="83">
        <f t="shared" si="12"/>
        <v>1450.24</v>
      </c>
      <c r="O81" s="83">
        <f t="shared" si="12"/>
        <v>1398.14</v>
      </c>
      <c r="P81" s="83">
        <f t="shared" si="12"/>
        <v>1339.34</v>
      </c>
      <c r="Q81" s="83">
        <f t="shared" si="12"/>
        <v>1277.8399999999999</v>
      </c>
      <c r="R81" s="83">
        <f t="shared" si="12"/>
        <v>1251.94</v>
      </c>
      <c r="S81" s="83">
        <f t="shared" si="12"/>
        <v>1257.4399999999998</v>
      </c>
      <c r="T81" s="83">
        <f t="shared" si="12"/>
        <v>1254.04</v>
      </c>
      <c r="U81" s="83">
        <f t="shared" si="12"/>
        <v>1279.6399999999999</v>
      </c>
      <c r="V81" s="83">
        <f t="shared" si="12"/>
        <v>1357.1399999999999</v>
      </c>
      <c r="W81" s="83">
        <f t="shared" si="12"/>
        <v>1440.2400000000002</v>
      </c>
      <c r="X81" s="83">
        <f t="shared" si="12"/>
        <v>1583.84</v>
      </c>
      <c r="Y81" s="83">
        <f t="shared" si="12"/>
        <v>1553.74</v>
      </c>
      <c r="Z81" s="83">
        <f t="shared" si="12"/>
        <v>1513.84</v>
      </c>
      <c r="AA81" s="83">
        <f t="shared" si="12"/>
        <v>1473.84</v>
      </c>
      <c r="AB81" s="83">
        <f t="shared" si="12"/>
        <v>1408.74</v>
      </c>
      <c r="AC81" s="83">
        <f t="shared" si="12"/>
        <v>1357.54</v>
      </c>
      <c r="AD81" s="83">
        <f t="shared" si="12"/>
        <v>1292.8400000000001</v>
      </c>
      <c r="AE81" s="83">
        <f t="shared" si="12"/>
        <v>1224.74</v>
      </c>
      <c r="AF81" s="83">
        <f t="shared" si="12"/>
        <v>1220.1399999999999</v>
      </c>
      <c r="AG81" s="81">
        <f>AG78+AG74+AG62+AG58+AG40+AG80</f>
        <v>1359.0900000000001</v>
      </c>
      <c r="AH81" s="48">
        <f t="shared" si="9"/>
        <v>1583.84</v>
      </c>
      <c r="AI81" s="49">
        <f t="shared" si="10"/>
        <v>1220.1399999999999</v>
      </c>
    </row>
    <row r="82" spans="1:37" ht="15.75" thickBot="1" x14ac:dyDescent="0.3">
      <c r="A82" s="74" t="s">
        <v>90</v>
      </c>
      <c r="B82" s="83">
        <f t="shared" ref="B82:AF82" si="13">B81-B89</f>
        <v>931.33999999999992</v>
      </c>
      <c r="C82" s="83">
        <f t="shared" si="13"/>
        <v>904.13999999999987</v>
      </c>
      <c r="D82" s="83">
        <f t="shared" si="13"/>
        <v>890.13999999999987</v>
      </c>
      <c r="E82" s="83">
        <f t="shared" si="13"/>
        <v>883.13999999999987</v>
      </c>
      <c r="F82" s="83">
        <f t="shared" si="13"/>
        <v>912.13999999999987</v>
      </c>
      <c r="G82" s="83">
        <f t="shared" si="13"/>
        <v>962.24</v>
      </c>
      <c r="H82" s="83">
        <f t="shared" si="13"/>
        <v>981.6400000000001</v>
      </c>
      <c r="I82" s="83">
        <f t="shared" si="13"/>
        <v>995.6400000000001</v>
      </c>
      <c r="J82" s="83">
        <f t="shared" si="13"/>
        <v>1041.1400000000001</v>
      </c>
      <c r="K82" s="83">
        <f t="shared" si="13"/>
        <v>1098.1400000000001</v>
      </c>
      <c r="L82" s="83">
        <f t="shared" si="13"/>
        <v>1098.1400000000001</v>
      </c>
      <c r="M82" s="83">
        <f t="shared" si="13"/>
        <v>1135.24</v>
      </c>
      <c r="N82" s="83">
        <f t="shared" si="13"/>
        <v>1125.24</v>
      </c>
      <c r="O82" s="83">
        <f t="shared" si="13"/>
        <v>1079.1400000000001</v>
      </c>
      <c r="P82" s="83">
        <f t="shared" si="13"/>
        <v>1032.3399999999999</v>
      </c>
      <c r="Q82" s="83">
        <f t="shared" si="13"/>
        <v>964.83999999999992</v>
      </c>
      <c r="R82" s="83">
        <f t="shared" si="13"/>
        <v>928.94</v>
      </c>
      <c r="S82" s="83">
        <f t="shared" si="13"/>
        <v>945.43999999999983</v>
      </c>
      <c r="T82" s="83">
        <f t="shared" si="13"/>
        <v>957.04</v>
      </c>
      <c r="U82" s="83">
        <f t="shared" si="13"/>
        <v>1012.6399999999999</v>
      </c>
      <c r="V82" s="83">
        <f t="shared" si="13"/>
        <v>1056.04</v>
      </c>
      <c r="W82" s="83">
        <f t="shared" si="13"/>
        <v>1140.2400000000002</v>
      </c>
      <c r="X82" s="83">
        <f t="shared" si="13"/>
        <v>1270.54</v>
      </c>
      <c r="Y82" s="83">
        <f t="shared" si="13"/>
        <v>1257.74</v>
      </c>
      <c r="Z82" s="83">
        <f t="shared" si="13"/>
        <v>1182.8399999999999</v>
      </c>
      <c r="AA82" s="83">
        <f t="shared" si="13"/>
        <v>1133.8399999999999</v>
      </c>
      <c r="AB82" s="83">
        <f t="shared" si="13"/>
        <v>1059.3400000000001</v>
      </c>
      <c r="AC82" s="83">
        <f t="shared" si="13"/>
        <v>1002.54</v>
      </c>
      <c r="AD82" s="83">
        <f t="shared" si="13"/>
        <v>941.84000000000015</v>
      </c>
      <c r="AE82" s="83">
        <f t="shared" si="13"/>
        <v>870.64</v>
      </c>
      <c r="AF82" s="83">
        <f t="shared" si="13"/>
        <v>873.63999999999987</v>
      </c>
      <c r="AG82" s="81"/>
      <c r="AH82" s="48">
        <f t="shared" si="9"/>
        <v>1270.54</v>
      </c>
      <c r="AI82" s="49">
        <f t="shared" si="10"/>
        <v>870.64</v>
      </c>
    </row>
    <row r="83" spans="1:37" x14ac:dyDescent="0.25">
      <c r="A83" s="44" t="s">
        <v>74</v>
      </c>
      <c r="B83" s="76">
        <f t="shared" ref="B83:AF83" si="14">IF(B66&lt;0,B66*-1,0)</f>
        <v>0</v>
      </c>
      <c r="C83" s="76">
        <f t="shared" si="14"/>
        <v>0</v>
      </c>
      <c r="D83" s="76">
        <f t="shared" si="14"/>
        <v>0</v>
      </c>
      <c r="E83" s="76">
        <f t="shared" si="14"/>
        <v>0</v>
      </c>
      <c r="F83" s="76">
        <f t="shared" si="14"/>
        <v>0</v>
      </c>
      <c r="G83" s="76">
        <f t="shared" si="14"/>
        <v>0</v>
      </c>
      <c r="H83" s="76">
        <f t="shared" si="14"/>
        <v>0</v>
      </c>
      <c r="I83" s="76">
        <f t="shared" si="14"/>
        <v>0</v>
      </c>
      <c r="J83" s="76">
        <f t="shared" si="14"/>
        <v>0</v>
      </c>
      <c r="K83" s="76">
        <f t="shared" si="14"/>
        <v>0</v>
      </c>
      <c r="L83" s="76">
        <f t="shared" si="14"/>
        <v>0</v>
      </c>
      <c r="M83" s="76">
        <f t="shared" si="14"/>
        <v>0</v>
      </c>
      <c r="N83" s="76">
        <f t="shared" si="14"/>
        <v>0</v>
      </c>
      <c r="O83" s="76">
        <f t="shared" si="14"/>
        <v>0</v>
      </c>
      <c r="P83" s="76">
        <f t="shared" si="14"/>
        <v>0</v>
      </c>
      <c r="Q83" s="76">
        <f t="shared" si="14"/>
        <v>0</v>
      </c>
      <c r="R83" s="76">
        <f t="shared" si="14"/>
        <v>0</v>
      </c>
      <c r="S83" s="76">
        <f t="shared" si="14"/>
        <v>0</v>
      </c>
      <c r="T83" s="76">
        <f t="shared" si="14"/>
        <v>0</v>
      </c>
      <c r="U83" s="76">
        <f t="shared" si="14"/>
        <v>0</v>
      </c>
      <c r="V83" s="76">
        <f t="shared" si="14"/>
        <v>0</v>
      </c>
      <c r="W83" s="76">
        <f t="shared" si="14"/>
        <v>0</v>
      </c>
      <c r="X83" s="76">
        <f t="shared" si="14"/>
        <v>0</v>
      </c>
      <c r="Y83" s="76">
        <f t="shared" si="14"/>
        <v>0</v>
      </c>
      <c r="Z83" s="76">
        <f t="shared" si="14"/>
        <v>0</v>
      </c>
      <c r="AA83" s="76">
        <f t="shared" si="14"/>
        <v>0</v>
      </c>
      <c r="AB83" s="76">
        <f t="shared" si="14"/>
        <v>0</v>
      </c>
      <c r="AC83" s="76">
        <f t="shared" si="14"/>
        <v>0</v>
      </c>
      <c r="AD83" s="76">
        <f t="shared" si="14"/>
        <v>0</v>
      </c>
      <c r="AE83" s="76">
        <f t="shared" si="14"/>
        <v>0</v>
      </c>
      <c r="AF83" s="76">
        <f t="shared" si="14"/>
        <v>0</v>
      </c>
      <c r="AG83" s="52"/>
      <c r="AH83" s="48">
        <f t="shared" si="9"/>
        <v>0</v>
      </c>
      <c r="AI83" s="49">
        <f t="shared" si="10"/>
        <v>0</v>
      </c>
    </row>
    <row r="84" spans="1:37" x14ac:dyDescent="0.25">
      <c r="A84" s="54" t="s">
        <v>72</v>
      </c>
      <c r="B84" s="76">
        <f t="shared" ref="B84:AF84" si="15">IF(B64&lt;0,B64*-1,0)</f>
        <v>0</v>
      </c>
      <c r="C84" s="76">
        <f t="shared" si="15"/>
        <v>0</v>
      </c>
      <c r="D84" s="76">
        <f t="shared" si="15"/>
        <v>0</v>
      </c>
      <c r="E84" s="76">
        <f t="shared" si="15"/>
        <v>0</v>
      </c>
      <c r="F84" s="76">
        <f t="shared" si="15"/>
        <v>0</v>
      </c>
      <c r="G84" s="76">
        <f t="shared" si="15"/>
        <v>0</v>
      </c>
      <c r="H84" s="76">
        <f t="shared" si="15"/>
        <v>0</v>
      </c>
      <c r="I84" s="76">
        <f t="shared" si="15"/>
        <v>0</v>
      </c>
      <c r="J84" s="76">
        <f t="shared" si="15"/>
        <v>0</v>
      </c>
      <c r="K84" s="76">
        <f t="shared" si="15"/>
        <v>0</v>
      </c>
      <c r="L84" s="76">
        <f t="shared" si="15"/>
        <v>0</v>
      </c>
      <c r="M84" s="76">
        <f t="shared" si="15"/>
        <v>0</v>
      </c>
      <c r="N84" s="76">
        <f t="shared" si="15"/>
        <v>0</v>
      </c>
      <c r="O84" s="76">
        <f t="shared" si="15"/>
        <v>0</v>
      </c>
      <c r="P84" s="76">
        <f t="shared" si="15"/>
        <v>0</v>
      </c>
      <c r="Q84" s="76">
        <f t="shared" si="15"/>
        <v>0</v>
      </c>
      <c r="R84" s="76">
        <f t="shared" si="15"/>
        <v>0</v>
      </c>
      <c r="S84" s="76">
        <f t="shared" si="15"/>
        <v>0</v>
      </c>
      <c r="T84" s="76">
        <f t="shared" si="15"/>
        <v>0</v>
      </c>
      <c r="U84" s="76">
        <f t="shared" si="15"/>
        <v>0</v>
      </c>
      <c r="V84" s="76">
        <f t="shared" si="15"/>
        <v>0</v>
      </c>
      <c r="W84" s="76">
        <f t="shared" si="15"/>
        <v>0</v>
      </c>
      <c r="X84" s="76">
        <f t="shared" si="15"/>
        <v>0</v>
      </c>
      <c r="Y84" s="76">
        <f t="shared" si="15"/>
        <v>0</v>
      </c>
      <c r="Z84" s="76">
        <f t="shared" si="15"/>
        <v>0</v>
      </c>
      <c r="AA84" s="76">
        <f t="shared" si="15"/>
        <v>0</v>
      </c>
      <c r="AB84" s="76">
        <f t="shared" si="15"/>
        <v>0</v>
      </c>
      <c r="AC84" s="76">
        <f t="shared" si="15"/>
        <v>0</v>
      </c>
      <c r="AD84" s="76">
        <f t="shared" si="15"/>
        <v>0</v>
      </c>
      <c r="AE84" s="76">
        <f t="shared" si="15"/>
        <v>0</v>
      </c>
      <c r="AF84" s="76">
        <f t="shared" si="15"/>
        <v>0</v>
      </c>
      <c r="AG84" s="55"/>
      <c r="AH84" s="48">
        <f t="shared" si="9"/>
        <v>0</v>
      </c>
      <c r="AI84" s="49">
        <f t="shared" si="10"/>
        <v>0</v>
      </c>
    </row>
    <row r="85" spans="1:37" x14ac:dyDescent="0.25">
      <c r="A85" s="78" t="s">
        <v>91</v>
      </c>
      <c r="B85" s="76">
        <f t="shared" ref="B85:AF85" si="16">IF(B67&lt;0,B67*-1,0)</f>
        <v>0</v>
      </c>
      <c r="C85" s="76">
        <f t="shared" si="16"/>
        <v>0</v>
      </c>
      <c r="D85" s="76">
        <f t="shared" si="16"/>
        <v>0</v>
      </c>
      <c r="E85" s="76">
        <f t="shared" si="16"/>
        <v>0</v>
      </c>
      <c r="F85" s="76">
        <f t="shared" si="16"/>
        <v>0</v>
      </c>
      <c r="G85" s="76">
        <f t="shared" si="16"/>
        <v>0</v>
      </c>
      <c r="H85" s="76">
        <f t="shared" si="16"/>
        <v>0</v>
      </c>
      <c r="I85" s="76">
        <f t="shared" si="16"/>
        <v>0</v>
      </c>
      <c r="J85" s="76">
        <f t="shared" si="16"/>
        <v>0</v>
      </c>
      <c r="K85" s="76">
        <f t="shared" si="16"/>
        <v>0</v>
      </c>
      <c r="L85" s="76">
        <f t="shared" si="16"/>
        <v>0</v>
      </c>
      <c r="M85" s="76">
        <f t="shared" si="16"/>
        <v>0</v>
      </c>
      <c r="N85" s="76">
        <f t="shared" si="16"/>
        <v>0</v>
      </c>
      <c r="O85" s="76">
        <f t="shared" si="16"/>
        <v>0</v>
      </c>
      <c r="P85" s="76">
        <f t="shared" si="16"/>
        <v>0</v>
      </c>
      <c r="Q85" s="76">
        <f t="shared" si="16"/>
        <v>0</v>
      </c>
      <c r="R85" s="76">
        <f t="shared" si="16"/>
        <v>0</v>
      </c>
      <c r="S85" s="76">
        <f t="shared" si="16"/>
        <v>0</v>
      </c>
      <c r="T85" s="76">
        <f t="shared" si="16"/>
        <v>0</v>
      </c>
      <c r="U85" s="76">
        <f t="shared" si="16"/>
        <v>0</v>
      </c>
      <c r="V85" s="76">
        <f t="shared" si="16"/>
        <v>0</v>
      </c>
      <c r="W85" s="76">
        <f t="shared" si="16"/>
        <v>0</v>
      </c>
      <c r="X85" s="76">
        <f t="shared" si="16"/>
        <v>0</v>
      </c>
      <c r="Y85" s="76">
        <f t="shared" si="16"/>
        <v>0</v>
      </c>
      <c r="Z85" s="76">
        <f t="shared" si="16"/>
        <v>0</v>
      </c>
      <c r="AA85" s="76">
        <f t="shared" si="16"/>
        <v>0</v>
      </c>
      <c r="AB85" s="76">
        <f t="shared" si="16"/>
        <v>0</v>
      </c>
      <c r="AC85" s="76">
        <f t="shared" si="16"/>
        <v>0</v>
      </c>
      <c r="AD85" s="76">
        <f t="shared" si="16"/>
        <v>0</v>
      </c>
      <c r="AE85" s="76">
        <f t="shared" si="16"/>
        <v>0</v>
      </c>
      <c r="AF85" s="76">
        <f t="shared" si="16"/>
        <v>0</v>
      </c>
      <c r="AG85" s="86"/>
      <c r="AH85" s="48">
        <f t="shared" si="9"/>
        <v>0</v>
      </c>
      <c r="AI85" s="49">
        <f t="shared" si="10"/>
        <v>0</v>
      </c>
    </row>
    <row r="86" spans="1:37" x14ac:dyDescent="0.25">
      <c r="A86" s="78" t="s">
        <v>92</v>
      </c>
      <c r="B86" s="76">
        <f t="shared" ref="B86:AF86" si="17">IF(B65&lt;0,B65*-1,0)</f>
        <v>300</v>
      </c>
      <c r="C86" s="76">
        <f t="shared" si="17"/>
        <v>352</v>
      </c>
      <c r="D86" s="76">
        <f t="shared" si="17"/>
        <v>366</v>
      </c>
      <c r="E86" s="76">
        <f t="shared" si="17"/>
        <v>360</v>
      </c>
      <c r="F86" s="76">
        <f t="shared" si="17"/>
        <v>309</v>
      </c>
      <c r="G86" s="76">
        <f t="shared" si="17"/>
        <v>324</v>
      </c>
      <c r="H86" s="76">
        <f t="shared" si="17"/>
        <v>316</v>
      </c>
      <c r="I86" s="76">
        <f t="shared" si="17"/>
        <v>340</v>
      </c>
      <c r="J86" s="76">
        <f t="shared" si="17"/>
        <v>320</v>
      </c>
      <c r="K86" s="76">
        <f t="shared" si="17"/>
        <v>310</v>
      </c>
      <c r="L86" s="76">
        <f t="shared" si="17"/>
        <v>310</v>
      </c>
      <c r="M86" s="76">
        <f t="shared" si="17"/>
        <v>350</v>
      </c>
      <c r="N86" s="76">
        <f t="shared" si="17"/>
        <v>325</v>
      </c>
      <c r="O86" s="76">
        <f t="shared" si="17"/>
        <v>319</v>
      </c>
      <c r="P86" s="76">
        <f t="shared" si="17"/>
        <v>307</v>
      </c>
      <c r="Q86" s="76">
        <f t="shared" si="17"/>
        <v>313</v>
      </c>
      <c r="R86" s="76">
        <f t="shared" si="17"/>
        <v>323</v>
      </c>
      <c r="S86" s="76">
        <f t="shared" si="17"/>
        <v>312</v>
      </c>
      <c r="T86" s="76">
        <f t="shared" si="17"/>
        <v>297</v>
      </c>
      <c r="U86" s="76">
        <f t="shared" si="17"/>
        <v>267</v>
      </c>
      <c r="V86" s="76">
        <f t="shared" si="17"/>
        <v>301.10000000000002</v>
      </c>
      <c r="W86" s="76">
        <f t="shared" si="17"/>
        <v>300</v>
      </c>
      <c r="X86" s="76">
        <f t="shared" si="17"/>
        <v>313.3</v>
      </c>
      <c r="Y86" s="76">
        <f t="shared" si="17"/>
        <v>296</v>
      </c>
      <c r="Z86" s="76">
        <f t="shared" si="17"/>
        <v>331</v>
      </c>
      <c r="AA86" s="76">
        <f t="shared" si="17"/>
        <v>340</v>
      </c>
      <c r="AB86" s="76">
        <f t="shared" si="17"/>
        <v>349.4</v>
      </c>
      <c r="AC86" s="76">
        <f t="shared" si="17"/>
        <v>355</v>
      </c>
      <c r="AD86" s="76">
        <f t="shared" si="17"/>
        <v>351</v>
      </c>
      <c r="AE86" s="76">
        <f t="shared" si="17"/>
        <v>354.1</v>
      </c>
      <c r="AF86" s="76">
        <f t="shared" si="17"/>
        <v>346.5</v>
      </c>
      <c r="AG86" s="86"/>
      <c r="AH86" s="48">
        <f t="shared" si="9"/>
        <v>366</v>
      </c>
      <c r="AI86" s="49">
        <f t="shared" si="10"/>
        <v>267</v>
      </c>
    </row>
    <row r="87" spans="1:37" x14ac:dyDescent="0.25">
      <c r="A87" s="78" t="s">
        <v>71</v>
      </c>
      <c r="B87" s="76">
        <f t="shared" ref="B87:AF87" si="18">IF(B63&lt;0,B63*-1,0)</f>
        <v>0</v>
      </c>
      <c r="C87" s="76">
        <f t="shared" si="18"/>
        <v>0</v>
      </c>
      <c r="D87" s="76">
        <f t="shared" si="18"/>
        <v>0</v>
      </c>
      <c r="E87" s="76">
        <f t="shared" si="18"/>
        <v>0</v>
      </c>
      <c r="F87" s="76">
        <f t="shared" si="18"/>
        <v>0</v>
      </c>
      <c r="G87" s="76">
        <f t="shared" si="18"/>
        <v>0</v>
      </c>
      <c r="H87" s="76">
        <f t="shared" si="18"/>
        <v>0</v>
      </c>
      <c r="I87" s="76">
        <f t="shared" si="18"/>
        <v>0</v>
      </c>
      <c r="J87" s="76">
        <f t="shared" si="18"/>
        <v>0</v>
      </c>
      <c r="K87" s="76">
        <f t="shared" si="18"/>
        <v>0</v>
      </c>
      <c r="L87" s="76">
        <f t="shared" si="18"/>
        <v>0</v>
      </c>
      <c r="M87" s="76">
        <f t="shared" si="18"/>
        <v>0</v>
      </c>
      <c r="N87" s="76">
        <f t="shared" si="18"/>
        <v>0</v>
      </c>
      <c r="O87" s="76">
        <f t="shared" si="18"/>
        <v>0</v>
      </c>
      <c r="P87" s="76">
        <f t="shared" si="18"/>
        <v>0</v>
      </c>
      <c r="Q87" s="76">
        <f t="shared" si="18"/>
        <v>0</v>
      </c>
      <c r="R87" s="76">
        <f t="shared" si="18"/>
        <v>0</v>
      </c>
      <c r="S87" s="76">
        <f t="shared" si="18"/>
        <v>0</v>
      </c>
      <c r="T87" s="76">
        <f t="shared" si="18"/>
        <v>0</v>
      </c>
      <c r="U87" s="76">
        <f t="shared" si="18"/>
        <v>0</v>
      </c>
      <c r="V87" s="76">
        <f t="shared" si="18"/>
        <v>0</v>
      </c>
      <c r="W87" s="76">
        <f t="shared" si="18"/>
        <v>0</v>
      </c>
      <c r="X87" s="76">
        <f t="shared" si="18"/>
        <v>0</v>
      </c>
      <c r="Y87" s="76">
        <f t="shared" si="18"/>
        <v>0</v>
      </c>
      <c r="Z87" s="76">
        <f t="shared" si="18"/>
        <v>0</v>
      </c>
      <c r="AA87" s="76">
        <f t="shared" si="18"/>
        <v>0</v>
      </c>
      <c r="AB87" s="76">
        <f t="shared" si="18"/>
        <v>0</v>
      </c>
      <c r="AC87" s="76">
        <f t="shared" si="18"/>
        <v>0</v>
      </c>
      <c r="AD87" s="76">
        <f t="shared" si="18"/>
        <v>0</v>
      </c>
      <c r="AE87" s="76">
        <f t="shared" si="18"/>
        <v>0</v>
      </c>
      <c r="AF87" s="76">
        <f t="shared" si="18"/>
        <v>0</v>
      </c>
      <c r="AG87" s="86"/>
      <c r="AH87" s="48">
        <f t="shared" si="9"/>
        <v>0</v>
      </c>
      <c r="AI87" s="49">
        <f t="shared" si="10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9"/>
        <v>0</v>
      </c>
      <c r="AI88" s="49">
        <f t="shared" si="10"/>
        <v>0</v>
      </c>
    </row>
    <row r="89" spans="1:37" ht="15.75" thickBot="1" x14ac:dyDescent="0.3">
      <c r="A89" s="87" t="s">
        <v>94</v>
      </c>
      <c r="B89" s="61">
        <f t="shared" ref="B89:AF89" si="19">SUM(B83:B88)</f>
        <v>300</v>
      </c>
      <c r="C89" s="61">
        <f t="shared" si="19"/>
        <v>352</v>
      </c>
      <c r="D89" s="61">
        <f t="shared" si="19"/>
        <v>366</v>
      </c>
      <c r="E89" s="61">
        <f t="shared" si="19"/>
        <v>360</v>
      </c>
      <c r="F89" s="61">
        <f t="shared" si="19"/>
        <v>309</v>
      </c>
      <c r="G89" s="61">
        <f t="shared" si="19"/>
        <v>324</v>
      </c>
      <c r="H89" s="61">
        <f t="shared" si="19"/>
        <v>316</v>
      </c>
      <c r="I89" s="61">
        <f t="shared" si="19"/>
        <v>340</v>
      </c>
      <c r="J89" s="61">
        <f t="shared" si="19"/>
        <v>320</v>
      </c>
      <c r="K89" s="61">
        <f t="shared" si="19"/>
        <v>310</v>
      </c>
      <c r="L89" s="61">
        <f t="shared" si="19"/>
        <v>310</v>
      </c>
      <c r="M89" s="61">
        <f t="shared" si="19"/>
        <v>350</v>
      </c>
      <c r="N89" s="61">
        <f t="shared" si="19"/>
        <v>325</v>
      </c>
      <c r="O89" s="61">
        <f t="shared" si="19"/>
        <v>319</v>
      </c>
      <c r="P89" s="61">
        <f t="shared" si="19"/>
        <v>307</v>
      </c>
      <c r="Q89" s="61">
        <f t="shared" si="19"/>
        <v>313</v>
      </c>
      <c r="R89" s="61">
        <f t="shared" si="19"/>
        <v>323</v>
      </c>
      <c r="S89" s="61">
        <f t="shared" si="19"/>
        <v>312</v>
      </c>
      <c r="T89" s="61">
        <f t="shared" si="19"/>
        <v>297</v>
      </c>
      <c r="U89" s="61">
        <f t="shared" si="19"/>
        <v>267</v>
      </c>
      <c r="V89" s="61">
        <f t="shared" si="19"/>
        <v>301.10000000000002</v>
      </c>
      <c r="W89" s="61">
        <f t="shared" si="19"/>
        <v>300</v>
      </c>
      <c r="X89" s="61">
        <f t="shared" si="19"/>
        <v>313.3</v>
      </c>
      <c r="Y89" s="61">
        <f t="shared" si="19"/>
        <v>296</v>
      </c>
      <c r="Z89" s="61">
        <f t="shared" si="19"/>
        <v>331</v>
      </c>
      <c r="AA89" s="61">
        <f t="shared" si="19"/>
        <v>340</v>
      </c>
      <c r="AB89" s="61">
        <f t="shared" si="19"/>
        <v>349.4</v>
      </c>
      <c r="AC89" s="61">
        <f t="shared" si="19"/>
        <v>355</v>
      </c>
      <c r="AD89" s="61">
        <f t="shared" si="19"/>
        <v>351</v>
      </c>
      <c r="AE89" s="61">
        <f t="shared" si="19"/>
        <v>354.1</v>
      </c>
      <c r="AF89" s="61">
        <f t="shared" si="19"/>
        <v>346.5</v>
      </c>
      <c r="AG89" s="81"/>
      <c r="AH89" s="48">
        <f t="shared" si="9"/>
        <v>366</v>
      </c>
      <c r="AI89" s="49">
        <f t="shared" si="10"/>
        <v>267</v>
      </c>
      <c r="AK89" s="50"/>
    </row>
    <row r="90" spans="1:37" ht="15.75" thickBot="1" x14ac:dyDescent="0.3">
      <c r="A90" s="74" t="s">
        <v>95</v>
      </c>
      <c r="B90" s="61">
        <f t="shared" ref="B90:AF90" si="20">B74-B89</f>
        <v>-300</v>
      </c>
      <c r="C90" s="61">
        <f t="shared" si="20"/>
        <v>-352</v>
      </c>
      <c r="D90" s="61">
        <f t="shared" si="20"/>
        <v>-366</v>
      </c>
      <c r="E90" s="61">
        <f t="shared" si="20"/>
        <v>-360</v>
      </c>
      <c r="F90" s="61">
        <f t="shared" si="20"/>
        <v>-309</v>
      </c>
      <c r="G90" s="61">
        <f t="shared" si="20"/>
        <v>-324</v>
      </c>
      <c r="H90" s="61">
        <f t="shared" si="20"/>
        <v>-316</v>
      </c>
      <c r="I90" s="61">
        <f t="shared" si="20"/>
        <v>-340</v>
      </c>
      <c r="J90" s="61">
        <f t="shared" si="20"/>
        <v>-320</v>
      </c>
      <c r="K90" s="61">
        <f t="shared" si="20"/>
        <v>-310</v>
      </c>
      <c r="L90" s="61">
        <f t="shared" si="20"/>
        <v>-310</v>
      </c>
      <c r="M90" s="61">
        <f t="shared" si="20"/>
        <v>-350</v>
      </c>
      <c r="N90" s="61">
        <f t="shared" si="20"/>
        <v>-325</v>
      </c>
      <c r="O90" s="61">
        <f t="shared" si="20"/>
        <v>-319</v>
      </c>
      <c r="P90" s="61">
        <f t="shared" si="20"/>
        <v>-307</v>
      </c>
      <c r="Q90" s="61">
        <f t="shared" si="20"/>
        <v>-313</v>
      </c>
      <c r="R90" s="61">
        <f t="shared" si="20"/>
        <v>-323</v>
      </c>
      <c r="S90" s="61">
        <f t="shared" si="20"/>
        <v>-312</v>
      </c>
      <c r="T90" s="61">
        <f t="shared" si="20"/>
        <v>-297</v>
      </c>
      <c r="U90" s="61">
        <f t="shared" si="20"/>
        <v>-267</v>
      </c>
      <c r="V90" s="61">
        <f t="shared" si="20"/>
        <v>-301.10000000000002</v>
      </c>
      <c r="W90" s="61">
        <f t="shared" si="20"/>
        <v>-300</v>
      </c>
      <c r="X90" s="61">
        <f t="shared" si="20"/>
        <v>-313.3</v>
      </c>
      <c r="Y90" s="61">
        <f t="shared" si="20"/>
        <v>-296</v>
      </c>
      <c r="Z90" s="61">
        <f t="shared" si="20"/>
        <v>-331</v>
      </c>
      <c r="AA90" s="61">
        <f t="shared" si="20"/>
        <v>-340</v>
      </c>
      <c r="AB90" s="61">
        <f t="shared" si="20"/>
        <v>-349.4</v>
      </c>
      <c r="AC90" s="61">
        <f t="shared" si="20"/>
        <v>-355</v>
      </c>
      <c r="AD90" s="61">
        <f t="shared" si="20"/>
        <v>-351</v>
      </c>
      <c r="AE90" s="61">
        <f t="shared" si="20"/>
        <v>-354.1</v>
      </c>
      <c r="AF90" s="61">
        <f t="shared" si="20"/>
        <v>-346.5</v>
      </c>
      <c r="AG90" s="81"/>
      <c r="AH90" s="48">
        <f t="shared" si="9"/>
        <v>-267</v>
      </c>
      <c r="AI90" s="49">
        <f t="shared" si="10"/>
        <v>-366</v>
      </c>
    </row>
    <row r="91" spans="1:37" x14ac:dyDescent="0.25">
      <c r="A91" s="88" t="s">
        <v>96</v>
      </c>
      <c r="B91" s="89">
        <v>50.03</v>
      </c>
      <c r="C91" s="89">
        <v>49.95</v>
      </c>
      <c r="D91" s="89">
        <v>49.98</v>
      </c>
      <c r="E91" s="89">
        <v>49.98</v>
      </c>
      <c r="F91" s="89">
        <v>49.969000000000001</v>
      </c>
      <c r="G91" s="89">
        <v>50.024000000000001</v>
      </c>
      <c r="H91" s="89">
        <v>50.024000000000001</v>
      </c>
      <c r="I91" s="89">
        <v>50.024000000000001</v>
      </c>
      <c r="J91" s="89">
        <v>50.061999999999998</v>
      </c>
      <c r="K91" s="89">
        <v>50.067</v>
      </c>
      <c r="L91" s="89">
        <v>50.067</v>
      </c>
      <c r="M91" s="89">
        <v>50.027999999999999</v>
      </c>
      <c r="N91" s="89">
        <v>50.045000000000002</v>
      </c>
      <c r="O91" s="89">
        <v>50.031999999999996</v>
      </c>
      <c r="P91" s="89">
        <v>50.06</v>
      </c>
      <c r="Q91" s="89">
        <v>49.942</v>
      </c>
      <c r="R91" s="89">
        <v>49.962000000000003</v>
      </c>
      <c r="S91" s="89">
        <v>50.027999999999999</v>
      </c>
      <c r="T91" s="89">
        <v>49.968000000000004</v>
      </c>
      <c r="U91" s="89">
        <v>50.088999999999999</v>
      </c>
      <c r="V91" s="89">
        <v>49.887</v>
      </c>
      <c r="W91" s="89">
        <v>49.993000000000002</v>
      </c>
      <c r="X91" s="89">
        <v>50.036000000000001</v>
      </c>
      <c r="Y91" s="89">
        <v>50.07</v>
      </c>
      <c r="Z91" s="89">
        <v>50.043999999999997</v>
      </c>
      <c r="AA91" s="89">
        <v>50.045000000000002</v>
      </c>
      <c r="AB91" s="89">
        <v>50.036000000000001</v>
      </c>
      <c r="AC91" s="89">
        <v>50.03</v>
      </c>
      <c r="AD91" s="89">
        <v>50.05</v>
      </c>
      <c r="AE91" s="89">
        <v>49.98</v>
      </c>
      <c r="AF91" s="89">
        <v>50.012999999999998</v>
      </c>
      <c r="AG91" s="90"/>
      <c r="AH91" s="48">
        <f t="shared" si="9"/>
        <v>50.088999999999999</v>
      </c>
      <c r="AI91" s="49">
        <f t="shared" si="10"/>
        <v>49.887</v>
      </c>
    </row>
    <row r="92" spans="1:37" x14ac:dyDescent="0.25">
      <c r="A92" s="91" t="s">
        <v>97</v>
      </c>
      <c r="B92" s="65">
        <v>129</v>
      </c>
      <c r="C92" s="65">
        <v>129</v>
      </c>
      <c r="D92" s="65">
        <v>129</v>
      </c>
      <c r="E92" s="65">
        <v>129</v>
      </c>
      <c r="F92" s="65">
        <v>129</v>
      </c>
      <c r="G92" s="65">
        <v>128</v>
      </c>
      <c r="H92" s="65">
        <v>128</v>
      </c>
      <c r="I92" s="65">
        <v>128</v>
      </c>
      <c r="J92" s="65">
        <v>125</v>
      </c>
      <c r="K92" s="65">
        <v>125</v>
      </c>
      <c r="L92" s="65">
        <v>125</v>
      </c>
      <c r="M92" s="65">
        <v>123</v>
      </c>
      <c r="N92" s="65">
        <v>123.9</v>
      </c>
      <c r="O92" s="65">
        <v>123.2</v>
      </c>
      <c r="P92" s="65">
        <v>122.6</v>
      </c>
      <c r="Q92" s="65">
        <v>124.2</v>
      </c>
      <c r="R92" s="65">
        <v>123.6</v>
      </c>
      <c r="S92" s="65">
        <v>124.9</v>
      </c>
      <c r="T92" s="65">
        <v>124.3</v>
      </c>
      <c r="U92" s="65">
        <v>125.1</v>
      </c>
      <c r="V92" s="65">
        <v>126.8</v>
      </c>
      <c r="W92" s="65">
        <v>126</v>
      </c>
      <c r="X92" s="65">
        <v>126.6</v>
      </c>
      <c r="Y92" s="65">
        <v>126.6</v>
      </c>
      <c r="Z92" s="65">
        <v>126.6</v>
      </c>
      <c r="AA92" s="65">
        <v>126.6</v>
      </c>
      <c r="AB92" s="65">
        <v>127</v>
      </c>
      <c r="AC92" s="65">
        <v>127.4</v>
      </c>
      <c r="AD92" s="65">
        <v>127.9</v>
      </c>
      <c r="AE92" s="65">
        <v>127.9</v>
      </c>
      <c r="AF92" s="65">
        <v>129</v>
      </c>
      <c r="AG92" s="92"/>
      <c r="AH92" s="48">
        <f t="shared" si="9"/>
        <v>129</v>
      </c>
      <c r="AI92" s="49">
        <f t="shared" si="10"/>
        <v>122.6</v>
      </c>
    </row>
    <row r="93" spans="1:37" x14ac:dyDescent="0.25">
      <c r="A93" s="91" t="s">
        <v>98</v>
      </c>
      <c r="B93" s="65">
        <v>132</v>
      </c>
      <c r="C93" s="65">
        <v>132</v>
      </c>
      <c r="D93" s="65">
        <v>132</v>
      </c>
      <c r="E93" s="65">
        <v>132</v>
      </c>
      <c r="F93" s="65">
        <v>132</v>
      </c>
      <c r="G93" s="65">
        <v>132</v>
      </c>
      <c r="H93" s="65">
        <v>132</v>
      </c>
      <c r="I93" s="65">
        <v>132</v>
      </c>
      <c r="J93" s="65">
        <v>129</v>
      </c>
      <c r="K93" s="65">
        <v>128</v>
      </c>
      <c r="L93" s="65">
        <v>128</v>
      </c>
      <c r="M93" s="65">
        <v>126.1</v>
      </c>
      <c r="N93" s="65">
        <v>127.1</v>
      </c>
      <c r="O93" s="65">
        <v>126.1</v>
      </c>
      <c r="P93" s="65">
        <v>125.5</v>
      </c>
      <c r="Q93" s="65">
        <v>127.7</v>
      </c>
      <c r="R93" s="65">
        <v>126.9</v>
      </c>
      <c r="S93" s="65">
        <v>128.1</v>
      </c>
      <c r="T93" s="65">
        <v>127.5</v>
      </c>
      <c r="U93" s="65">
        <v>127.5</v>
      </c>
      <c r="V93" s="65">
        <v>129.6</v>
      </c>
      <c r="W93" s="65">
        <v>128.5</v>
      </c>
      <c r="X93" s="65">
        <v>128.80000000000001</v>
      </c>
      <c r="Y93" s="65">
        <v>128.80000000000001</v>
      </c>
      <c r="Z93" s="65">
        <v>128.80000000000001</v>
      </c>
      <c r="AA93" s="65">
        <v>128.80000000000001</v>
      </c>
      <c r="AB93" s="65">
        <v>129.9</v>
      </c>
      <c r="AC93" s="65">
        <v>130.69999999999999</v>
      </c>
      <c r="AD93" s="65">
        <v>131.1</v>
      </c>
      <c r="AE93" s="65">
        <v>131.30000000000001</v>
      </c>
      <c r="AF93" s="65">
        <v>132.80000000000001</v>
      </c>
      <c r="AG93" s="92"/>
      <c r="AH93" s="48">
        <f t="shared" si="9"/>
        <v>132.80000000000001</v>
      </c>
      <c r="AI93" s="49">
        <f t="shared" si="10"/>
        <v>125.5</v>
      </c>
    </row>
    <row r="94" spans="1:37" x14ac:dyDescent="0.25">
      <c r="A94" s="91" t="s">
        <v>99</v>
      </c>
      <c r="B94" s="65">
        <v>132</v>
      </c>
      <c r="C94" s="65">
        <v>132</v>
      </c>
      <c r="D94" s="65">
        <v>132</v>
      </c>
      <c r="E94" s="65">
        <v>132</v>
      </c>
      <c r="F94" s="65">
        <v>132</v>
      </c>
      <c r="G94" s="65">
        <v>132</v>
      </c>
      <c r="H94" s="65">
        <v>132</v>
      </c>
      <c r="I94" s="65">
        <v>132</v>
      </c>
      <c r="J94" s="65">
        <v>130</v>
      </c>
      <c r="K94" s="65">
        <v>129</v>
      </c>
      <c r="L94" s="65">
        <v>129</v>
      </c>
      <c r="M94" s="65">
        <v>129.6</v>
      </c>
      <c r="N94" s="65">
        <v>131.6</v>
      </c>
      <c r="O94" s="65">
        <v>131.69999999999999</v>
      </c>
      <c r="P94" s="65">
        <v>131.80000000000001</v>
      </c>
      <c r="Q94" s="65">
        <v>132.1</v>
      </c>
      <c r="R94" s="65">
        <v>132.4</v>
      </c>
      <c r="S94" s="65">
        <v>132.5</v>
      </c>
      <c r="T94" s="65">
        <v>131.9</v>
      </c>
      <c r="U94" s="65">
        <v>132.1</v>
      </c>
      <c r="V94" s="65">
        <v>131</v>
      </c>
      <c r="W94" s="65">
        <v>130.1</v>
      </c>
      <c r="X94" s="65">
        <v>131.9</v>
      </c>
      <c r="Y94" s="65">
        <v>131.9</v>
      </c>
      <c r="Z94" s="65">
        <v>131.9</v>
      </c>
      <c r="AA94" s="65">
        <v>131.9</v>
      </c>
      <c r="AB94" s="65">
        <v>132.80000000000001</v>
      </c>
      <c r="AC94" s="65">
        <v>133.9</v>
      </c>
      <c r="AD94" s="65">
        <v>133</v>
      </c>
      <c r="AE94" s="65">
        <v>133.30000000000001</v>
      </c>
      <c r="AF94" s="65">
        <v>133.80000000000001</v>
      </c>
      <c r="AG94" s="92"/>
      <c r="AH94" s="48">
        <f t="shared" si="9"/>
        <v>133.9</v>
      </c>
      <c r="AI94" s="49">
        <f t="shared" si="10"/>
        <v>129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9"/>
        <v>0</v>
      </c>
      <c r="AI95" s="49">
        <f t="shared" si="10"/>
        <v>0</v>
      </c>
    </row>
    <row r="96" spans="1:37" x14ac:dyDescent="0.25">
      <c r="A96" s="93" t="s">
        <v>101</v>
      </c>
      <c r="B96" s="94">
        <v>133.5</v>
      </c>
      <c r="C96" s="94">
        <v>133.5</v>
      </c>
      <c r="D96" s="94">
        <v>133.5</v>
      </c>
      <c r="E96" s="94">
        <v>133.5</v>
      </c>
      <c r="F96" s="94">
        <v>133.5</v>
      </c>
      <c r="G96" s="94">
        <v>133</v>
      </c>
      <c r="H96" s="94">
        <v>133</v>
      </c>
      <c r="I96" s="94">
        <v>133</v>
      </c>
      <c r="J96" s="94">
        <v>133</v>
      </c>
      <c r="K96" s="94">
        <v>133</v>
      </c>
      <c r="L96" s="94">
        <v>133</v>
      </c>
      <c r="M96" s="94">
        <v>133.19999999999999</v>
      </c>
      <c r="N96" s="94">
        <v>134.30000000000001</v>
      </c>
      <c r="O96" s="94">
        <v>133.9</v>
      </c>
      <c r="P96" s="94">
        <v>132</v>
      </c>
      <c r="Q96" s="94">
        <v>133.4</v>
      </c>
      <c r="R96" s="94">
        <v>133.6</v>
      </c>
      <c r="S96" s="94">
        <v>134.69999999999999</v>
      </c>
      <c r="T96" s="94">
        <v>135.4</v>
      </c>
      <c r="U96" s="94">
        <v>134.80000000000001</v>
      </c>
      <c r="V96" s="94">
        <v>134.80000000000001</v>
      </c>
      <c r="W96" s="94">
        <v>131.69999999999999</v>
      </c>
      <c r="X96" s="94">
        <v>134.9</v>
      </c>
      <c r="Y96" s="94">
        <v>134.9</v>
      </c>
      <c r="Z96" s="94">
        <v>134.9</v>
      </c>
      <c r="AA96" s="94">
        <v>134.9</v>
      </c>
      <c r="AB96" s="94">
        <v>134.80000000000001</v>
      </c>
      <c r="AC96" s="94">
        <v>134.5</v>
      </c>
      <c r="AD96" s="94">
        <v>136.4</v>
      </c>
      <c r="AE96" s="94">
        <v>135.4</v>
      </c>
      <c r="AF96" s="94">
        <v>134.5</v>
      </c>
      <c r="AG96" s="95"/>
      <c r="AH96" s="48">
        <f t="shared" si="9"/>
        <v>136.4</v>
      </c>
      <c r="AI96" s="49">
        <f t="shared" si="10"/>
        <v>131.69999999999999</v>
      </c>
    </row>
    <row r="97" spans="1:37" x14ac:dyDescent="0.25">
      <c r="A97" s="91" t="s">
        <v>102</v>
      </c>
      <c r="B97" s="65">
        <v>128</v>
      </c>
      <c r="C97" s="65">
        <v>128</v>
      </c>
      <c r="D97" s="65">
        <v>125</v>
      </c>
      <c r="E97" s="65">
        <v>125</v>
      </c>
      <c r="F97" s="65">
        <v>125</v>
      </c>
      <c r="G97" s="65">
        <v>130</v>
      </c>
      <c r="H97" s="65">
        <v>130</v>
      </c>
      <c r="I97" s="65">
        <v>130</v>
      </c>
      <c r="J97" s="65">
        <v>129</v>
      </c>
      <c r="K97" s="65">
        <v>127</v>
      </c>
      <c r="L97" s="65">
        <v>127</v>
      </c>
      <c r="M97" s="65">
        <v>132</v>
      </c>
      <c r="N97" s="65">
        <v>134</v>
      </c>
      <c r="O97" s="65">
        <v>134.1</v>
      </c>
      <c r="P97" s="65">
        <v>132.9</v>
      </c>
      <c r="Q97" s="65">
        <v>132.69999999999999</v>
      </c>
      <c r="R97" s="65">
        <v>131.80000000000001</v>
      </c>
      <c r="S97" s="65">
        <v>132.4</v>
      </c>
      <c r="T97" s="65">
        <v>133</v>
      </c>
      <c r="U97" s="65">
        <v>131.69999999999999</v>
      </c>
      <c r="V97" s="65">
        <v>132.19999999999999</v>
      </c>
      <c r="W97" s="65">
        <v>130</v>
      </c>
      <c r="X97" s="65">
        <v>132.4</v>
      </c>
      <c r="Y97" s="65">
        <v>132.4</v>
      </c>
      <c r="Z97" s="65">
        <v>132.4</v>
      </c>
      <c r="AA97" s="65">
        <v>132.4</v>
      </c>
      <c r="AB97" s="65">
        <v>133.9</v>
      </c>
      <c r="AC97" s="65">
        <v>132.30000000000001</v>
      </c>
      <c r="AD97" s="65">
        <v>134</v>
      </c>
      <c r="AE97" s="65">
        <v>133.6</v>
      </c>
      <c r="AF97" s="65">
        <v>133.80000000000001</v>
      </c>
      <c r="AG97" s="92"/>
      <c r="AH97" s="48">
        <f t="shared" si="9"/>
        <v>134.1</v>
      </c>
      <c r="AI97" s="49">
        <f t="shared" si="10"/>
        <v>125</v>
      </c>
    </row>
    <row r="98" spans="1:37" ht="15.75" thickBot="1" x14ac:dyDescent="0.3">
      <c r="A98" s="91" t="s">
        <v>103</v>
      </c>
      <c r="B98" s="96">
        <v>66.900000000000006</v>
      </c>
      <c r="C98" s="96">
        <v>66.900000000000006</v>
      </c>
      <c r="D98" s="96">
        <v>66.599999999999994</v>
      </c>
      <c r="E98" s="96">
        <v>66.599999999999994</v>
      </c>
      <c r="F98" s="96">
        <v>66.599999999999994</v>
      </c>
      <c r="G98" s="96">
        <v>66.3</v>
      </c>
      <c r="H98" s="96">
        <v>66.3</v>
      </c>
      <c r="I98" s="96">
        <v>66.3</v>
      </c>
      <c r="J98" s="96">
        <v>65</v>
      </c>
      <c r="K98" s="96">
        <v>65</v>
      </c>
      <c r="L98" s="96">
        <v>65</v>
      </c>
      <c r="M98" s="96">
        <v>65</v>
      </c>
      <c r="N98" s="96">
        <v>64.3</v>
      </c>
      <c r="O98" s="96">
        <v>64.099999999999994</v>
      </c>
      <c r="P98" s="96">
        <v>63.4</v>
      </c>
      <c r="Q98" s="96">
        <v>64.900000000000006</v>
      </c>
      <c r="R98" s="96">
        <v>64.3</v>
      </c>
      <c r="S98" s="96">
        <v>64.900000000000006</v>
      </c>
      <c r="T98" s="96">
        <v>64.599999999999994</v>
      </c>
      <c r="U98" s="96">
        <v>64.8</v>
      </c>
      <c r="V98" s="96">
        <v>65.3</v>
      </c>
      <c r="W98" s="96">
        <v>64.7</v>
      </c>
      <c r="X98" s="96">
        <v>64.900000000000006</v>
      </c>
      <c r="Y98" s="96">
        <v>64.900000000000006</v>
      </c>
      <c r="Z98" s="96">
        <v>64.900000000000006</v>
      </c>
      <c r="AA98" s="96">
        <v>64.900000000000006</v>
      </c>
      <c r="AB98" s="96">
        <v>65.400000000000006</v>
      </c>
      <c r="AC98" s="96">
        <v>66</v>
      </c>
      <c r="AD98" s="96">
        <v>66.400000000000006</v>
      </c>
      <c r="AE98" s="96">
        <v>66.400000000000006</v>
      </c>
      <c r="AF98" s="96">
        <v>67.099999999999994</v>
      </c>
      <c r="AG98" s="97"/>
      <c r="AH98" s="48">
        <f t="shared" si="9"/>
        <v>67.099999999999994</v>
      </c>
      <c r="AI98" s="49">
        <f t="shared" si="10"/>
        <v>63.4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9"/>
        <v>0</v>
      </c>
      <c r="AI99" s="49">
        <f t="shared" si="10"/>
        <v>0</v>
      </c>
    </row>
    <row r="100" spans="1:37" ht="15.75" thickBot="1" x14ac:dyDescent="0.3">
      <c r="A100" s="99" t="s">
        <v>104</v>
      </c>
      <c r="B100" s="100">
        <f t="shared" ref="B100:AF100" si="21">SUM(B15,B20,B22:B23,B48,B50:B51,B53,B55,B101:B105,B127,B133,B139,B148,B150,B162,B169,B172:B173,B180,B182,B184,B188:B190,B192:B194,B199,B205:B206,B208:B210,B218,B223)</f>
        <v>63.600000000000009</v>
      </c>
      <c r="C100" s="100">
        <f t="shared" si="21"/>
        <v>3.2400000000000113</v>
      </c>
      <c r="D100" s="100">
        <f t="shared" si="21"/>
        <v>42.84</v>
      </c>
      <c r="E100" s="100">
        <f t="shared" si="21"/>
        <v>39.840000000000003</v>
      </c>
      <c r="F100" s="100">
        <f t="shared" si="21"/>
        <v>39.840000000000003</v>
      </c>
      <c r="G100" s="100">
        <f t="shared" si="21"/>
        <v>88.44</v>
      </c>
      <c r="H100" s="100">
        <f t="shared" si="21"/>
        <v>82.44</v>
      </c>
      <c r="I100" s="100">
        <f t="shared" ref="I100" si="22">SUM(I15,I20,I22:I23,I48,I50:I51,I53,I55,I101:I105,I127,I133,I139,I148,I150,I162,I169,I172:I173,I180,I182,I184,I188:I190,I192:I194,I199,I205:I206,I208:I210,I218,I223)</f>
        <v>91.44</v>
      </c>
      <c r="J100" s="100">
        <f t="shared" si="21"/>
        <v>99.44</v>
      </c>
      <c r="K100" s="100">
        <f t="shared" si="21"/>
        <v>158.44</v>
      </c>
      <c r="L100" s="100">
        <f t="shared" si="21"/>
        <v>163.44</v>
      </c>
      <c r="M100" s="100">
        <f t="shared" si="21"/>
        <v>212.14</v>
      </c>
      <c r="N100" s="100">
        <f t="shared" si="21"/>
        <v>271.73999999999995</v>
      </c>
      <c r="O100" s="100">
        <f t="shared" si="21"/>
        <v>194.54</v>
      </c>
      <c r="P100" s="100">
        <f t="shared" si="21"/>
        <v>169.14</v>
      </c>
      <c r="Q100" s="100">
        <f t="shared" si="21"/>
        <v>143.19999999999996</v>
      </c>
      <c r="R100" s="100">
        <f t="shared" si="21"/>
        <v>104.9</v>
      </c>
      <c r="S100" s="100">
        <f t="shared" si="21"/>
        <v>89.5</v>
      </c>
      <c r="T100" s="100">
        <f t="shared" si="21"/>
        <v>120.39999999999998</v>
      </c>
      <c r="U100" s="100">
        <f t="shared" si="21"/>
        <v>150.6</v>
      </c>
      <c r="V100" s="100">
        <f t="shared" si="21"/>
        <v>169.5</v>
      </c>
      <c r="W100" s="100">
        <f t="shared" si="21"/>
        <v>203.39999999999998</v>
      </c>
      <c r="X100" s="100">
        <f t="shared" si="21"/>
        <v>242.59999999999997</v>
      </c>
      <c r="Y100" s="100">
        <f t="shared" si="21"/>
        <v>242.39999999999998</v>
      </c>
      <c r="Z100" s="100">
        <f t="shared" si="21"/>
        <v>223.79999999999998</v>
      </c>
      <c r="AA100" s="100">
        <f t="shared" si="21"/>
        <v>213.39999999999998</v>
      </c>
      <c r="AB100" s="100">
        <f t="shared" si="21"/>
        <v>178.3</v>
      </c>
      <c r="AC100" s="100">
        <f t="shared" si="21"/>
        <v>135.19999999999999</v>
      </c>
      <c r="AD100" s="100">
        <f t="shared" si="21"/>
        <v>100.4</v>
      </c>
      <c r="AE100" s="100">
        <f t="shared" si="21"/>
        <v>72.500000000000014</v>
      </c>
      <c r="AF100" s="100">
        <f t="shared" si="21"/>
        <v>41.699999999999989</v>
      </c>
      <c r="AG100" s="101"/>
      <c r="AH100" s="48">
        <f t="shared" si="9"/>
        <v>271.73999999999995</v>
      </c>
      <c r="AI100" s="49">
        <f t="shared" si="10"/>
        <v>3.2400000000000113</v>
      </c>
    </row>
    <row r="101" spans="1:37" x14ac:dyDescent="0.25">
      <c r="A101" s="88" t="s">
        <v>105</v>
      </c>
      <c r="B101" s="102">
        <v>29</v>
      </c>
      <c r="C101" s="102">
        <v>31.5</v>
      </c>
      <c r="D101" s="102">
        <v>30</v>
      </c>
      <c r="E101" s="102">
        <v>30</v>
      </c>
      <c r="F101" s="102">
        <v>30</v>
      </c>
      <c r="G101" s="102">
        <v>40</v>
      </c>
      <c r="H101" s="102">
        <v>45</v>
      </c>
      <c r="I101" s="102">
        <v>45</v>
      </c>
      <c r="J101" s="102">
        <v>45</v>
      </c>
      <c r="K101" s="102">
        <v>53</v>
      </c>
      <c r="L101" s="102">
        <v>53</v>
      </c>
      <c r="M101" s="102">
        <v>58.6</v>
      </c>
      <c r="N101" s="102">
        <v>63.1</v>
      </c>
      <c r="O101" s="102">
        <v>69.099999999999994</v>
      </c>
      <c r="P101" s="102">
        <v>69.599999999999994</v>
      </c>
      <c r="Q101" s="102">
        <v>62.3</v>
      </c>
      <c r="R101" s="102">
        <v>62</v>
      </c>
      <c r="S101" s="102">
        <v>52</v>
      </c>
      <c r="T101" s="102">
        <v>50.4</v>
      </c>
      <c r="U101" s="102">
        <v>52.3</v>
      </c>
      <c r="V101" s="102">
        <v>48.1</v>
      </c>
      <c r="W101" s="102">
        <v>58</v>
      </c>
      <c r="X101" s="102">
        <v>51.5</v>
      </c>
      <c r="Y101" s="102">
        <v>55</v>
      </c>
      <c r="Z101" s="102">
        <v>58</v>
      </c>
      <c r="AA101" s="102">
        <v>62</v>
      </c>
      <c r="AB101" s="102">
        <v>60</v>
      </c>
      <c r="AC101" s="102">
        <v>57.5</v>
      </c>
      <c r="AD101" s="102">
        <v>51.1</v>
      </c>
      <c r="AE101" s="102">
        <v>50.4</v>
      </c>
      <c r="AF101" s="102">
        <v>29.7</v>
      </c>
      <c r="AG101" s="103">
        <v>75</v>
      </c>
      <c r="AH101" s="48">
        <f t="shared" si="9"/>
        <v>69.599999999999994</v>
      </c>
      <c r="AI101" s="49">
        <f t="shared" si="10"/>
        <v>29</v>
      </c>
    </row>
    <row r="102" spans="1:37" x14ac:dyDescent="0.25">
      <c r="A102" s="91" t="s">
        <v>106</v>
      </c>
      <c r="B102" s="104">
        <v>43.5</v>
      </c>
      <c r="C102" s="104">
        <v>4.9000000000000004</v>
      </c>
      <c r="D102" s="104">
        <v>49</v>
      </c>
      <c r="E102" s="104">
        <v>49</v>
      </c>
      <c r="F102" s="104">
        <v>49</v>
      </c>
      <c r="G102" s="104">
        <v>62</v>
      </c>
      <c r="H102" s="104">
        <v>68</v>
      </c>
      <c r="I102" s="104">
        <v>68</v>
      </c>
      <c r="J102" s="104">
        <v>70</v>
      </c>
      <c r="K102" s="104">
        <v>82</v>
      </c>
      <c r="L102" s="104">
        <v>82</v>
      </c>
      <c r="M102" s="104">
        <v>84.7</v>
      </c>
      <c r="N102" s="104">
        <v>91.6</v>
      </c>
      <c r="O102" s="104">
        <v>100.9</v>
      </c>
      <c r="P102" s="104">
        <v>102.5</v>
      </c>
      <c r="Q102" s="104">
        <v>96.2</v>
      </c>
      <c r="R102" s="104">
        <v>94.7</v>
      </c>
      <c r="S102" s="104">
        <v>80</v>
      </c>
      <c r="T102" s="104">
        <v>78.8</v>
      </c>
      <c r="U102" s="104">
        <v>82.6</v>
      </c>
      <c r="V102" s="104">
        <v>74.5</v>
      </c>
      <c r="W102" s="104">
        <v>84</v>
      </c>
      <c r="X102" s="104">
        <v>75</v>
      </c>
      <c r="Y102" s="104">
        <v>78</v>
      </c>
      <c r="Z102" s="104">
        <v>84</v>
      </c>
      <c r="AA102" s="104">
        <v>90</v>
      </c>
      <c r="AB102" s="104">
        <v>88.4</v>
      </c>
      <c r="AC102" s="104">
        <v>84.1</v>
      </c>
      <c r="AD102" s="104">
        <v>73.7</v>
      </c>
      <c r="AE102" s="104">
        <v>74.400000000000006</v>
      </c>
      <c r="AF102" s="104">
        <v>50</v>
      </c>
      <c r="AG102" s="103">
        <v>240</v>
      </c>
      <c r="AH102" s="48">
        <f t="shared" si="9"/>
        <v>102.5</v>
      </c>
      <c r="AI102" s="49">
        <f t="shared" si="10"/>
        <v>4.9000000000000004</v>
      </c>
    </row>
    <row r="103" spans="1:37" x14ac:dyDescent="0.25">
      <c r="A103" s="91" t="s">
        <v>107</v>
      </c>
      <c r="B103" s="104">
        <v>-124</v>
      </c>
      <c r="C103" s="104">
        <v>-125</v>
      </c>
      <c r="D103" s="104">
        <v>-127</v>
      </c>
      <c r="E103" s="104">
        <v>-127</v>
      </c>
      <c r="F103" s="104">
        <v>-127</v>
      </c>
      <c r="G103" s="104">
        <v>-121</v>
      </c>
      <c r="H103" s="104">
        <v>-123</v>
      </c>
      <c r="I103" s="104">
        <v>-123</v>
      </c>
      <c r="J103" s="104">
        <v>-123</v>
      </c>
      <c r="K103" s="104">
        <v>-107</v>
      </c>
      <c r="L103" s="104">
        <v>-107</v>
      </c>
      <c r="M103" s="104">
        <f>-33.8-35.8</f>
        <v>-69.599999999999994</v>
      </c>
      <c r="N103" s="104">
        <v>-25</v>
      </c>
      <c r="O103" s="104">
        <f>-29-31</f>
        <v>-60</v>
      </c>
      <c r="P103" s="104">
        <v>-81</v>
      </c>
      <c r="Q103" s="104">
        <f>-43-47</f>
        <v>-90</v>
      </c>
      <c r="R103" s="104">
        <f>-52-56</f>
        <v>-108</v>
      </c>
      <c r="S103" s="104">
        <v>-93</v>
      </c>
      <c r="T103" s="104">
        <v>-83.9</v>
      </c>
      <c r="U103" s="104">
        <v>-71</v>
      </c>
      <c r="V103" s="104">
        <v>-99</v>
      </c>
      <c r="W103" s="104">
        <v>-80</v>
      </c>
      <c r="X103" s="104">
        <v>-35</v>
      </c>
      <c r="Y103" s="104">
        <v>-40</v>
      </c>
      <c r="Z103" s="104">
        <v>-65</v>
      </c>
      <c r="AA103" s="104">
        <v>-85</v>
      </c>
      <c r="AB103" s="104">
        <v>-103.7</v>
      </c>
      <c r="AC103" s="104">
        <f>-61-65.4</f>
        <v>-126.4</v>
      </c>
      <c r="AD103" s="104">
        <f>-64.3-69.6</f>
        <v>-133.89999999999998</v>
      </c>
      <c r="AE103" s="104">
        <f>-71-76.9</f>
        <v>-147.9</v>
      </c>
      <c r="AF103" s="104">
        <f>-60.2-64.9</f>
        <v>-125.10000000000001</v>
      </c>
      <c r="AG103" s="103">
        <v>240</v>
      </c>
      <c r="AH103" s="48">
        <f t="shared" si="9"/>
        <v>-25</v>
      </c>
      <c r="AI103" s="49">
        <f t="shared" si="10"/>
        <v>-147.9</v>
      </c>
    </row>
    <row r="104" spans="1:37" x14ac:dyDescent="0.25">
      <c r="A104" s="91" t="s">
        <v>108</v>
      </c>
      <c r="B104" s="104">
        <v>-5.3</v>
      </c>
      <c r="C104" s="104">
        <v>-9</v>
      </c>
      <c r="D104" s="104">
        <v>-10</v>
      </c>
      <c r="E104" s="104">
        <v>-10</v>
      </c>
      <c r="F104" s="104">
        <v>-10</v>
      </c>
      <c r="G104" s="104">
        <v>-10</v>
      </c>
      <c r="H104" s="104">
        <v>-9</v>
      </c>
      <c r="I104" s="104">
        <v>-9</v>
      </c>
      <c r="J104" s="104">
        <v>-9</v>
      </c>
      <c r="K104" s="104">
        <v>-1</v>
      </c>
      <c r="L104" s="104">
        <v>-1</v>
      </c>
      <c r="M104" s="104">
        <v>2.9</v>
      </c>
      <c r="N104" s="104">
        <v>6.5</v>
      </c>
      <c r="O104" s="104">
        <v>6.1</v>
      </c>
      <c r="P104" s="104">
        <v>0</v>
      </c>
      <c r="Q104" s="104">
        <v>-2.4</v>
      </c>
      <c r="R104" s="104">
        <v>-5</v>
      </c>
      <c r="S104" s="104">
        <v>-5</v>
      </c>
      <c r="T104" s="104">
        <v>-1.1000000000000001</v>
      </c>
      <c r="U104" s="104">
        <v>2.9</v>
      </c>
      <c r="V104" s="104">
        <v>4.5</v>
      </c>
      <c r="W104" s="104">
        <v>10</v>
      </c>
      <c r="X104" s="104">
        <v>19.7</v>
      </c>
      <c r="Y104" s="104">
        <v>18</v>
      </c>
      <c r="Z104" s="104">
        <v>15.4</v>
      </c>
      <c r="AA104" s="104">
        <v>15</v>
      </c>
      <c r="AB104" s="104">
        <v>12.2</v>
      </c>
      <c r="AC104" s="104">
        <v>7.2</v>
      </c>
      <c r="AD104" s="104">
        <v>3.6</v>
      </c>
      <c r="AE104" s="104">
        <v>-1.3</v>
      </c>
      <c r="AF104" s="104">
        <v>2.2999999999999998</v>
      </c>
      <c r="AG104" s="103">
        <v>60</v>
      </c>
      <c r="AH104" s="48">
        <f t="shared" si="9"/>
        <v>19.7</v>
      </c>
      <c r="AI104" s="49">
        <f t="shared" si="10"/>
        <v>-10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0</v>
      </c>
      <c r="Y105" s="106">
        <v>0</v>
      </c>
      <c r="Z105" s="106">
        <v>0</v>
      </c>
      <c r="AA105" s="106">
        <v>0</v>
      </c>
      <c r="AB105" s="106">
        <v>0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9"/>
        <v>0</v>
      </c>
      <c r="AI105" s="49">
        <f t="shared" si="10"/>
        <v>0</v>
      </c>
    </row>
    <row r="106" spans="1:37" x14ac:dyDescent="0.25">
      <c r="A106" s="105" t="s">
        <v>110</v>
      </c>
      <c r="B106" s="106">
        <v>7</v>
      </c>
      <c r="C106" s="106">
        <v>2</v>
      </c>
      <c r="D106" s="106">
        <v>18</v>
      </c>
      <c r="E106" s="106">
        <v>18</v>
      </c>
      <c r="F106" s="106">
        <v>18</v>
      </c>
      <c r="G106" s="106">
        <v>-15</v>
      </c>
      <c r="H106" s="106">
        <v>-20</v>
      </c>
      <c r="I106" s="106">
        <v>-20</v>
      </c>
      <c r="J106" s="106">
        <v>-20</v>
      </c>
      <c r="K106" s="106">
        <v>-1</v>
      </c>
      <c r="L106" s="106">
        <v>-1</v>
      </c>
      <c r="M106" s="106">
        <v>18.600000000000001</v>
      </c>
      <c r="N106" s="106">
        <v>36.4</v>
      </c>
      <c r="O106" s="106">
        <v>17.5</v>
      </c>
      <c r="P106" s="106">
        <v>5.6</v>
      </c>
      <c r="Q106" s="106">
        <v>46.2</v>
      </c>
      <c r="R106" s="106">
        <v>-15.6</v>
      </c>
      <c r="S106" s="106">
        <v>3</v>
      </c>
      <c r="T106" s="106">
        <v>8.6999999999999993</v>
      </c>
      <c r="U106" s="106">
        <v>10.4</v>
      </c>
      <c r="V106" s="106">
        <v>-8.5</v>
      </c>
      <c r="W106" s="106">
        <v>3</v>
      </c>
      <c r="X106" s="106">
        <v>36.1</v>
      </c>
      <c r="Y106" s="106">
        <v>30</v>
      </c>
      <c r="Z106" s="106">
        <v>6</v>
      </c>
      <c r="AA106" s="106">
        <v>-10</v>
      </c>
      <c r="AB106" s="106">
        <v>-30.7</v>
      </c>
      <c r="AC106" s="106">
        <v>-45.1</v>
      </c>
      <c r="AD106" s="106">
        <v>-44</v>
      </c>
      <c r="AE106" s="106">
        <v>-54.4</v>
      </c>
      <c r="AF106" s="106">
        <v>-51.55</v>
      </c>
      <c r="AG106" s="107"/>
      <c r="AH106" s="48">
        <f t="shared" si="9"/>
        <v>46.2</v>
      </c>
      <c r="AI106" s="49">
        <f t="shared" si="10"/>
        <v>-54.4</v>
      </c>
    </row>
    <row r="107" spans="1:37" x14ac:dyDescent="0.25">
      <c r="A107" s="105" t="s">
        <v>111</v>
      </c>
      <c r="B107" s="106">
        <v>4</v>
      </c>
      <c r="C107" s="106">
        <v>11</v>
      </c>
      <c r="D107" s="106">
        <v>5</v>
      </c>
      <c r="E107" s="106">
        <v>5</v>
      </c>
      <c r="F107" s="106">
        <v>5</v>
      </c>
      <c r="G107" s="106">
        <v>0</v>
      </c>
      <c r="H107" s="106">
        <v>-17</v>
      </c>
      <c r="I107" s="106">
        <v>-17</v>
      </c>
      <c r="J107" s="106">
        <v>-17</v>
      </c>
      <c r="K107" s="106">
        <v>7</v>
      </c>
      <c r="L107" s="106">
        <v>7</v>
      </c>
      <c r="M107" s="106">
        <v>6.3</v>
      </c>
      <c r="N107" s="106">
        <v>1.1000000000000001</v>
      </c>
      <c r="O107" s="106">
        <v>-13.1</v>
      </c>
      <c r="P107" s="106">
        <v>-17.600000000000001</v>
      </c>
      <c r="Q107" s="106">
        <v>-25.7</v>
      </c>
      <c r="R107" s="106">
        <v>-22.9</v>
      </c>
      <c r="S107" s="106">
        <v>-11</v>
      </c>
      <c r="T107" s="106">
        <v>7.5</v>
      </c>
      <c r="U107" s="106">
        <v>12.3</v>
      </c>
      <c r="V107" s="106">
        <v>25.4</v>
      </c>
      <c r="W107" s="106">
        <v>0</v>
      </c>
      <c r="X107" s="106">
        <v>17.7</v>
      </c>
      <c r="Y107" s="106">
        <v>14</v>
      </c>
      <c r="Z107" s="106">
        <v>5</v>
      </c>
      <c r="AA107" s="106">
        <v>3.9</v>
      </c>
      <c r="AB107" s="106">
        <v>-9.1999999999999993</v>
      </c>
      <c r="AC107" s="106">
        <v>-23.4</v>
      </c>
      <c r="AD107" s="106">
        <v>-15.2</v>
      </c>
      <c r="AE107" s="106">
        <v>-14.8</v>
      </c>
      <c r="AF107" s="106">
        <v>-12.68</v>
      </c>
      <c r="AG107" s="108"/>
      <c r="AH107" s="48">
        <f t="shared" si="9"/>
        <v>25.4</v>
      </c>
      <c r="AI107" s="49">
        <f t="shared" si="10"/>
        <v>-25.7</v>
      </c>
    </row>
    <row r="108" spans="1:37" x14ac:dyDescent="0.25">
      <c r="A108" s="109" t="s">
        <v>112</v>
      </c>
      <c r="B108" s="94">
        <v>86</v>
      </c>
      <c r="C108" s="94">
        <v>81</v>
      </c>
      <c r="D108" s="94">
        <v>86</v>
      </c>
      <c r="E108" s="94">
        <v>86</v>
      </c>
      <c r="F108" s="94">
        <v>86</v>
      </c>
      <c r="G108" s="94">
        <v>89</v>
      </c>
      <c r="H108" s="94">
        <v>84</v>
      </c>
      <c r="I108" s="94">
        <v>84</v>
      </c>
      <c r="J108" s="94">
        <v>84</v>
      </c>
      <c r="K108" s="94">
        <v>76</v>
      </c>
      <c r="L108" s="94">
        <v>76</v>
      </c>
      <c r="M108" s="94">
        <v>68.599999999999994</v>
      </c>
      <c r="N108" s="94">
        <v>70.900000000000006</v>
      </c>
      <c r="O108" s="94">
        <v>72.599999999999994</v>
      </c>
      <c r="P108" s="94">
        <v>69.900000000000006</v>
      </c>
      <c r="Q108" s="94">
        <v>72.2</v>
      </c>
      <c r="R108" s="94">
        <v>79.2</v>
      </c>
      <c r="S108" s="94">
        <v>75</v>
      </c>
      <c r="T108" s="94">
        <v>82.5</v>
      </c>
      <c r="U108" s="94">
        <v>69.599999999999994</v>
      </c>
      <c r="V108" s="94">
        <v>62.3</v>
      </c>
      <c r="W108" s="94">
        <v>50</v>
      </c>
      <c r="X108" s="94">
        <v>51.4</v>
      </c>
      <c r="Y108" s="94">
        <v>55</v>
      </c>
      <c r="Z108" s="94">
        <v>58</v>
      </c>
      <c r="AA108" s="94">
        <v>69</v>
      </c>
      <c r="AB108" s="94">
        <v>74.599999999999994</v>
      </c>
      <c r="AC108" s="94">
        <v>76.599999999999994</v>
      </c>
      <c r="AD108" s="94">
        <v>77.900000000000006</v>
      </c>
      <c r="AE108" s="94">
        <v>82</v>
      </c>
      <c r="AF108" s="94">
        <v>82.4</v>
      </c>
      <c r="AG108" s="108"/>
      <c r="AH108" s="48">
        <f t="shared" si="9"/>
        <v>89</v>
      </c>
      <c r="AI108" s="49">
        <f t="shared" si="10"/>
        <v>50</v>
      </c>
    </row>
    <row r="109" spans="1:37" ht="15.75" thickBot="1" x14ac:dyDescent="0.3">
      <c r="A109" s="109" t="s">
        <v>113</v>
      </c>
      <c r="B109" s="94">
        <v>95</v>
      </c>
      <c r="C109" s="94">
        <v>96</v>
      </c>
      <c r="D109" s="94">
        <v>92</v>
      </c>
      <c r="E109" s="94">
        <v>92</v>
      </c>
      <c r="F109" s="94">
        <v>92</v>
      </c>
      <c r="G109" s="94">
        <v>88</v>
      </c>
      <c r="H109" s="94">
        <v>96</v>
      </c>
      <c r="I109" s="94">
        <v>96</v>
      </c>
      <c r="J109" s="94">
        <v>96</v>
      </c>
      <c r="K109" s="94">
        <v>76</v>
      </c>
      <c r="L109" s="94">
        <v>76</v>
      </c>
      <c r="M109" s="94">
        <v>57.1</v>
      </c>
      <c r="N109" s="94">
        <v>33.4</v>
      </c>
      <c r="O109" s="94">
        <v>56.8</v>
      </c>
      <c r="P109" s="94">
        <v>70</v>
      </c>
      <c r="Q109" s="94">
        <v>76.3</v>
      </c>
      <c r="R109" s="94">
        <v>85.9</v>
      </c>
      <c r="S109" s="94">
        <v>73</v>
      </c>
      <c r="T109" s="94">
        <v>65.400000000000006</v>
      </c>
      <c r="U109" s="94">
        <v>55.9</v>
      </c>
      <c r="V109" s="94">
        <v>63.3</v>
      </c>
      <c r="W109" s="94">
        <v>61</v>
      </c>
      <c r="X109" s="94">
        <v>24.9</v>
      </c>
      <c r="Y109" s="94">
        <v>35</v>
      </c>
      <c r="Z109" s="94">
        <v>56</v>
      </c>
      <c r="AA109" s="94">
        <v>71</v>
      </c>
      <c r="AB109" s="94">
        <v>85.6</v>
      </c>
      <c r="AC109" s="94">
        <v>97.8</v>
      </c>
      <c r="AD109" s="94">
        <v>98.1</v>
      </c>
      <c r="AE109" s="94">
        <v>110.9</v>
      </c>
      <c r="AF109" s="94">
        <v>109.31</v>
      </c>
      <c r="AG109" s="108"/>
      <c r="AH109" s="48">
        <f t="shared" si="9"/>
        <v>110.9</v>
      </c>
      <c r="AI109" s="49">
        <f t="shared" si="10"/>
        <v>24.9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23">SUM(B111:B215)</f>
        <v>0</v>
      </c>
      <c r="C216" s="125">
        <f t="shared" si="23"/>
        <v>0</v>
      </c>
      <c r="D216" s="125">
        <f t="shared" si="23"/>
        <v>0</v>
      </c>
      <c r="E216" s="125">
        <f t="shared" si="23"/>
        <v>0</v>
      </c>
      <c r="F216" s="125">
        <f t="shared" si="23"/>
        <v>0</v>
      </c>
      <c r="G216" s="125">
        <f t="shared" si="23"/>
        <v>0</v>
      </c>
      <c r="H216" s="125">
        <f t="shared" si="23"/>
        <v>0</v>
      </c>
      <c r="I216" s="125">
        <f t="shared" si="23"/>
        <v>0</v>
      </c>
      <c r="J216" s="125">
        <f t="shared" si="23"/>
        <v>0</v>
      </c>
      <c r="K216" s="125">
        <f t="shared" si="23"/>
        <v>0</v>
      </c>
      <c r="L216" s="125">
        <f t="shared" si="23"/>
        <v>0</v>
      </c>
      <c r="M216" s="125">
        <f t="shared" si="23"/>
        <v>0</v>
      </c>
      <c r="N216" s="125">
        <f t="shared" si="23"/>
        <v>0</v>
      </c>
      <c r="O216" s="125">
        <f t="shared" si="23"/>
        <v>0</v>
      </c>
      <c r="P216" s="125">
        <f t="shared" si="23"/>
        <v>0</v>
      </c>
      <c r="Q216" s="125">
        <f t="shared" si="23"/>
        <v>0</v>
      </c>
      <c r="R216" s="125">
        <f t="shared" si="23"/>
        <v>0</v>
      </c>
      <c r="S216" s="125">
        <f t="shared" si="23"/>
        <v>0</v>
      </c>
      <c r="T216" s="125">
        <f t="shared" si="23"/>
        <v>0</v>
      </c>
      <c r="U216" s="125">
        <f t="shared" si="23"/>
        <v>0</v>
      </c>
      <c r="V216" s="125">
        <f t="shared" si="23"/>
        <v>0</v>
      </c>
      <c r="W216" s="125">
        <f t="shared" si="23"/>
        <v>0</v>
      </c>
      <c r="X216" s="125">
        <f t="shared" si="23"/>
        <v>0</v>
      </c>
      <c r="Y216" s="125">
        <f t="shared" si="23"/>
        <v>0</v>
      </c>
      <c r="Z216" s="125">
        <f t="shared" si="23"/>
        <v>0</v>
      </c>
      <c r="AA216" s="125">
        <f t="shared" si="23"/>
        <v>0</v>
      </c>
      <c r="AB216" s="125">
        <f t="shared" si="23"/>
        <v>0</v>
      </c>
      <c r="AC216" s="125">
        <f t="shared" si="23"/>
        <v>0</v>
      </c>
      <c r="AD216" s="125">
        <f t="shared" si="23"/>
        <v>0</v>
      </c>
      <c r="AE216" s="125">
        <f t="shared" si="23"/>
        <v>0</v>
      </c>
      <c r="AF216" s="126">
        <f t="shared" si="23"/>
        <v>0</v>
      </c>
      <c r="AG216" s="127">
        <f t="shared" si="23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24">AF218</f>
        <v>0</v>
      </c>
      <c r="C218" s="129">
        <v>0.3</v>
      </c>
      <c r="D218" s="129">
        <f t="shared" ref="D218:P223" si="25">C218</f>
        <v>0.3</v>
      </c>
      <c r="E218" s="129">
        <f t="shared" si="25"/>
        <v>0.3</v>
      </c>
      <c r="F218" s="129">
        <f t="shared" si="25"/>
        <v>0.3</v>
      </c>
      <c r="G218" s="129">
        <f t="shared" si="25"/>
        <v>0.3</v>
      </c>
      <c r="H218" s="129">
        <f t="shared" si="25"/>
        <v>0.3</v>
      </c>
      <c r="I218" s="129">
        <f t="shared" si="25"/>
        <v>0.3</v>
      </c>
      <c r="J218" s="129">
        <f t="shared" si="25"/>
        <v>0.3</v>
      </c>
      <c r="K218" s="129">
        <f t="shared" si="25"/>
        <v>0.3</v>
      </c>
      <c r="L218" s="129">
        <f t="shared" si="25"/>
        <v>0.3</v>
      </c>
      <c r="M218" s="129">
        <f t="shared" si="25"/>
        <v>0.3</v>
      </c>
      <c r="N218" s="129">
        <f t="shared" si="25"/>
        <v>0.3</v>
      </c>
      <c r="O218" s="129">
        <f t="shared" si="25"/>
        <v>0.3</v>
      </c>
      <c r="P218" s="129">
        <f t="shared" si="25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24"/>
        <v>0</v>
      </c>
      <c r="C219" s="117">
        <v>0.4</v>
      </c>
      <c r="D219" s="117">
        <f t="shared" si="25"/>
        <v>0.4</v>
      </c>
      <c r="E219" s="117">
        <f t="shared" si="25"/>
        <v>0.4</v>
      </c>
      <c r="F219" s="117">
        <f t="shared" si="25"/>
        <v>0.4</v>
      </c>
      <c r="G219" s="117">
        <f t="shared" si="25"/>
        <v>0.4</v>
      </c>
      <c r="H219" s="117">
        <f t="shared" si="25"/>
        <v>0.4</v>
      </c>
      <c r="I219" s="117">
        <f t="shared" si="25"/>
        <v>0.4</v>
      </c>
      <c r="J219" s="117">
        <f t="shared" si="25"/>
        <v>0.4</v>
      </c>
      <c r="K219" s="117">
        <f t="shared" si="25"/>
        <v>0.4</v>
      </c>
      <c r="L219" s="117">
        <f t="shared" si="25"/>
        <v>0.4</v>
      </c>
      <c r="M219" s="117">
        <f t="shared" si="25"/>
        <v>0.4</v>
      </c>
      <c r="N219" s="117">
        <f t="shared" si="25"/>
        <v>0.4</v>
      </c>
      <c r="O219" s="117">
        <f t="shared" si="25"/>
        <v>0.4</v>
      </c>
      <c r="P219" s="117">
        <f t="shared" si="25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24"/>
        <v>0</v>
      </c>
      <c r="C220" s="117">
        <v>1.5</v>
      </c>
      <c r="D220" s="117">
        <f t="shared" si="25"/>
        <v>1.5</v>
      </c>
      <c r="E220" s="117">
        <f t="shared" si="25"/>
        <v>1.5</v>
      </c>
      <c r="F220" s="117">
        <f t="shared" si="25"/>
        <v>1.5</v>
      </c>
      <c r="G220" s="117">
        <f t="shared" si="25"/>
        <v>1.5</v>
      </c>
      <c r="H220" s="117">
        <f t="shared" si="25"/>
        <v>1.5</v>
      </c>
      <c r="I220" s="117">
        <f t="shared" si="25"/>
        <v>1.5</v>
      </c>
      <c r="J220" s="117">
        <f t="shared" si="25"/>
        <v>1.5</v>
      </c>
      <c r="K220" s="117">
        <f t="shared" si="25"/>
        <v>1.5</v>
      </c>
      <c r="L220" s="117">
        <f t="shared" si="25"/>
        <v>1.5</v>
      </c>
      <c r="M220" s="117">
        <f t="shared" si="25"/>
        <v>1.5</v>
      </c>
      <c r="N220" s="117">
        <f t="shared" si="25"/>
        <v>1.5</v>
      </c>
      <c r="O220" s="117">
        <f t="shared" si="25"/>
        <v>1.5</v>
      </c>
      <c r="P220" s="117">
        <f t="shared" si="25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24"/>
        <v>0</v>
      </c>
      <c r="C221" s="117">
        <v>0.3</v>
      </c>
      <c r="D221" s="117">
        <f t="shared" si="25"/>
        <v>0.3</v>
      </c>
      <c r="E221" s="117">
        <f t="shared" si="25"/>
        <v>0.3</v>
      </c>
      <c r="F221" s="117">
        <f t="shared" si="25"/>
        <v>0.3</v>
      </c>
      <c r="G221" s="117">
        <f t="shared" si="25"/>
        <v>0.3</v>
      </c>
      <c r="H221" s="117">
        <f t="shared" si="25"/>
        <v>0.3</v>
      </c>
      <c r="I221" s="117">
        <f t="shared" si="25"/>
        <v>0.3</v>
      </c>
      <c r="J221" s="117">
        <f t="shared" si="25"/>
        <v>0.3</v>
      </c>
      <c r="K221" s="117">
        <f t="shared" si="25"/>
        <v>0.3</v>
      </c>
      <c r="L221" s="117">
        <f t="shared" si="25"/>
        <v>0.3</v>
      </c>
      <c r="M221" s="117">
        <f t="shared" si="25"/>
        <v>0.3</v>
      </c>
      <c r="N221" s="117">
        <f t="shared" si="25"/>
        <v>0.3</v>
      </c>
      <c r="O221" s="117">
        <f t="shared" si="25"/>
        <v>0.3</v>
      </c>
      <c r="P221" s="117">
        <f t="shared" si="25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24"/>
        <v>0</v>
      </c>
      <c r="C222" s="117">
        <v>0.4</v>
      </c>
      <c r="D222" s="117">
        <f t="shared" si="25"/>
        <v>0.4</v>
      </c>
      <c r="E222" s="117">
        <f t="shared" si="25"/>
        <v>0.4</v>
      </c>
      <c r="F222" s="117">
        <f t="shared" si="25"/>
        <v>0.4</v>
      </c>
      <c r="G222" s="117">
        <f t="shared" si="25"/>
        <v>0.4</v>
      </c>
      <c r="H222" s="117">
        <f t="shared" si="25"/>
        <v>0.4</v>
      </c>
      <c r="I222" s="117">
        <f t="shared" si="25"/>
        <v>0.4</v>
      </c>
      <c r="J222" s="117">
        <f t="shared" si="25"/>
        <v>0.4</v>
      </c>
      <c r="K222" s="117">
        <f t="shared" si="25"/>
        <v>0.4</v>
      </c>
      <c r="L222" s="117">
        <f t="shared" si="25"/>
        <v>0.4</v>
      </c>
      <c r="M222" s="117">
        <f t="shared" si="25"/>
        <v>0.4</v>
      </c>
      <c r="N222" s="117">
        <f t="shared" si="25"/>
        <v>0.4</v>
      </c>
      <c r="O222" s="117">
        <f t="shared" si="25"/>
        <v>0.4</v>
      </c>
      <c r="P222" s="117">
        <f t="shared" si="25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24"/>
        <v>0</v>
      </c>
      <c r="C223" s="121">
        <v>0.64</v>
      </c>
      <c r="D223" s="121">
        <f t="shared" si="25"/>
        <v>0.64</v>
      </c>
      <c r="E223" s="121">
        <f t="shared" si="25"/>
        <v>0.64</v>
      </c>
      <c r="F223" s="121">
        <f t="shared" si="25"/>
        <v>0.64</v>
      </c>
      <c r="G223" s="121">
        <f t="shared" si="25"/>
        <v>0.64</v>
      </c>
      <c r="H223" s="121">
        <f t="shared" si="25"/>
        <v>0.64</v>
      </c>
      <c r="I223" s="121">
        <f t="shared" si="25"/>
        <v>0.64</v>
      </c>
      <c r="J223" s="121">
        <f t="shared" si="25"/>
        <v>0.64</v>
      </c>
      <c r="K223" s="121">
        <f t="shared" si="25"/>
        <v>0.64</v>
      </c>
      <c r="L223" s="121">
        <f t="shared" si="25"/>
        <v>0.64</v>
      </c>
      <c r="M223" s="121">
        <f t="shared" si="25"/>
        <v>0.64</v>
      </c>
      <c r="N223" s="121">
        <f t="shared" si="25"/>
        <v>0.64</v>
      </c>
      <c r="O223" s="121">
        <f t="shared" si="25"/>
        <v>0.64</v>
      </c>
      <c r="P223" s="121">
        <f t="shared" si="25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6">SUM(B218:B223)</f>
        <v>0</v>
      </c>
      <c r="C224" s="125">
        <f t="shared" si="26"/>
        <v>3.54</v>
      </c>
      <c r="D224" s="125">
        <f t="shared" si="26"/>
        <v>3.54</v>
      </c>
      <c r="E224" s="125">
        <f t="shared" si="26"/>
        <v>3.54</v>
      </c>
      <c r="F224" s="125">
        <f t="shared" si="26"/>
        <v>3.54</v>
      </c>
      <c r="G224" s="125">
        <f t="shared" si="26"/>
        <v>3.54</v>
      </c>
      <c r="H224" s="125">
        <f t="shared" si="26"/>
        <v>3.54</v>
      </c>
      <c r="I224" s="125">
        <f t="shared" si="26"/>
        <v>3.54</v>
      </c>
      <c r="J224" s="125">
        <f t="shared" si="26"/>
        <v>3.54</v>
      </c>
      <c r="K224" s="125">
        <f t="shared" si="26"/>
        <v>3.54</v>
      </c>
      <c r="L224" s="125">
        <f t="shared" si="26"/>
        <v>3.54</v>
      </c>
      <c r="M224" s="125">
        <f t="shared" si="26"/>
        <v>3.54</v>
      </c>
      <c r="N224" s="125">
        <f t="shared" si="26"/>
        <v>3.54</v>
      </c>
      <c r="O224" s="125">
        <f t="shared" si="26"/>
        <v>3.54</v>
      </c>
      <c r="P224" s="125">
        <f t="shared" si="26"/>
        <v>3.54</v>
      </c>
      <c r="Q224" s="125">
        <f t="shared" si="26"/>
        <v>0</v>
      </c>
      <c r="R224" s="125">
        <f t="shared" si="26"/>
        <v>0</v>
      </c>
      <c r="S224" s="125">
        <f t="shared" si="26"/>
        <v>0</v>
      </c>
      <c r="T224" s="125">
        <f t="shared" si="26"/>
        <v>0</v>
      </c>
      <c r="U224" s="125">
        <f t="shared" si="26"/>
        <v>0</v>
      </c>
      <c r="V224" s="125">
        <f t="shared" si="26"/>
        <v>0</v>
      </c>
      <c r="W224" s="125">
        <f t="shared" si="26"/>
        <v>0</v>
      </c>
      <c r="X224" s="125">
        <f t="shared" si="26"/>
        <v>0</v>
      </c>
      <c r="Y224" s="125">
        <f t="shared" si="26"/>
        <v>0</v>
      </c>
      <c r="Z224" s="125">
        <f t="shared" si="26"/>
        <v>0</v>
      </c>
      <c r="AA224" s="125">
        <f t="shared" si="26"/>
        <v>0</v>
      </c>
      <c r="AB224" s="125">
        <f t="shared" si="26"/>
        <v>0</v>
      </c>
      <c r="AC224" s="125">
        <f t="shared" si="26"/>
        <v>0</v>
      </c>
      <c r="AD224" s="125">
        <f t="shared" si="26"/>
        <v>0</v>
      </c>
      <c r="AE224" s="125">
        <f t="shared" si="26"/>
        <v>0</v>
      </c>
      <c r="AF224" s="125">
        <f t="shared" si="26"/>
        <v>0</v>
      </c>
      <c r="AG224" s="134">
        <f t="shared" si="26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1485.24</v>
      </c>
      <c r="C233" s="150">
        <f>INDEX(G9:N9,1,MATCH(MAX(G81:N81),G81:N81,0))</f>
        <v>0.33333333333333331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26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2079/06/26)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2079/06/26)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27">B81</f>
        <v>1231.3399999999999</v>
      </c>
      <c r="U238" s="159">
        <f t="shared" si="27"/>
        <v>1256.1399999999999</v>
      </c>
      <c r="V238" s="159">
        <f t="shared" si="27"/>
        <v>1256.1399999999999</v>
      </c>
      <c r="W238" s="159">
        <f t="shared" si="27"/>
        <v>1243.1399999999999</v>
      </c>
      <c r="X238" s="159">
        <f t="shared" si="27"/>
        <v>1221.1399999999999</v>
      </c>
      <c r="Y238" s="159">
        <f t="shared" si="27"/>
        <v>1286.24</v>
      </c>
      <c r="Z238" s="159">
        <f t="shared" si="27"/>
        <v>1297.6400000000001</v>
      </c>
      <c r="AA238" s="159">
        <f t="shared" si="27"/>
        <v>1335.64</v>
      </c>
      <c r="AB238" s="159">
        <f t="shared" si="27"/>
        <v>1361.14</v>
      </c>
      <c r="AC238" s="159">
        <f t="shared" si="27"/>
        <v>1408.14</v>
      </c>
      <c r="AD238" s="159">
        <f t="shared" si="27"/>
        <v>1408.14</v>
      </c>
      <c r="AE238" s="159">
        <f t="shared" si="27"/>
        <v>1485.24</v>
      </c>
      <c r="AF238" s="159">
        <f t="shared" si="27"/>
        <v>1450.24</v>
      </c>
      <c r="AG238" s="159">
        <f t="shared" si="27"/>
        <v>1398.14</v>
      </c>
      <c r="AH238" s="159">
        <f t="shared" si="27"/>
        <v>1339.34</v>
      </c>
      <c r="AI238" s="159">
        <f t="shared" si="27"/>
        <v>1277.8399999999999</v>
      </c>
      <c r="AJ238" s="159">
        <f t="shared" si="27"/>
        <v>1251.94</v>
      </c>
      <c r="AK238" s="159">
        <f t="shared" si="27"/>
        <v>1257.4399999999998</v>
      </c>
      <c r="AL238" s="159">
        <f t="shared" si="27"/>
        <v>1254.04</v>
      </c>
      <c r="AM238" s="159">
        <f t="shared" si="27"/>
        <v>1279.6399999999999</v>
      </c>
      <c r="AN238" s="159">
        <f t="shared" si="27"/>
        <v>1357.1399999999999</v>
      </c>
      <c r="AO238" s="159">
        <f t="shared" si="27"/>
        <v>1440.2400000000002</v>
      </c>
      <c r="AP238" s="159">
        <f t="shared" si="27"/>
        <v>1583.84</v>
      </c>
      <c r="AQ238" s="159">
        <f t="shared" si="27"/>
        <v>1553.74</v>
      </c>
      <c r="AR238" s="159">
        <f t="shared" si="27"/>
        <v>1513.84</v>
      </c>
      <c r="AS238" s="159">
        <f t="shared" si="27"/>
        <v>1473.84</v>
      </c>
      <c r="AT238" s="159">
        <f t="shared" si="27"/>
        <v>1408.74</v>
      </c>
      <c r="AU238" s="159">
        <f t="shared" si="27"/>
        <v>1357.54</v>
      </c>
      <c r="AV238" s="159">
        <f t="shared" si="27"/>
        <v>1292.8400000000001</v>
      </c>
      <c r="AW238" s="159">
        <f t="shared" si="27"/>
        <v>1224.74</v>
      </c>
      <c r="AX238" s="159">
        <f t="shared" si="27"/>
        <v>1220.1399999999999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28">C223</f>
        <v>0.64</v>
      </c>
      <c r="C259" s="162">
        <f t="shared" si="28"/>
        <v>0.64</v>
      </c>
      <c r="D259" s="162">
        <f t="shared" si="28"/>
        <v>0.64</v>
      </c>
      <c r="E259" s="162">
        <f t="shared" si="28"/>
        <v>0.64</v>
      </c>
      <c r="F259" s="162">
        <f t="shared" si="28"/>
        <v>0.64</v>
      </c>
      <c r="G259" s="162">
        <f t="shared" si="28"/>
        <v>0.64</v>
      </c>
      <c r="H259" s="162">
        <f t="shared" si="28"/>
        <v>0.64</v>
      </c>
      <c r="I259" s="162">
        <f t="shared" si="28"/>
        <v>0.64</v>
      </c>
      <c r="J259" s="162">
        <f t="shared" si="28"/>
        <v>0.64</v>
      </c>
      <c r="K259" s="162">
        <f t="shared" si="28"/>
        <v>0.64</v>
      </c>
      <c r="L259" s="162">
        <f t="shared" si="28"/>
        <v>0.64</v>
      </c>
      <c r="M259" s="162">
        <f t="shared" si="28"/>
        <v>0.64</v>
      </c>
      <c r="N259" s="162">
        <f t="shared" si="28"/>
        <v>0.64</v>
      </c>
      <c r="O259" s="162">
        <f t="shared" si="28"/>
        <v>0.64</v>
      </c>
      <c r="P259" s="162">
        <f t="shared" si="28"/>
        <v>0</v>
      </c>
      <c r="Q259" s="162">
        <f t="shared" si="28"/>
        <v>0</v>
      </c>
      <c r="R259" s="162">
        <f t="shared" si="28"/>
        <v>0</v>
      </c>
      <c r="S259" s="162">
        <f t="shared" si="28"/>
        <v>0</v>
      </c>
      <c r="T259" s="162">
        <f t="shared" si="28"/>
        <v>0</v>
      </c>
      <c r="U259" s="162">
        <f t="shared" si="28"/>
        <v>0</v>
      </c>
      <c r="V259" s="162">
        <f t="shared" si="28"/>
        <v>0</v>
      </c>
      <c r="W259" s="162">
        <f t="shared" si="28"/>
        <v>0</v>
      </c>
      <c r="X259" s="162">
        <f t="shared" si="28"/>
        <v>0</v>
      </c>
      <c r="Y259" s="162">
        <f t="shared" si="28"/>
        <v>0</v>
      </c>
      <c r="Z259" s="162">
        <f t="shared" si="28"/>
        <v>0</v>
      </c>
      <c r="AA259" s="162">
        <f t="shared" si="28"/>
        <v>0</v>
      </c>
      <c r="AB259" s="162">
        <f t="shared" si="28"/>
        <v>0</v>
      </c>
      <c r="AC259" s="162">
        <f t="shared" si="28"/>
        <v>0</v>
      </c>
      <c r="AD259" s="162">
        <f t="shared" si="28"/>
        <v>0</v>
      </c>
      <c r="AE259" s="162">
        <f t="shared" si="28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29">IF(B227&lt;100,"",B227-520)</f>
        <v/>
      </c>
      <c r="C260" s="163" t="str">
        <f t="shared" si="29"/>
        <v/>
      </c>
      <c r="D260" s="163" t="str">
        <f t="shared" si="29"/>
        <v/>
      </c>
      <c r="E260" s="163" t="str">
        <f t="shared" si="29"/>
        <v/>
      </c>
      <c r="F260" s="163" t="str">
        <f t="shared" si="29"/>
        <v/>
      </c>
      <c r="G260" s="163" t="str">
        <f t="shared" si="29"/>
        <v/>
      </c>
      <c r="H260" s="163" t="str">
        <f t="shared" si="29"/>
        <v/>
      </c>
      <c r="I260" s="163" t="str">
        <f t="shared" si="29"/>
        <v/>
      </c>
      <c r="J260" s="163" t="str">
        <f t="shared" si="29"/>
        <v/>
      </c>
      <c r="K260" s="163" t="str">
        <f t="shared" si="29"/>
        <v/>
      </c>
      <c r="L260" s="163" t="str">
        <f t="shared" si="29"/>
        <v/>
      </c>
      <c r="M260" s="163" t="str">
        <f t="shared" si="29"/>
        <v/>
      </c>
      <c r="N260" s="163" t="str">
        <f t="shared" si="29"/>
        <v/>
      </c>
      <c r="O260" s="163" t="str">
        <f t="shared" si="29"/>
        <v/>
      </c>
      <c r="P260" s="163" t="str">
        <f t="shared" si="29"/>
        <v/>
      </c>
      <c r="Q260" s="163" t="str">
        <f t="shared" si="29"/>
        <v/>
      </c>
      <c r="R260" s="163" t="str">
        <f t="shared" si="29"/>
        <v/>
      </c>
      <c r="S260" s="163" t="str">
        <f t="shared" si="29"/>
        <v/>
      </c>
      <c r="T260" s="163" t="str">
        <f t="shared" si="29"/>
        <v/>
      </c>
      <c r="U260" s="163" t="str">
        <f t="shared" si="29"/>
        <v/>
      </c>
      <c r="V260" s="163" t="str">
        <f t="shared" si="29"/>
        <v/>
      </c>
      <c r="W260" s="163" t="str">
        <f t="shared" si="29"/>
        <v/>
      </c>
      <c r="X260" s="163" t="str">
        <f t="shared" si="29"/>
        <v/>
      </c>
      <c r="Y260" s="163" t="str">
        <f t="shared" si="29"/>
        <v/>
      </c>
      <c r="Z260" s="163" t="str">
        <f t="shared" si="29"/>
        <v/>
      </c>
      <c r="AA260" s="163" t="str">
        <f t="shared" si="29"/>
        <v/>
      </c>
      <c r="AB260" s="163" t="str">
        <f t="shared" si="29"/>
        <v/>
      </c>
      <c r="AC260" s="163" t="str">
        <f t="shared" si="29"/>
        <v/>
      </c>
      <c r="AD260" s="163" t="str">
        <f t="shared" si="29"/>
        <v/>
      </c>
      <c r="AE260" s="163" t="str">
        <f t="shared" si="29"/>
        <v/>
      </c>
      <c r="AF260" s="163" t="str">
        <f t="shared" si="29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30">IF(B228&lt;100,"",B228-620)</f>
        <v/>
      </c>
      <c r="C261" s="163" t="str">
        <f t="shared" si="30"/>
        <v/>
      </c>
      <c r="D261" s="163" t="str">
        <f t="shared" si="30"/>
        <v/>
      </c>
      <c r="E261" s="163" t="str">
        <f t="shared" si="30"/>
        <v/>
      </c>
      <c r="F261" s="163" t="str">
        <f t="shared" si="30"/>
        <v/>
      </c>
      <c r="G261" s="163" t="str">
        <f t="shared" si="30"/>
        <v/>
      </c>
      <c r="H261" s="163" t="str">
        <f t="shared" si="30"/>
        <v/>
      </c>
      <c r="I261" s="163" t="str">
        <f t="shared" si="30"/>
        <v/>
      </c>
      <c r="J261" s="163" t="str">
        <f t="shared" si="30"/>
        <v/>
      </c>
      <c r="K261" s="163" t="str">
        <f t="shared" si="30"/>
        <v/>
      </c>
      <c r="L261" s="163" t="str">
        <f t="shared" si="30"/>
        <v/>
      </c>
      <c r="M261" s="163" t="str">
        <f t="shared" si="30"/>
        <v/>
      </c>
      <c r="N261" s="163" t="str">
        <f t="shared" si="30"/>
        <v/>
      </c>
      <c r="O261" s="163" t="str">
        <f t="shared" si="30"/>
        <v/>
      </c>
      <c r="P261" s="163" t="str">
        <f t="shared" si="30"/>
        <v/>
      </c>
      <c r="Q261" s="163" t="str">
        <f t="shared" si="30"/>
        <v/>
      </c>
      <c r="R261" s="163" t="str">
        <f t="shared" si="30"/>
        <v/>
      </c>
      <c r="S261" s="163" t="str">
        <f t="shared" si="30"/>
        <v/>
      </c>
      <c r="T261" s="163" t="str">
        <f t="shared" si="30"/>
        <v/>
      </c>
      <c r="U261" s="163" t="str">
        <f t="shared" si="30"/>
        <v/>
      </c>
      <c r="V261" s="163" t="str">
        <f t="shared" si="30"/>
        <v/>
      </c>
      <c r="W261" s="163" t="str">
        <f t="shared" si="30"/>
        <v/>
      </c>
      <c r="X261" s="163" t="str">
        <f t="shared" si="30"/>
        <v/>
      </c>
      <c r="Y261" s="163" t="str">
        <f t="shared" si="30"/>
        <v/>
      </c>
      <c r="Z261" s="163" t="str">
        <f t="shared" si="30"/>
        <v/>
      </c>
      <c r="AA261" s="163" t="str">
        <f t="shared" si="30"/>
        <v/>
      </c>
      <c r="AB261" s="163" t="str">
        <f t="shared" si="30"/>
        <v/>
      </c>
      <c r="AC261" s="163" t="str">
        <f t="shared" si="30"/>
        <v/>
      </c>
      <c r="AD261" s="163" t="str">
        <f t="shared" si="30"/>
        <v/>
      </c>
      <c r="AE261" s="163" t="str">
        <f t="shared" si="30"/>
        <v/>
      </c>
      <c r="AF261" s="163" t="str">
        <f t="shared" si="30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1">IF(B229&lt;100,"",B229-330)</f>
        <v/>
      </c>
      <c r="C262" s="163" t="str">
        <f t="shared" si="31"/>
        <v/>
      </c>
      <c r="D262" s="163" t="str">
        <f t="shared" si="31"/>
        <v/>
      </c>
      <c r="E262" s="163" t="str">
        <f t="shared" si="31"/>
        <v/>
      </c>
      <c r="F262" s="163" t="str">
        <f t="shared" si="31"/>
        <v/>
      </c>
      <c r="G262" s="163" t="str">
        <f t="shared" si="31"/>
        <v/>
      </c>
      <c r="H262" s="163" t="str">
        <f t="shared" si="31"/>
        <v/>
      </c>
      <c r="I262" s="163" t="str">
        <f t="shared" si="31"/>
        <v/>
      </c>
      <c r="J262" s="163" t="str">
        <f t="shared" si="31"/>
        <v/>
      </c>
      <c r="K262" s="163" t="str">
        <f t="shared" si="31"/>
        <v/>
      </c>
      <c r="L262" s="163" t="str">
        <f t="shared" si="31"/>
        <v/>
      </c>
      <c r="M262" s="163" t="str">
        <f t="shared" si="31"/>
        <v/>
      </c>
      <c r="N262" s="163" t="str">
        <f t="shared" si="31"/>
        <v/>
      </c>
      <c r="O262" s="163" t="str">
        <f t="shared" si="31"/>
        <v/>
      </c>
      <c r="P262" s="163" t="str">
        <f t="shared" si="31"/>
        <v/>
      </c>
      <c r="Q262" s="163" t="str">
        <f t="shared" si="31"/>
        <v/>
      </c>
      <c r="R262" s="163" t="str">
        <f t="shared" si="31"/>
        <v/>
      </c>
      <c r="S262" s="163" t="str">
        <f t="shared" si="31"/>
        <v/>
      </c>
      <c r="T262" s="163" t="str">
        <f t="shared" si="31"/>
        <v/>
      </c>
      <c r="U262" s="163" t="str">
        <f t="shared" si="31"/>
        <v/>
      </c>
      <c r="V262" s="163" t="str">
        <f t="shared" si="31"/>
        <v/>
      </c>
      <c r="W262" s="163" t="str">
        <f t="shared" si="31"/>
        <v/>
      </c>
      <c r="X262" s="163" t="str">
        <f t="shared" si="31"/>
        <v/>
      </c>
      <c r="Y262" s="163" t="str">
        <f t="shared" si="31"/>
        <v/>
      </c>
      <c r="Z262" s="163" t="str">
        <f t="shared" si="31"/>
        <v/>
      </c>
      <c r="AA262" s="163" t="str">
        <f t="shared" si="31"/>
        <v/>
      </c>
      <c r="AB262" s="163" t="str">
        <f t="shared" si="31"/>
        <v/>
      </c>
      <c r="AC262" s="163" t="str">
        <f t="shared" si="31"/>
        <v/>
      </c>
      <c r="AD262" s="163" t="str">
        <f t="shared" si="31"/>
        <v/>
      </c>
      <c r="AE262" s="163" t="str">
        <f t="shared" si="31"/>
        <v/>
      </c>
      <c r="AF262" s="163" t="str">
        <f t="shared" si="31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2">IF(B230&lt;100,"",B230-1500)</f>
        <v/>
      </c>
      <c r="C263" s="163" t="str">
        <f t="shared" si="32"/>
        <v/>
      </c>
      <c r="D263" s="163" t="str">
        <f t="shared" si="32"/>
        <v/>
      </c>
      <c r="E263" s="163" t="str">
        <f t="shared" si="32"/>
        <v/>
      </c>
      <c r="F263" s="163" t="str">
        <f t="shared" si="32"/>
        <v/>
      </c>
      <c r="G263" s="163" t="str">
        <f t="shared" si="32"/>
        <v/>
      </c>
      <c r="H263" s="163" t="str">
        <f t="shared" si="32"/>
        <v/>
      </c>
      <c r="I263" s="163" t="str">
        <f t="shared" si="32"/>
        <v/>
      </c>
      <c r="J263" s="163" t="str">
        <f t="shared" si="32"/>
        <v/>
      </c>
      <c r="K263" s="163" t="str">
        <f t="shared" si="32"/>
        <v/>
      </c>
      <c r="L263" s="163" t="str">
        <f t="shared" si="32"/>
        <v/>
      </c>
      <c r="M263" s="163" t="str">
        <f t="shared" si="32"/>
        <v/>
      </c>
      <c r="N263" s="163" t="str">
        <f t="shared" si="32"/>
        <v/>
      </c>
      <c r="O263" s="163" t="str">
        <f t="shared" si="32"/>
        <v/>
      </c>
      <c r="P263" s="163" t="str">
        <f t="shared" si="32"/>
        <v/>
      </c>
      <c r="Q263" s="163" t="str">
        <f t="shared" si="32"/>
        <v/>
      </c>
      <c r="R263" s="163" t="str">
        <f t="shared" si="32"/>
        <v/>
      </c>
      <c r="S263" s="163" t="str">
        <f t="shared" si="32"/>
        <v/>
      </c>
      <c r="T263" s="163" t="str">
        <f t="shared" si="32"/>
        <v/>
      </c>
      <c r="U263" s="163" t="str">
        <f t="shared" si="32"/>
        <v/>
      </c>
      <c r="V263" s="163" t="str">
        <f t="shared" si="32"/>
        <v/>
      </c>
      <c r="W263" s="163" t="str">
        <f t="shared" si="32"/>
        <v/>
      </c>
      <c r="X263" s="163" t="str">
        <f t="shared" si="32"/>
        <v/>
      </c>
      <c r="Y263" s="163" t="str">
        <f t="shared" si="32"/>
        <v/>
      </c>
      <c r="Z263" s="163" t="str">
        <f t="shared" si="32"/>
        <v/>
      </c>
      <c r="AA263" s="163" t="str">
        <f t="shared" si="32"/>
        <v/>
      </c>
      <c r="AB263" s="163" t="str">
        <f t="shared" si="32"/>
        <v/>
      </c>
      <c r="AC263" s="163" t="str">
        <f t="shared" si="32"/>
        <v/>
      </c>
      <c r="AD263" s="163" t="str">
        <f t="shared" si="32"/>
        <v/>
      </c>
      <c r="AE263" s="163" t="str">
        <f t="shared" si="32"/>
        <v/>
      </c>
      <c r="AF263" s="163" t="str">
        <f t="shared" si="32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X11:AF11 B20:AF23 B16:AF16">
    <cfRule type="expression" dxfId="3774" priority="239">
      <formula>B$9&gt;=20/24</formula>
    </cfRule>
    <cfRule type="expression" dxfId="3773" priority="240">
      <formula>AND(B$9&gt;=14/24,B$9&lt;20/24)</formula>
    </cfRule>
    <cfRule type="expression" dxfId="3772" priority="241">
      <formula>AND(B$9&gt;=8/24,B$9&lt;14/24)</formula>
    </cfRule>
    <cfRule type="expression" dxfId="3771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3770" priority="234">
      <formula>S$9&gt;=20/24</formula>
    </cfRule>
    <cfRule type="expression" dxfId="3769" priority="235">
      <formula>AND(S$9&gt;=14/24,S$9&lt;20/24)</formula>
    </cfRule>
    <cfRule type="expression" dxfId="3768" priority="236">
      <formula>AND(S$9&gt;=8/24,S$9&lt;14/24)</formula>
    </cfRule>
    <cfRule type="expression" dxfId="3767" priority="237">
      <formula>S$9&lt;8/24</formula>
    </cfRule>
  </conditionalFormatting>
  <conditionalFormatting sqref="AG57 B12:R16 S39:AF39 S11:AF16 B18:AF18 B20:AF23 B37:AF37">
    <cfRule type="expression" dxfId="3766" priority="233">
      <formula>B11&gt;$AG11</formula>
    </cfRule>
  </conditionalFormatting>
  <conditionalFormatting sqref="A91:A101 A11:A14 A51:A78 A87:A89 A194:A224 A38:A49 A110:A181 A34:A35 A83:A85 A80:A81 A103:A105 A31:A32 A18:A29 A16">
    <cfRule type="expression" dxfId="3765" priority="232">
      <formula>$AH11=0</formula>
    </cfRule>
  </conditionalFormatting>
  <conditionalFormatting sqref="A106">
    <cfRule type="expression" dxfId="3764" priority="231">
      <formula>$AH106=0</formula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763" priority="229">
      <formula>$AH37=0</formula>
    </cfRule>
  </conditionalFormatting>
  <conditionalFormatting sqref="A90">
    <cfRule type="expression" dxfId="3762" priority="228">
      <formula>$AH90=0</formula>
    </cfRule>
  </conditionalFormatting>
  <conditionalFormatting sqref="A15">
    <cfRule type="expression" dxfId="3761" priority="227">
      <formula>$AH15=0</formula>
    </cfRule>
  </conditionalFormatting>
  <conditionalFormatting sqref="A188:A193">
    <cfRule type="expression" dxfId="3760" priority="226">
      <formula>$AH188=0</formula>
    </cfRule>
  </conditionalFormatting>
  <conditionalFormatting sqref="A182:A187">
    <cfRule type="expression" dxfId="3759" priority="225">
      <formula>$AH182=0</formula>
    </cfRule>
  </conditionalFormatting>
  <conditionalFormatting sqref="A50">
    <cfRule type="expression" dxfId="3758" priority="224">
      <formula>$AH50=0</formula>
    </cfRule>
  </conditionalFormatting>
  <conditionalFormatting sqref="A86">
    <cfRule type="expression" dxfId="3757" priority="223">
      <formula>$AH86=0</formula>
    </cfRule>
  </conditionalFormatting>
  <conditionalFormatting sqref="C91:AF91">
    <cfRule type="expression" dxfId="3756" priority="219">
      <formula>C$9&gt;=20/24</formula>
    </cfRule>
    <cfRule type="expression" dxfId="3755" priority="220">
      <formula>AND(C$9&gt;=14/24,C$9&lt;20/24)</formula>
    </cfRule>
    <cfRule type="expression" dxfId="3754" priority="221">
      <formula>AND(C$9&gt;=8/24,C$9&lt;14/24)</formula>
    </cfRule>
    <cfRule type="expression" dxfId="3753" priority="222">
      <formula>C$9&lt;8/24</formula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752" priority="245">
      <formula>C$9&gt;=20/24</formula>
    </cfRule>
    <cfRule type="expression" dxfId="3751" priority="246">
      <formula>AND(C$9&gt;=14/24,C$9&lt;20/24)</formula>
    </cfRule>
    <cfRule type="expression" dxfId="3750" priority="247">
      <formula>AND(C$9&gt;=8/24,C$9&lt;14/24)</formula>
    </cfRule>
    <cfRule type="expression" dxfId="3749" priority="248">
      <formula>C$9&lt;8/24</formula>
    </cfRule>
  </conditionalFormatting>
  <conditionalFormatting sqref="A225">
    <cfRule type="expression" dxfId="3748" priority="249">
      <formula>$AH225=0</formula>
    </cfRule>
  </conditionalFormatting>
  <conditionalFormatting sqref="AG237">
    <cfRule type="expression" dxfId="3747" priority="250">
      <formula>B$9&gt;=20/24</formula>
    </cfRule>
    <cfRule type="expression" dxfId="3746" priority="251">
      <formula>AND(B$9&gt;=14/24,B$9&lt;20/24)</formula>
    </cfRule>
    <cfRule type="expression" dxfId="3745" priority="252">
      <formula>AND(B$9&gt;=8/24,B$9&lt;14/24)</formula>
    </cfRule>
    <cfRule type="expression" dxfId="3744" priority="253">
      <formula>B$9&lt;8/24</formula>
    </cfRule>
  </conditionalFormatting>
  <conditionalFormatting sqref="S8">
    <cfRule type="expression" dxfId="3743" priority="214">
      <formula>U$9&gt;=20/24</formula>
    </cfRule>
    <cfRule type="expression" dxfId="3742" priority="215">
      <formula>AND(U$9&gt;=14/24,U$9&lt;20/24)</formula>
    </cfRule>
    <cfRule type="expression" dxfId="3741" priority="216">
      <formula>AND(U$9&gt;=8/24,U$9&lt;14/24)</formula>
    </cfRule>
    <cfRule type="expression" dxfId="3740" priority="217">
      <formula>U$9&lt;8/24</formula>
    </cfRule>
  </conditionalFormatting>
  <conditionalFormatting sqref="AB8">
    <cfRule type="expression" dxfId="3739" priority="210">
      <formula>AD$9&gt;=20/24</formula>
    </cfRule>
    <cfRule type="expression" dxfId="3738" priority="211">
      <formula>AND(AD$9&gt;=14/24,AD$9&lt;20/24)</formula>
    </cfRule>
    <cfRule type="expression" dxfId="3737" priority="212">
      <formula>AND(AD$9&gt;=8/24,AD$9&lt;14/24)</formula>
    </cfRule>
    <cfRule type="expression" dxfId="3736" priority="213">
      <formula>AD$9&lt;8/24</formula>
    </cfRule>
  </conditionalFormatting>
  <conditionalFormatting sqref="AH237:AX237">
    <cfRule type="expression" dxfId="3735" priority="254">
      <formula>AG$9&gt;=20/24</formula>
    </cfRule>
    <cfRule type="expression" dxfId="3734" priority="255">
      <formula>AND(AG$9&gt;=14/24,AG$9&lt;20/24)</formula>
    </cfRule>
    <cfRule type="expression" dxfId="3733" priority="256">
      <formula>AND(AG$9&gt;=8/24,AG$9&lt;14/24)</formula>
    </cfRule>
    <cfRule type="expression" dxfId="3732" priority="257">
      <formula>AG$9&lt;8/24</formula>
    </cfRule>
  </conditionalFormatting>
  <conditionalFormatting sqref="T237">
    <cfRule type="expression" dxfId="3731" priority="258">
      <formula>AX$9&gt;=20/24</formula>
    </cfRule>
    <cfRule type="expression" dxfId="3730" priority="259">
      <formula>AND(AX$9&gt;=14/24,AX$9&lt;20/24)</formula>
    </cfRule>
    <cfRule type="expression" dxfId="3729" priority="260">
      <formula>AND(AX$9&gt;=8/24,AX$9&lt;14/24)</formula>
    </cfRule>
    <cfRule type="expression" dxfId="3728" priority="261">
      <formula>AX$9&lt;8/24</formula>
    </cfRule>
  </conditionalFormatting>
  <conditionalFormatting sqref="A107:A108">
    <cfRule type="expression" dxfId="3727" priority="209">
      <formula>$AH107=0</formula>
    </cfRule>
  </conditionalFormatting>
  <conditionalFormatting sqref="G46:O47 S46:W47 AB46:AF47 P63:AF63">
    <cfRule type="expression" dxfId="3726" priority="205">
      <formula>G$9&gt;=20/24</formula>
    </cfRule>
    <cfRule type="expression" dxfId="3725" priority="206">
      <formula>AND(G$9&gt;=14/24,G$9&lt;20/24)</formula>
    </cfRule>
    <cfRule type="expression" dxfId="3724" priority="207">
      <formula>AND(G$9&gt;=8/24,G$9&lt;14/24)</formula>
    </cfRule>
    <cfRule type="expression" dxfId="3723" priority="208">
      <formula>G$9&lt;8/24</formula>
    </cfRule>
  </conditionalFormatting>
  <conditionalFormatting sqref="G45:O45 S45:W45 AB45:AF45">
    <cfRule type="expression" dxfId="3722" priority="201">
      <formula>G$9&gt;=20/24</formula>
    </cfRule>
    <cfRule type="expression" dxfId="3721" priority="202">
      <formula>AND(G$9&gt;=14/24,G$9&lt;20/24)</formula>
    </cfRule>
    <cfRule type="expression" dxfId="3720" priority="203">
      <formula>AND(G$9&gt;=8/24,G$9&lt;14/24)</formula>
    </cfRule>
    <cfRule type="expression" dxfId="3719" priority="204">
      <formula>G$9&lt;8/24</formula>
    </cfRule>
  </conditionalFormatting>
  <conditionalFormatting sqref="G45:O47 S45:W47 AB45:AF47">
    <cfRule type="expression" dxfId="3718" priority="200">
      <formula>G45&gt;$AG45</formula>
    </cfRule>
  </conditionalFormatting>
  <conditionalFormatting sqref="C88:AF88 L39:R39 P64:Z65 S11:W14 X32:Z34 U66:Z73 S31:Z31 G92:AF98 X25:AF27 X29:AF29 X12:AF14 S18:AF18 AA31:AF34 S59:AF61 AA64:AF73 C75:AF78">
    <cfRule type="expression" dxfId="3717" priority="196">
      <formula>C$9&gt;=20/24</formula>
    </cfRule>
    <cfRule type="expression" dxfId="3716" priority="197">
      <formula>AND(C$9&gt;=14/24,C$9&lt;20/24)</formula>
    </cfRule>
    <cfRule type="expression" dxfId="3715" priority="198">
      <formula>AND(C$9&gt;=8/24,C$9&lt;14/24)</formula>
    </cfRule>
    <cfRule type="expression" dxfId="3714" priority="199">
      <formula>C$9&lt;8/24</formula>
    </cfRule>
  </conditionalFormatting>
  <conditionalFormatting sqref="X35:AF35">
    <cfRule type="expression" dxfId="3713" priority="192">
      <formula>X$9&gt;=20/24</formula>
    </cfRule>
    <cfRule type="expression" dxfId="3712" priority="193">
      <formula>AND(X$9&gt;=14/24,X$9&lt;20/24)</formula>
    </cfRule>
    <cfRule type="expression" dxfId="3711" priority="194">
      <formula>AND(X$9&gt;=8/24,X$9&lt;14/24)</formula>
    </cfRule>
    <cfRule type="expression" dxfId="3710" priority="195">
      <formula>X$9&lt;8/24</formula>
    </cfRule>
  </conditionalFormatting>
  <conditionalFormatting sqref="L39:R39 C57:AF57 G48:L48 S11:W11 X32:Z35 S31:Z31 AB48:AF49 X25:AF29 AA31:AF35 S59:AF61">
    <cfRule type="expression" dxfId="3709" priority="191">
      <formula>C11&gt;$AG11</formula>
    </cfRule>
  </conditionalFormatting>
  <conditionalFormatting sqref="X37:AF37">
    <cfRule type="expression" dxfId="3708" priority="187">
      <formula>X$9&gt;=20/24</formula>
    </cfRule>
    <cfRule type="expression" dxfId="3707" priority="188">
      <formula>AND(X$9&gt;=14/24,X$9&lt;20/24)</formula>
    </cfRule>
    <cfRule type="expression" dxfId="3706" priority="189">
      <formula>AND(X$9&gt;=8/24,X$9&lt;14/24)</formula>
    </cfRule>
    <cfRule type="expression" dxfId="3705" priority="190">
      <formula>X$9&lt;8/24</formula>
    </cfRule>
  </conditionalFormatting>
  <conditionalFormatting sqref="S15:AF15">
    <cfRule type="expression" dxfId="3704" priority="183">
      <formula>S$9&gt;=20/24</formula>
    </cfRule>
    <cfRule type="expression" dxfId="3703" priority="184">
      <formula>AND(S$9&gt;=14/24,S$9&lt;20/24)</formula>
    </cfRule>
    <cfRule type="expression" dxfId="3702" priority="185">
      <formula>AND(S$9&gt;=8/24,S$9&lt;14/24)</formula>
    </cfRule>
    <cfRule type="expression" dxfId="3701" priority="186">
      <formula>S$9&lt;8/24</formula>
    </cfRule>
  </conditionalFormatting>
  <conditionalFormatting sqref="X36:AF36">
    <cfRule type="expression" dxfId="3700" priority="179">
      <formula>X$9&gt;=20/24</formula>
    </cfRule>
    <cfRule type="expression" dxfId="3699" priority="180">
      <formula>AND(X$9&gt;=14/24,X$9&lt;20/24)</formula>
    </cfRule>
    <cfRule type="expression" dxfId="3698" priority="181">
      <formula>AND(X$9&gt;=8/24,X$9&lt;14/24)</formula>
    </cfRule>
    <cfRule type="expression" dxfId="3697" priority="182">
      <formula>X$9&lt;8/24</formula>
    </cfRule>
  </conditionalFormatting>
  <conditionalFormatting sqref="X36:AF36">
    <cfRule type="expression" dxfId="3696" priority="178">
      <formula>X36&gt;$AG36</formula>
    </cfRule>
  </conditionalFormatting>
  <conditionalFormatting sqref="W48:AA49 AB50:AF56">
    <cfRule type="expression" dxfId="3695" priority="174">
      <formula>W$9&gt;=20/24</formula>
    </cfRule>
    <cfRule type="expression" dxfId="3694" priority="175">
      <formula>AND(W$9&gt;=14/24,W$9&lt;20/24)</formula>
    </cfRule>
    <cfRule type="expression" dxfId="3693" priority="176">
      <formula>AND(W$9&gt;=8/24,W$9&lt;14/24)</formula>
    </cfRule>
    <cfRule type="expression" dxfId="3692" priority="177">
      <formula>W$9&lt;8/24</formula>
    </cfRule>
  </conditionalFormatting>
  <conditionalFormatting sqref="W48:AA49 AB50:AF56">
    <cfRule type="expression" dxfId="3691" priority="173">
      <formula>W48&gt;$AG48</formula>
    </cfRule>
  </conditionalFormatting>
  <conditionalFormatting sqref="P45:P47 M48:P49 Q45:R49 S48:V51 W50:AA51">
    <cfRule type="expression" dxfId="3690" priority="169">
      <formula>M$9&gt;=20/24</formula>
    </cfRule>
    <cfRule type="expression" dxfId="3689" priority="170">
      <formula>AND(M$9&gt;=14/24,M$9&lt;20/24)</formula>
    </cfRule>
    <cfRule type="expression" dxfId="3688" priority="171">
      <formula>AND(M$9&gt;=8/24,M$9&lt;14/24)</formula>
    </cfRule>
    <cfRule type="expression" dxfId="3687" priority="172">
      <formula>M$9&lt;8/24</formula>
    </cfRule>
  </conditionalFormatting>
  <conditionalFormatting sqref="P45:P47 M48:P49 Q45:R49 S48:V51 W50:AA51">
    <cfRule type="expression" dxfId="3686" priority="168">
      <formula>M45&gt;$AG45</formula>
    </cfRule>
  </conditionalFormatting>
  <conditionalFormatting sqref="X28:AF28">
    <cfRule type="expression" dxfId="3685" priority="164">
      <formula>X$9&gt;=20/24</formula>
    </cfRule>
    <cfRule type="expression" dxfId="3684" priority="165">
      <formula>AND(X$9&gt;=14/24,X$9&lt;20/24)</formula>
    </cfRule>
    <cfRule type="expression" dxfId="3683" priority="166">
      <formula>AND(X$9&gt;=8/24,X$9&lt;14/24)</formula>
    </cfRule>
    <cfRule type="expression" dxfId="3682" priority="167">
      <formula>X$9&lt;8/24</formula>
    </cfRule>
  </conditionalFormatting>
  <conditionalFormatting sqref="X19:AF19 X24:AF24">
    <cfRule type="expression" dxfId="3681" priority="160">
      <formula>X$9&gt;=20/24</formula>
    </cfRule>
    <cfRule type="expression" dxfId="3680" priority="161">
      <formula>AND(X$9&gt;=14/24,X$9&lt;20/24)</formula>
    </cfRule>
    <cfRule type="expression" dxfId="3679" priority="162">
      <formula>AND(X$9&gt;=8/24,X$9&lt;14/24)</formula>
    </cfRule>
    <cfRule type="expression" dxfId="3678" priority="163">
      <formula>X$9&lt;8/24</formula>
    </cfRule>
  </conditionalFormatting>
  <conditionalFormatting sqref="X19:AF19 X24:AF24">
    <cfRule type="expression" dxfId="3677" priority="159">
      <formula>X19&gt;$AG19</formula>
    </cfRule>
  </conditionalFormatting>
  <conditionalFormatting sqref="X46:AA47">
    <cfRule type="expression" dxfId="3676" priority="150">
      <formula>X$9&gt;=20/24</formula>
    </cfRule>
    <cfRule type="expression" dxfId="3675" priority="151">
      <formula>AND(X$9&gt;=14/24,X$9&lt;20/24)</formula>
    </cfRule>
    <cfRule type="expression" dxfId="3674" priority="152">
      <formula>AND(X$9&gt;=8/24,X$9&lt;14/24)</formula>
    </cfRule>
    <cfRule type="expression" dxfId="3673" priority="153">
      <formula>X$9&lt;8/24</formula>
    </cfRule>
  </conditionalFormatting>
  <conditionalFormatting sqref="X45:AA45">
    <cfRule type="expression" dxfId="3672" priority="146">
      <formula>X$9&gt;=20/24</formula>
    </cfRule>
    <cfRule type="expression" dxfId="3671" priority="147">
      <formula>AND(X$9&gt;=14/24,X$9&lt;20/24)</formula>
    </cfRule>
    <cfRule type="expression" dxfId="3670" priority="148">
      <formula>AND(X$9&gt;=8/24,X$9&lt;14/24)</formula>
    </cfRule>
    <cfRule type="expression" dxfId="3669" priority="149">
      <formula>X$9&lt;8/24</formula>
    </cfRule>
  </conditionalFormatting>
  <conditionalFormatting sqref="X45:AA47">
    <cfRule type="expression" dxfId="3668" priority="145">
      <formula>X45&gt;$AG45</formula>
    </cfRule>
  </conditionalFormatting>
  <conditionalFormatting sqref="B101 B80:AF80 B89:AF89 B103:B108 B11:R11">
    <cfRule type="expression" dxfId="3667" priority="141">
      <formula>B$9&gt;=20/24</formula>
    </cfRule>
    <cfRule type="expression" dxfId="3666" priority="142">
      <formula>AND(B$9&gt;=14/24,B$9&lt;20/24)</formula>
    </cfRule>
    <cfRule type="expression" dxfId="3665" priority="143">
      <formula>AND(B$9&gt;=8/24,B$9&lt;14/24)</formula>
    </cfRule>
    <cfRule type="expression" dxfId="3664" priority="144">
      <formula>B$9&lt;8/24</formula>
    </cfRule>
  </conditionalFormatting>
  <conditionalFormatting sqref="B39:K39">
    <cfRule type="expression" dxfId="3663" priority="137">
      <formula>B$9&gt;=20/24</formula>
    </cfRule>
    <cfRule type="expression" dxfId="3662" priority="138">
      <formula>AND(B$9&gt;=14/24,B$9&lt;20/24)</formula>
    </cfRule>
    <cfRule type="expression" dxfId="3661" priority="139">
      <formula>AND(B$9&gt;=8/24,B$9&lt;14/24)</formula>
    </cfRule>
    <cfRule type="expression" dxfId="3660" priority="140">
      <formula>B$9&lt;8/24</formula>
    </cfRule>
  </conditionalFormatting>
  <conditionalFormatting sqref="B39:K39 B11:R11">
    <cfRule type="expression" dxfId="3659" priority="136">
      <formula>B11&gt;$AG11</formula>
    </cfRule>
  </conditionalFormatting>
  <conditionalFormatting sqref="B91">
    <cfRule type="expression" dxfId="3658" priority="132">
      <formula>B$9&gt;=20/24</formula>
    </cfRule>
    <cfRule type="expression" dxfId="3657" priority="133">
      <formula>AND(B$9&gt;=14/24,B$9&lt;20/24)</formula>
    </cfRule>
    <cfRule type="expression" dxfId="3656" priority="134">
      <formula>AND(B$9&gt;=8/24,B$9&lt;14/24)</formula>
    </cfRule>
    <cfRule type="expression" dxfId="3655" priority="135">
      <formula>B$9&lt;8/24</formula>
    </cfRule>
  </conditionalFormatting>
  <conditionalFormatting sqref="B46:F47 B63:O63 B38:AF38">
    <cfRule type="expression" dxfId="3654" priority="128">
      <formula>B$9&gt;=20/24</formula>
    </cfRule>
    <cfRule type="expression" dxfId="3653" priority="129">
      <formula>AND(B$9&gt;=14/24,B$9&lt;20/24)</formula>
    </cfRule>
    <cfRule type="expression" dxfId="3652" priority="130">
      <formula>AND(B$9&gt;=8/24,B$9&lt;14/24)</formula>
    </cfRule>
    <cfRule type="expression" dxfId="3651" priority="131">
      <formula>B$9&lt;8/24</formula>
    </cfRule>
  </conditionalFormatting>
  <conditionalFormatting sqref="B45:F45">
    <cfRule type="expression" dxfId="3650" priority="124">
      <formula>B$9&gt;=20/24</formula>
    </cfRule>
    <cfRule type="expression" dxfId="3649" priority="125">
      <formula>AND(B$9&gt;=14/24,B$9&lt;20/24)</formula>
    </cfRule>
    <cfRule type="expression" dxfId="3648" priority="126">
      <formula>AND(B$9&gt;=8/24,B$9&lt;14/24)</formula>
    </cfRule>
    <cfRule type="expression" dxfId="3647" priority="127">
      <formula>B$9&lt;8/24</formula>
    </cfRule>
  </conditionalFormatting>
  <conditionalFormatting sqref="B45:F47 B38:AF38">
    <cfRule type="expression" dxfId="3646" priority="123">
      <formula>B38&gt;$AG38</formula>
    </cfRule>
  </conditionalFormatting>
  <conditionalFormatting sqref="B59:B62 B75:B79 B81:AF81 B88 C62:AG62 C79:AG79 B90:AF90 B92:F98 B64:O73 B12:R14 B18:R18 B31:R34 C59:R61 P66:T73 S32:W34 B29:W29 B25:W27">
    <cfRule type="expression" dxfId="3645" priority="119">
      <formula>B$9&gt;=20/24</formula>
    </cfRule>
    <cfRule type="expression" dxfId="3644" priority="120">
      <formula>AND(B$9&gt;=14/24,B$9&lt;20/24)</formula>
    </cfRule>
    <cfRule type="expression" dxfId="3643" priority="121">
      <formula>AND(B$9&gt;=8/24,B$9&lt;14/24)</formula>
    </cfRule>
    <cfRule type="expression" dxfId="3642" priority="122">
      <formula>B$9&lt;8/24</formula>
    </cfRule>
  </conditionalFormatting>
  <conditionalFormatting sqref="B35:W35">
    <cfRule type="expression" dxfId="3641" priority="115">
      <formula>B$9&gt;=20/24</formula>
    </cfRule>
    <cfRule type="expression" dxfId="3640" priority="116">
      <formula>AND(B$9&gt;=14/24,B$9&lt;20/24)</formula>
    </cfRule>
    <cfRule type="expression" dxfId="3639" priority="117">
      <formula>AND(B$9&gt;=8/24,B$9&lt;14/24)</formula>
    </cfRule>
    <cfRule type="expression" dxfId="3638" priority="118">
      <formula>B$9&lt;8/24</formula>
    </cfRule>
  </conditionalFormatting>
  <conditionalFormatting sqref="B57:B62 B40:AG40 C58:AG58 C62:AG62 B48:F49 G49:L49 B31:R35 C59:R61 S32:W35 B25:W29">
    <cfRule type="expression" dxfId="3637" priority="114">
      <formula>B25&gt;$AG25</formula>
    </cfRule>
  </conditionalFormatting>
  <conditionalFormatting sqref="B37:W37">
    <cfRule type="expression" dxfId="3636" priority="110">
      <formula>B$9&gt;=20/24</formula>
    </cfRule>
    <cfRule type="expression" dxfId="3635" priority="111">
      <formula>AND(B$9&gt;=14/24,B$9&lt;20/24)</formula>
    </cfRule>
    <cfRule type="expression" dxfId="3634" priority="112">
      <formula>AND(B$9&gt;=8/24,B$9&lt;14/24)</formula>
    </cfRule>
    <cfRule type="expression" dxfId="3633" priority="113">
      <formula>B$9&lt;8/24</formula>
    </cfRule>
  </conditionalFormatting>
  <conditionalFormatting sqref="B15:R15">
    <cfRule type="expression" dxfId="3632" priority="106">
      <formula>B$9&gt;=20/24</formula>
    </cfRule>
    <cfRule type="expression" dxfId="3631" priority="107">
      <formula>AND(B$9&gt;=14/24,B$9&lt;20/24)</formula>
    </cfRule>
    <cfRule type="expression" dxfId="3630" priority="108">
      <formula>AND(B$9&gt;=8/24,B$9&lt;14/24)</formula>
    </cfRule>
    <cfRule type="expression" dxfId="3629" priority="109">
      <formula>B$9&lt;8/24</formula>
    </cfRule>
  </conditionalFormatting>
  <conditionalFormatting sqref="B36:W36">
    <cfRule type="expression" dxfId="3628" priority="102">
      <formula>B$9&gt;=20/24</formula>
    </cfRule>
    <cfRule type="expression" dxfId="3627" priority="103">
      <formula>AND(B$9&gt;=14/24,B$9&lt;20/24)</formula>
    </cfRule>
    <cfRule type="expression" dxfId="3626" priority="104">
      <formula>AND(B$9&gt;=8/24,B$9&lt;14/24)</formula>
    </cfRule>
    <cfRule type="expression" dxfId="3625" priority="105">
      <formula>B$9&lt;8/24</formula>
    </cfRule>
  </conditionalFormatting>
  <conditionalFormatting sqref="B36:W36">
    <cfRule type="expression" dxfId="3624" priority="101">
      <formula>B36&gt;$AG36</formula>
    </cfRule>
  </conditionalFormatting>
  <conditionalFormatting sqref="B50:R56 S52:V56">
    <cfRule type="expression" dxfId="3623" priority="97">
      <formula>B$9&gt;=20/24</formula>
    </cfRule>
    <cfRule type="expression" dxfId="3622" priority="98">
      <formula>AND(B$9&gt;=14/24,B$9&lt;20/24)</formula>
    </cfRule>
    <cfRule type="expression" dxfId="3621" priority="99">
      <formula>AND(B$9&gt;=8/24,B$9&lt;14/24)</formula>
    </cfRule>
    <cfRule type="expression" dxfId="3620" priority="100">
      <formula>B$9&lt;8/24</formula>
    </cfRule>
  </conditionalFormatting>
  <conditionalFormatting sqref="B50:R56 S52:V56">
    <cfRule type="expression" dxfId="3619" priority="96">
      <formula>B50&gt;$AG50</formula>
    </cfRule>
  </conditionalFormatting>
  <conditionalFormatting sqref="B28:W28">
    <cfRule type="expression" dxfId="3618" priority="92">
      <formula>B$9&gt;=20/24</formula>
    </cfRule>
    <cfRule type="expression" dxfId="3617" priority="93">
      <formula>AND(B$9&gt;=14/24,B$9&lt;20/24)</formula>
    </cfRule>
    <cfRule type="expression" dxfId="3616" priority="94">
      <formula>AND(B$9&gt;=8/24,B$9&lt;14/24)</formula>
    </cfRule>
    <cfRule type="expression" dxfId="3615" priority="95">
      <formula>B$9&lt;8/24</formula>
    </cfRule>
  </conditionalFormatting>
  <conditionalFormatting sqref="B19:W19 B24:W24">
    <cfRule type="expression" dxfId="3614" priority="88">
      <formula>B$9&gt;=20/24</formula>
    </cfRule>
    <cfRule type="expression" dxfId="3613" priority="89">
      <formula>AND(B$9&gt;=14/24,B$9&lt;20/24)</formula>
    </cfRule>
    <cfRule type="expression" dxfId="3612" priority="90">
      <formula>AND(B$9&gt;=8/24,B$9&lt;14/24)</formula>
    </cfRule>
    <cfRule type="expression" dxfId="3611" priority="91">
      <formula>B$9&lt;8/24</formula>
    </cfRule>
  </conditionalFormatting>
  <conditionalFormatting sqref="B19:W19 B24:W24">
    <cfRule type="expression" dxfId="3610" priority="87">
      <formula>B19&gt;$AG19</formula>
    </cfRule>
  </conditionalFormatting>
  <conditionalFormatting sqref="A36">
    <cfRule type="expression" dxfId="3609" priority="86">
      <formula>$AH36=0</formula>
    </cfRule>
  </conditionalFormatting>
  <conditionalFormatting sqref="B74:AF74">
    <cfRule type="expression" dxfId="3608" priority="82">
      <formula>B$9&gt;=20/24</formula>
    </cfRule>
    <cfRule type="expression" dxfId="3607" priority="83">
      <formula>AND(B$9&gt;=14/24,B$9&lt;20/24)</formula>
    </cfRule>
    <cfRule type="expression" dxfId="3606" priority="84">
      <formula>AND(B$9&gt;=8/24,B$9&lt;14/24)</formula>
    </cfRule>
    <cfRule type="expression" dxfId="3605" priority="85">
      <formula>B$9&lt;8/24</formula>
    </cfRule>
  </conditionalFormatting>
  <conditionalFormatting sqref="B83:AF87">
    <cfRule type="expression" dxfId="3604" priority="78">
      <formula>B$9&gt;=20/24</formula>
    </cfRule>
    <cfRule type="expression" dxfId="3603" priority="79">
      <formula>AND(B$9&gt;=14/24,B$9&lt;20/24)</formula>
    </cfRule>
    <cfRule type="expression" dxfId="3602" priority="80">
      <formula>AND(B$9&gt;=8/24,B$9&lt;14/24)</formula>
    </cfRule>
    <cfRule type="expression" dxfId="3601" priority="81">
      <formula>B$9&lt;8/24</formula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C41:M41 L42:M43 N41:AF43">
    <cfRule type="expression" dxfId="3600" priority="74">
      <formula>C$9&gt;=20/24</formula>
    </cfRule>
    <cfRule type="expression" dxfId="3599" priority="75">
      <formula>AND(C$9&gt;=14/24,C$9&lt;20/24)</formula>
    </cfRule>
    <cfRule type="expression" dxfId="3598" priority="76">
      <formula>AND(C$9&gt;=8/24,C$9&lt;14/24)</formula>
    </cfRule>
    <cfRule type="expression" dxfId="3597" priority="77">
      <formula>C$9&lt;8/24</formula>
    </cfRule>
  </conditionalFormatting>
  <conditionalFormatting sqref="C41:M41 L42:M43 N41:AF43">
    <cfRule type="expression" dxfId="3596" priority="73">
      <formula>C41&gt;$AG41</formula>
    </cfRule>
  </conditionalFormatting>
  <conditionalFormatting sqref="B41:B44 C44:AG44 C42:K43">
    <cfRule type="expression" dxfId="3595" priority="69">
      <formula>B$9&gt;=20/24</formula>
    </cfRule>
    <cfRule type="expression" dxfId="3594" priority="70">
      <formula>AND(B$9&gt;=14/24,B$9&lt;20/24)</formula>
    </cfRule>
    <cfRule type="expression" dxfId="3593" priority="71">
      <formula>AND(B$9&gt;=8/24,B$9&lt;14/24)</formula>
    </cfRule>
    <cfRule type="expression" dxfId="3592" priority="72">
      <formula>B$9&lt;8/24</formula>
    </cfRule>
  </conditionalFormatting>
  <conditionalFormatting sqref="B41:B44 C44:AG44 C42:K43">
    <cfRule type="expression" dxfId="3591" priority="68">
      <formula>B41&gt;$AG41</formula>
    </cfRule>
  </conditionalFormatting>
  <conditionalFormatting sqref="C99:AF99">
    <cfRule type="expression" dxfId="3590" priority="64">
      <formula>C$9&gt;=20/24</formula>
    </cfRule>
    <cfRule type="expression" dxfId="3589" priority="65">
      <formula>AND(C$9&gt;=14/24,C$9&lt;20/24)</formula>
    </cfRule>
    <cfRule type="expression" dxfId="3588" priority="66">
      <formula>AND(C$9&gt;=8/24,C$9&lt;14/24)</formula>
    </cfRule>
    <cfRule type="expression" dxfId="3587" priority="67">
      <formula>C$9&lt;8/24</formula>
    </cfRule>
  </conditionalFormatting>
  <conditionalFormatting sqref="B99">
    <cfRule type="expression" dxfId="3586" priority="60">
      <formula>B$9&gt;=20/24</formula>
    </cfRule>
    <cfRule type="expression" dxfId="3585" priority="61">
      <formula>AND(B$9&gt;=14/24,B$9&lt;20/24)</formula>
    </cfRule>
    <cfRule type="expression" dxfId="3584" priority="62">
      <formula>AND(B$9&gt;=8/24,B$9&lt;14/24)</formula>
    </cfRule>
    <cfRule type="expression" dxfId="3583" priority="63">
      <formula>B$9&lt;8/24</formula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3582" priority="54">
      <formula>$AH33=0</formula>
    </cfRule>
  </conditionalFormatting>
  <conditionalFormatting sqref="A82">
    <cfRule type="expression" dxfId="3581" priority="52">
      <formula>$AH82=0</formula>
    </cfRule>
  </conditionalFormatting>
  <conditionalFormatting sqref="A79">
    <cfRule type="expression" dxfId="3580" priority="53">
      <formula>$AH79=0</formula>
    </cfRule>
  </conditionalFormatting>
  <conditionalFormatting sqref="A109">
    <cfRule type="expression" dxfId="3579" priority="43">
      <formula>$AH109=0</formula>
    </cfRule>
  </conditionalFormatting>
  <conditionalFormatting sqref="C102:AF102">
    <cfRule type="expression" dxfId="3578" priority="39">
      <formula>C$9&gt;=20/24</formula>
    </cfRule>
    <cfRule type="expression" dxfId="3577" priority="40">
      <formula>AND(C$9&gt;=14/24,C$9&lt;20/24)</formula>
    </cfRule>
    <cfRule type="expression" dxfId="3576" priority="41">
      <formula>AND(C$9&gt;=8/24,C$9&lt;14/24)</formula>
    </cfRule>
    <cfRule type="expression" dxfId="3575" priority="42">
      <formula>C$9&lt;8/24</formula>
    </cfRule>
  </conditionalFormatting>
  <conditionalFormatting sqref="A102">
    <cfRule type="expression" dxfId="3574" priority="38">
      <formula>$AH102=0</formula>
    </cfRule>
  </conditionalFormatting>
  <conditionalFormatting sqref="B102">
    <cfRule type="expression" dxfId="3573" priority="34">
      <formula>B$9&gt;=20/24</formula>
    </cfRule>
    <cfRule type="expression" dxfId="3572" priority="35">
      <formula>AND(B$9&gt;=14/24,B$9&lt;20/24)</formula>
    </cfRule>
    <cfRule type="expression" dxfId="3571" priority="36">
      <formula>AND(B$9&gt;=8/24,B$9&lt;14/24)</formula>
    </cfRule>
    <cfRule type="expression" dxfId="3570" priority="37">
      <formula>B$9&lt;8/24</formula>
    </cfRule>
  </conditionalFormatting>
  <conditionalFormatting sqref="W52:AA56">
    <cfRule type="expression" dxfId="3569" priority="30">
      <formula>W$9&gt;=20/24</formula>
    </cfRule>
    <cfRule type="expression" dxfId="3568" priority="31">
      <formula>AND(W$9&gt;=14/24,W$9&lt;20/24)</formula>
    </cfRule>
    <cfRule type="expression" dxfId="3567" priority="32">
      <formula>AND(W$9&gt;=8/24,W$9&lt;14/24)</formula>
    </cfRule>
    <cfRule type="expression" dxfId="3566" priority="33">
      <formula>W$9&lt;8/24</formula>
    </cfRule>
  </conditionalFormatting>
  <conditionalFormatting sqref="W52:AA56">
    <cfRule type="expression" dxfId="3565" priority="29">
      <formula>W52&gt;$AG52</formula>
    </cfRule>
  </conditionalFormatting>
  <conditionalFormatting sqref="B17:AF17">
    <cfRule type="expression" dxfId="3564" priority="27">
      <formula>B17&gt;$AG17</formula>
    </cfRule>
  </conditionalFormatting>
  <conditionalFormatting sqref="A17">
    <cfRule type="expression" dxfId="3563" priority="26">
      <formula>$AH17=0</formula>
    </cfRule>
  </conditionalFormatting>
  <conditionalFormatting sqref="S17:AF17">
    <cfRule type="expression" dxfId="3562" priority="22">
      <formula>S$9&gt;=20/24</formula>
    </cfRule>
    <cfRule type="expression" dxfId="3561" priority="23">
      <formula>AND(S$9&gt;=14/24,S$9&lt;20/24)</formula>
    </cfRule>
    <cfRule type="expression" dxfId="3560" priority="24">
      <formula>AND(S$9&gt;=8/24,S$9&lt;14/24)</formula>
    </cfRule>
    <cfRule type="expression" dxfId="3559" priority="25">
      <formula>S$9&lt;8/24</formula>
    </cfRule>
  </conditionalFormatting>
  <conditionalFormatting sqref="B17:R17">
    <cfRule type="expression" dxfId="3558" priority="18">
      <formula>B$9&gt;=20/24</formula>
    </cfRule>
    <cfRule type="expression" dxfId="3557" priority="19">
      <formula>AND(B$9&gt;=14/24,B$9&lt;20/24)</formula>
    </cfRule>
    <cfRule type="expression" dxfId="3556" priority="20">
      <formula>AND(B$9&gt;=8/24,B$9&lt;14/24)</formula>
    </cfRule>
    <cfRule type="expression" dxfId="3555" priority="21">
      <formula>B$9&lt;8/24</formula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3554" priority="16">
      <formula>$AH30=0</formula>
    </cfRule>
  </conditionalFormatting>
  <conditionalFormatting sqref="X30:AF30">
    <cfRule type="expression" dxfId="3553" priority="12">
      <formula>X$9&gt;=20/24</formula>
    </cfRule>
    <cfRule type="expression" dxfId="3552" priority="13">
      <formula>AND(X$9&gt;=14/24,X$9&lt;20/24)</formula>
    </cfRule>
    <cfRule type="expression" dxfId="3551" priority="14">
      <formula>AND(X$9&gt;=8/24,X$9&lt;14/24)</formula>
    </cfRule>
    <cfRule type="expression" dxfId="3550" priority="15">
      <formula>X$9&lt;8/24</formula>
    </cfRule>
  </conditionalFormatting>
  <conditionalFormatting sqref="X30:AF30">
    <cfRule type="expression" dxfId="3549" priority="11">
      <formula>X30&gt;$AG30</formula>
    </cfRule>
  </conditionalFormatting>
  <conditionalFormatting sqref="S30:W30">
    <cfRule type="expression" dxfId="3548" priority="7">
      <formula>S$9&gt;=20/24</formula>
    </cfRule>
    <cfRule type="expression" dxfId="3547" priority="8">
      <formula>AND(S$9&gt;=14/24,S$9&lt;20/24)</formula>
    </cfRule>
    <cfRule type="expression" dxfId="3546" priority="9">
      <formula>AND(S$9&gt;=8/24,S$9&lt;14/24)</formula>
    </cfRule>
    <cfRule type="expression" dxfId="3545" priority="10">
      <formula>S$9&lt;8/24</formula>
    </cfRule>
  </conditionalFormatting>
  <conditionalFormatting sqref="S30:W30">
    <cfRule type="expression" dxfId="3544" priority="6">
      <formula>S30&gt;$AG30</formula>
    </cfRule>
  </conditionalFormatting>
  <conditionalFormatting sqref="B30:R30">
    <cfRule type="expression" dxfId="3543" priority="2">
      <formula>B$9&gt;=20/24</formula>
    </cfRule>
    <cfRule type="expression" dxfId="3542" priority="3">
      <formula>AND(B$9&gt;=14/24,B$9&lt;20/24)</formula>
    </cfRule>
    <cfRule type="expression" dxfId="3541" priority="4">
      <formula>AND(B$9&gt;=8/24,B$9&lt;14/24)</formula>
    </cfRule>
    <cfRule type="expression" dxfId="3540" priority="5">
      <formula>B$9&lt;8/24</formula>
    </cfRule>
  </conditionalFormatting>
  <conditionalFormatting sqref="B30:R30">
    <cfRule type="expression" dxfId="3539" priority="1">
      <formula>B30&gt;$AG30</formula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1B01B786-5D9E-4533-A8CF-989EB1114BE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18FAF521-71EA-4D3C-A514-0B9C7E885CD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BF9CECD8-EDA9-436D-B6FF-DB3F07ED38A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6684B5A9-301A-4DD3-BE05-70D9BA7FEDB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8" id="{5418E8AD-EE5E-49E8-99F2-88CF351344F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E741BF75-48C4-4E85-9516-74FC03860C0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98D3B72E-73A0-4DDD-A348-E6451700829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C95C473A-23D2-436F-BE7F-5547B7EFA762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4" id="{C947E9EA-A257-4F30-AF7A-49111B955597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E4749F58-E36B-4F0D-AE90-2B255434E5F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C14761D8-41B4-4F96-88F7-0C4E79DA3A05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C5295FA2-C842-4E11-8B6F-A7FFAD41C3BF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J270"/>
  <sheetViews>
    <sheetView zoomScale="90" zoomScaleNormal="90" workbookViewId="0">
      <pane xSplit="1" ySplit="10" topLeftCell="B47" activePane="bottomRight" state="frozen"/>
      <selection activeCell="AK109" sqref="AK109"/>
      <selection pane="topRight" activeCell="AK109" sqref="AK109"/>
      <selection pane="bottomLeft" activeCell="AK109" sqref="AK109"/>
      <selection pane="bottomRight" activeCell="AK109" sqref="AK10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"2079/"&amp;"07/"&amp;INT(MID(CELL("filename",D6),FIND("]",CELL("filename",D6))+1,200))</f>
        <v>2079/07/27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1605MW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Load=1130</v>
      </c>
      <c r="B7" s="35">
        <f t="shared" ref="B7:AF7" si="1">B81</f>
        <v>1202.1399999999999</v>
      </c>
      <c r="C7" s="35">
        <f t="shared" si="1"/>
        <v>1130.3399999999999</v>
      </c>
      <c r="D7" s="35">
        <f t="shared" si="1"/>
        <v>1139.6399999999999</v>
      </c>
      <c r="E7" s="35">
        <f t="shared" si="1"/>
        <v>1130.3399999999999</v>
      </c>
      <c r="F7" s="35">
        <f t="shared" si="1"/>
        <v>1135.3399999999999</v>
      </c>
      <c r="G7" s="35">
        <f t="shared" si="1"/>
        <v>1162.24</v>
      </c>
      <c r="H7" s="35">
        <f t="shared" si="1"/>
        <v>1215.44</v>
      </c>
      <c r="I7" s="35">
        <f t="shared" si="1"/>
        <v>1328.6399999999999</v>
      </c>
      <c r="J7" s="35">
        <f t="shared" si="1"/>
        <v>1423.6399999999999</v>
      </c>
      <c r="K7" s="35">
        <f t="shared" si="1"/>
        <v>1538.24</v>
      </c>
      <c r="L7" s="35">
        <f t="shared" si="1"/>
        <v>1600.64</v>
      </c>
      <c r="M7" s="35">
        <f t="shared" si="1"/>
        <v>1605.34</v>
      </c>
      <c r="N7" s="35">
        <f t="shared" si="1"/>
        <v>1476.94</v>
      </c>
      <c r="O7" s="35">
        <f t="shared" si="1"/>
        <v>1435.1399999999999</v>
      </c>
      <c r="P7" s="35">
        <f t="shared" si="1"/>
        <v>1445.1399999999999</v>
      </c>
      <c r="Q7" s="35">
        <f t="shared" si="1"/>
        <v>1413.1399999999999</v>
      </c>
      <c r="R7" s="35">
        <f t="shared" si="1"/>
        <v>1445.1399999999999</v>
      </c>
      <c r="S7" s="35">
        <f t="shared" si="1"/>
        <v>1337.8400000000001</v>
      </c>
      <c r="T7" s="35">
        <f t="shared" si="1"/>
        <v>1388.94</v>
      </c>
      <c r="U7" s="35">
        <f t="shared" si="1"/>
        <v>1418.94</v>
      </c>
      <c r="V7" s="35">
        <f t="shared" si="1"/>
        <v>1417.94</v>
      </c>
      <c r="W7" s="35">
        <f t="shared" si="1"/>
        <v>1538.94</v>
      </c>
      <c r="X7" s="35">
        <f t="shared" si="1"/>
        <v>1675.3400000000001</v>
      </c>
      <c r="Y7" s="35">
        <f t="shared" si="1"/>
        <v>1649.3400000000001</v>
      </c>
      <c r="Z7" s="35">
        <f t="shared" si="1"/>
        <v>1588.3400000000001</v>
      </c>
      <c r="AA7" s="35">
        <f t="shared" si="1"/>
        <v>1562.3400000000001</v>
      </c>
      <c r="AB7" s="35">
        <f t="shared" si="1"/>
        <v>1482.3400000000001</v>
      </c>
      <c r="AC7" s="35">
        <f t="shared" si="1"/>
        <v>1425.44</v>
      </c>
      <c r="AD7" s="35">
        <f t="shared" si="1"/>
        <v>1348.44</v>
      </c>
      <c r="AE7" s="35">
        <f t="shared" si="1"/>
        <v>1266.04</v>
      </c>
      <c r="AF7" s="35">
        <f t="shared" si="1"/>
        <v>1280.04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6">
        <v>41.8</v>
      </c>
      <c r="C11" s="46">
        <v>41.8</v>
      </c>
      <c r="D11" s="46">
        <v>41.8</v>
      </c>
      <c r="E11" s="46">
        <v>41.8</v>
      </c>
      <c r="F11" s="46">
        <v>41.8</v>
      </c>
      <c r="G11" s="46">
        <v>41.8</v>
      </c>
      <c r="H11" s="46">
        <v>41.8</v>
      </c>
      <c r="I11" s="46">
        <v>41.9</v>
      </c>
      <c r="J11" s="46">
        <v>41.9</v>
      </c>
      <c r="K11" s="46">
        <v>41.9</v>
      </c>
      <c r="L11" s="46">
        <v>41.5</v>
      </c>
      <c r="M11" s="45">
        <v>40.700000000000003</v>
      </c>
      <c r="N11" s="45">
        <v>40.799999999999997</v>
      </c>
      <c r="O11" s="45">
        <v>40.799999999999997</v>
      </c>
      <c r="P11" s="45">
        <v>40.799999999999997</v>
      </c>
      <c r="Q11" s="45">
        <v>40.799999999999997</v>
      </c>
      <c r="R11" s="45">
        <v>40.799999999999997</v>
      </c>
      <c r="S11" s="45">
        <v>38.799999999999997</v>
      </c>
      <c r="T11" s="45">
        <v>39.9</v>
      </c>
      <c r="U11" s="45">
        <v>39.9</v>
      </c>
      <c r="V11" s="45">
        <v>39.9</v>
      </c>
      <c r="W11" s="45">
        <v>39.9</v>
      </c>
      <c r="X11" s="46">
        <v>40.700000000000003</v>
      </c>
      <c r="Y11" s="46">
        <v>40.700000000000003</v>
      </c>
      <c r="Z11" s="46">
        <v>40.700000000000003</v>
      </c>
      <c r="AA11" s="46">
        <v>40.700000000000003</v>
      </c>
      <c r="AB11" s="46">
        <v>40.700000000000003</v>
      </c>
      <c r="AC11" s="46">
        <v>40.700000000000003</v>
      </c>
      <c r="AD11" s="46">
        <v>40.700000000000003</v>
      </c>
      <c r="AE11" s="46">
        <v>40.700000000000003</v>
      </c>
      <c r="AF11" s="46">
        <v>40.700000000000003</v>
      </c>
      <c r="AG11" s="47">
        <v>52.4</v>
      </c>
      <c r="AH11" s="48">
        <f>MAX(B11:AF11)</f>
        <v>41.9</v>
      </c>
      <c r="AI11" s="49">
        <f>MIN(B11:AF11)</f>
        <v>38.799999999999997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50.5</v>
      </c>
      <c r="C12" s="45">
        <v>50.6</v>
      </c>
      <c r="D12" s="45">
        <v>50.6</v>
      </c>
      <c r="E12" s="45">
        <v>50.6</v>
      </c>
      <c r="F12" s="45">
        <v>50.6</v>
      </c>
      <c r="G12" s="45">
        <v>50.6</v>
      </c>
      <c r="H12" s="45">
        <v>50.6</v>
      </c>
      <c r="I12" s="45">
        <v>50.6</v>
      </c>
      <c r="J12" s="45">
        <v>50.6</v>
      </c>
      <c r="K12" s="45">
        <v>50.6</v>
      </c>
      <c r="L12" s="45">
        <v>50.6</v>
      </c>
      <c r="M12" s="45">
        <v>50.6</v>
      </c>
      <c r="N12" s="45">
        <v>50.6</v>
      </c>
      <c r="O12" s="45">
        <v>50.6</v>
      </c>
      <c r="P12" s="45">
        <v>50.6</v>
      </c>
      <c r="Q12" s="45">
        <v>50.6</v>
      </c>
      <c r="R12" s="45">
        <v>50.6</v>
      </c>
      <c r="S12" s="45">
        <v>50.4</v>
      </c>
      <c r="T12" s="45">
        <v>50.4</v>
      </c>
      <c r="U12" s="45">
        <v>50.4</v>
      </c>
      <c r="V12" s="45">
        <v>50.4</v>
      </c>
      <c r="W12" s="45">
        <v>50.4</v>
      </c>
      <c r="X12" s="45">
        <v>50.3</v>
      </c>
      <c r="Y12" s="45">
        <v>50.3</v>
      </c>
      <c r="Z12" s="45">
        <v>50.3</v>
      </c>
      <c r="AA12" s="45">
        <v>50.3</v>
      </c>
      <c r="AB12" s="45">
        <v>50.3</v>
      </c>
      <c r="AC12" s="45">
        <v>50.3</v>
      </c>
      <c r="AD12" s="45">
        <v>50.3</v>
      </c>
      <c r="AE12" s="45">
        <v>50.3</v>
      </c>
      <c r="AF12" s="45">
        <v>50.3</v>
      </c>
      <c r="AG12" s="51">
        <v>50</v>
      </c>
      <c r="AH12" s="48">
        <f t="shared" ref="AH12:AH75" si="2">MAX(B12:AF12)</f>
        <v>50.6</v>
      </c>
      <c r="AI12" s="49">
        <f t="shared" ref="AI12:AI75" si="3">MIN(B12:AF12)</f>
        <v>50.3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39</v>
      </c>
      <c r="C13" s="45">
        <v>37.700000000000003</v>
      </c>
      <c r="D13" s="45">
        <v>37.700000000000003</v>
      </c>
      <c r="E13" s="45">
        <v>37.700000000000003</v>
      </c>
      <c r="F13" s="45">
        <v>37.700000000000003</v>
      </c>
      <c r="G13" s="45">
        <v>37.700000000000003</v>
      </c>
      <c r="H13" s="45">
        <v>35.299999999999997</v>
      </c>
      <c r="I13" s="45">
        <v>35.299999999999997</v>
      </c>
      <c r="J13" s="45">
        <v>35.299999999999997</v>
      </c>
      <c r="K13" s="45">
        <v>35.299999999999997</v>
      </c>
      <c r="L13" s="45">
        <v>34.6</v>
      </c>
      <c r="M13" s="45">
        <v>34.6</v>
      </c>
      <c r="N13" s="45">
        <v>34.6</v>
      </c>
      <c r="O13" s="45">
        <v>34.6</v>
      </c>
      <c r="P13" s="45">
        <v>34.6</v>
      </c>
      <c r="Q13" s="45">
        <v>34.6</v>
      </c>
      <c r="R13" s="45">
        <v>34.6</v>
      </c>
      <c r="S13" s="45">
        <v>34.6</v>
      </c>
      <c r="T13" s="45">
        <v>34.6</v>
      </c>
      <c r="U13" s="45">
        <v>34.6</v>
      </c>
      <c r="V13" s="45">
        <v>34.6</v>
      </c>
      <c r="W13" s="45">
        <v>34.6</v>
      </c>
      <c r="X13" s="45">
        <v>39</v>
      </c>
      <c r="Y13" s="45">
        <v>39</v>
      </c>
      <c r="Z13" s="45">
        <v>39</v>
      </c>
      <c r="AA13" s="45">
        <v>39</v>
      </c>
      <c r="AB13" s="45">
        <v>39</v>
      </c>
      <c r="AC13" s="45">
        <v>39</v>
      </c>
      <c r="AD13" s="45">
        <v>39</v>
      </c>
      <c r="AE13" s="45">
        <v>39</v>
      </c>
      <c r="AF13" s="45">
        <v>39</v>
      </c>
      <c r="AG13" s="51">
        <v>45</v>
      </c>
      <c r="AH13" s="48">
        <f t="shared" si="2"/>
        <v>39</v>
      </c>
      <c r="AI13" s="49">
        <f t="shared" si="3"/>
        <v>34.6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22</v>
      </c>
      <c r="C14" s="45">
        <v>22</v>
      </c>
      <c r="D14" s="45">
        <v>22</v>
      </c>
      <c r="E14" s="45">
        <v>22</v>
      </c>
      <c r="F14" s="45">
        <v>22</v>
      </c>
      <c r="G14" s="45">
        <v>22</v>
      </c>
      <c r="H14" s="45">
        <v>22</v>
      </c>
      <c r="I14" s="45">
        <v>22</v>
      </c>
      <c r="J14" s="45">
        <v>22</v>
      </c>
      <c r="K14" s="45">
        <v>26</v>
      </c>
      <c r="L14" s="45">
        <v>26</v>
      </c>
      <c r="M14" s="45">
        <v>26</v>
      </c>
      <c r="N14" s="45">
        <v>24</v>
      </c>
      <c r="O14" s="45">
        <v>23</v>
      </c>
      <c r="P14" s="45">
        <v>23</v>
      </c>
      <c r="Q14" s="45">
        <v>23</v>
      </c>
      <c r="R14" s="45">
        <v>23</v>
      </c>
      <c r="S14" s="45">
        <v>22</v>
      </c>
      <c r="T14" s="45">
        <v>22</v>
      </c>
      <c r="U14" s="45">
        <v>22</v>
      </c>
      <c r="V14" s="45">
        <v>22</v>
      </c>
      <c r="W14" s="45">
        <v>22</v>
      </c>
      <c r="X14" s="45">
        <v>23</v>
      </c>
      <c r="Y14" s="45">
        <v>27</v>
      </c>
      <c r="Z14" s="45">
        <v>27</v>
      </c>
      <c r="AA14" s="45">
        <v>27</v>
      </c>
      <c r="AB14" s="45">
        <v>27</v>
      </c>
      <c r="AC14" s="45">
        <v>21</v>
      </c>
      <c r="AD14" s="45">
        <v>21</v>
      </c>
      <c r="AE14" s="45">
        <v>23</v>
      </c>
      <c r="AF14" s="45">
        <v>23</v>
      </c>
      <c r="AG14" s="51">
        <v>42</v>
      </c>
      <c r="AH14" s="48">
        <f t="shared" si="2"/>
        <v>27</v>
      </c>
      <c r="AI14" s="49">
        <f t="shared" si="3"/>
        <v>21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10</v>
      </c>
      <c r="J15" s="45">
        <v>25</v>
      </c>
      <c r="K15" s="45">
        <v>28.5</v>
      </c>
      <c r="L15" s="45">
        <v>28.5</v>
      </c>
      <c r="M15" s="45">
        <v>23</v>
      </c>
      <c r="N15" s="45">
        <v>20</v>
      </c>
      <c r="O15" s="45">
        <v>17.5</v>
      </c>
      <c r="P15" s="45">
        <v>17.5</v>
      </c>
      <c r="Q15" s="45">
        <v>17.5</v>
      </c>
      <c r="R15" s="45">
        <v>17.5</v>
      </c>
      <c r="S15" s="45">
        <v>18.399999999999999</v>
      </c>
      <c r="T15" s="45">
        <v>18.399999999999999</v>
      </c>
      <c r="U15" s="45">
        <v>18.399999999999999</v>
      </c>
      <c r="V15" s="45">
        <v>18.399999999999999</v>
      </c>
      <c r="W15" s="45">
        <v>18.399999999999999</v>
      </c>
      <c r="X15" s="45">
        <v>22</v>
      </c>
      <c r="Y15" s="45">
        <v>22</v>
      </c>
      <c r="Z15" s="45">
        <v>22</v>
      </c>
      <c r="AA15" s="45">
        <v>26</v>
      </c>
      <c r="AB15" s="45">
        <v>26</v>
      </c>
      <c r="AC15" s="45">
        <v>20</v>
      </c>
      <c r="AD15" s="45">
        <v>10</v>
      </c>
      <c r="AE15" s="45">
        <v>0</v>
      </c>
      <c r="AF15" s="45">
        <v>0</v>
      </c>
      <c r="AG15" s="52">
        <v>30</v>
      </c>
      <c r="AH15" s="48">
        <f t="shared" si="2"/>
        <v>28.5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19.3</v>
      </c>
      <c r="C16" s="45">
        <v>19.3</v>
      </c>
      <c r="D16" s="45">
        <v>19.3</v>
      </c>
      <c r="E16" s="45">
        <v>19.3</v>
      </c>
      <c r="F16" s="45">
        <v>19.3</v>
      </c>
      <c r="G16" s="45">
        <v>19.3</v>
      </c>
      <c r="H16" s="45">
        <v>19.3</v>
      </c>
      <c r="I16" s="45">
        <v>19.3</v>
      </c>
      <c r="J16" s="45">
        <v>19.3</v>
      </c>
      <c r="K16" s="45">
        <v>19.3</v>
      </c>
      <c r="L16" s="45">
        <v>19.3</v>
      </c>
      <c r="M16" s="45">
        <v>18.899999999999999</v>
      </c>
      <c r="N16" s="45">
        <v>17.5</v>
      </c>
      <c r="O16" s="45">
        <v>17.5</v>
      </c>
      <c r="P16" s="45">
        <v>17.5</v>
      </c>
      <c r="Q16" s="45">
        <v>17.5</v>
      </c>
      <c r="R16" s="45">
        <v>17.5</v>
      </c>
      <c r="S16" s="45">
        <v>17.5</v>
      </c>
      <c r="T16" s="45">
        <v>17.5</v>
      </c>
      <c r="U16" s="45">
        <v>17.5</v>
      </c>
      <c r="V16" s="45">
        <v>17.5</v>
      </c>
      <c r="W16" s="45">
        <v>17.5</v>
      </c>
      <c r="X16" s="45">
        <v>18.600000000000001</v>
      </c>
      <c r="Y16" s="45">
        <v>18.600000000000001</v>
      </c>
      <c r="Z16" s="45">
        <v>18.600000000000001</v>
      </c>
      <c r="AA16" s="45">
        <v>18.600000000000001</v>
      </c>
      <c r="AB16" s="45">
        <v>18.600000000000001</v>
      </c>
      <c r="AC16" s="45">
        <v>18.600000000000001</v>
      </c>
      <c r="AD16" s="45">
        <v>18.600000000000001</v>
      </c>
      <c r="AE16" s="45">
        <v>18.600000000000001</v>
      </c>
      <c r="AF16" s="45">
        <v>18.600000000000001</v>
      </c>
      <c r="AG16" s="51">
        <v>24.2</v>
      </c>
      <c r="AH16" s="48">
        <f t="shared" si="2"/>
        <v>19.3</v>
      </c>
      <c r="AI16" s="49">
        <f t="shared" si="3"/>
        <v>17.5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20</v>
      </c>
      <c r="K17" s="45">
        <v>25</v>
      </c>
      <c r="L17" s="45">
        <v>25</v>
      </c>
      <c r="M17" s="45">
        <v>25</v>
      </c>
      <c r="N17" s="45">
        <v>25</v>
      </c>
      <c r="O17" s="45">
        <v>25</v>
      </c>
      <c r="P17" s="45">
        <v>25</v>
      </c>
      <c r="Q17" s="45">
        <v>25</v>
      </c>
      <c r="R17" s="45">
        <v>25</v>
      </c>
      <c r="S17" s="45">
        <v>25</v>
      </c>
      <c r="T17" s="45">
        <v>25</v>
      </c>
      <c r="U17" s="45">
        <v>25</v>
      </c>
      <c r="V17" s="45">
        <v>25</v>
      </c>
      <c r="W17" s="45">
        <v>25</v>
      </c>
      <c r="X17" s="45">
        <v>27</v>
      </c>
      <c r="Y17" s="45">
        <v>27</v>
      </c>
      <c r="Z17" s="45">
        <v>27</v>
      </c>
      <c r="AA17" s="45">
        <v>27</v>
      </c>
      <c r="AB17" s="45">
        <v>27</v>
      </c>
      <c r="AC17" s="45">
        <v>27</v>
      </c>
      <c r="AD17" s="45">
        <v>15</v>
      </c>
      <c r="AE17" s="45">
        <v>0</v>
      </c>
      <c r="AF17" s="45">
        <v>0</v>
      </c>
      <c r="AG17" s="52">
        <v>30</v>
      </c>
      <c r="AH17" s="48">
        <f t="shared" si="2"/>
        <v>27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20.3</v>
      </c>
      <c r="C18" s="45">
        <v>20.2</v>
      </c>
      <c r="D18" s="45">
        <v>20.2</v>
      </c>
      <c r="E18" s="45">
        <v>20.2</v>
      </c>
      <c r="F18" s="45">
        <v>20.2</v>
      </c>
      <c r="G18" s="45">
        <v>20.2</v>
      </c>
      <c r="H18" s="45">
        <v>20.2</v>
      </c>
      <c r="I18" s="45">
        <v>20.2</v>
      </c>
      <c r="J18" s="45">
        <v>20.2</v>
      </c>
      <c r="K18" s="45">
        <v>20.2</v>
      </c>
      <c r="L18" s="45">
        <v>20.2</v>
      </c>
      <c r="M18" s="45">
        <v>20.3</v>
      </c>
      <c r="N18" s="45">
        <v>20.3</v>
      </c>
      <c r="O18" s="45">
        <v>20.3</v>
      </c>
      <c r="P18" s="45">
        <v>20.3</v>
      </c>
      <c r="Q18" s="45">
        <v>20.3</v>
      </c>
      <c r="R18" s="45">
        <v>20.3</v>
      </c>
      <c r="S18" s="45">
        <v>20.3</v>
      </c>
      <c r="T18" s="45">
        <v>20.3</v>
      </c>
      <c r="U18" s="45">
        <v>20.3</v>
      </c>
      <c r="V18" s="45">
        <v>20.3</v>
      </c>
      <c r="W18" s="45">
        <v>20.3</v>
      </c>
      <c r="X18" s="45">
        <v>20.2</v>
      </c>
      <c r="Y18" s="45">
        <v>20.2</v>
      </c>
      <c r="Z18" s="45">
        <v>20.2</v>
      </c>
      <c r="AA18" s="45">
        <v>20.2</v>
      </c>
      <c r="AB18" s="45">
        <v>20.2</v>
      </c>
      <c r="AC18" s="45">
        <v>20.2</v>
      </c>
      <c r="AD18" s="45">
        <v>20.2</v>
      </c>
      <c r="AE18" s="45">
        <v>20.2</v>
      </c>
      <c r="AF18" s="45">
        <v>20.2</v>
      </c>
      <c r="AG18" s="51">
        <v>25</v>
      </c>
      <c r="AH18" s="48">
        <f t="shared" si="2"/>
        <v>20.3</v>
      </c>
      <c r="AI18" s="49">
        <f t="shared" si="3"/>
        <v>20.2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21</v>
      </c>
      <c r="C19" s="45">
        <v>21</v>
      </c>
      <c r="D19" s="45">
        <v>21</v>
      </c>
      <c r="E19" s="45">
        <v>21</v>
      </c>
      <c r="F19" s="45">
        <v>21</v>
      </c>
      <c r="G19" s="45">
        <v>21</v>
      </c>
      <c r="H19" s="45">
        <v>21</v>
      </c>
      <c r="I19" s="45">
        <v>21</v>
      </c>
      <c r="J19" s="45">
        <v>21</v>
      </c>
      <c r="K19" s="45">
        <v>21</v>
      </c>
      <c r="L19" s="45">
        <v>21</v>
      </c>
      <c r="M19" s="45">
        <v>21</v>
      </c>
      <c r="N19" s="45">
        <v>21</v>
      </c>
      <c r="O19" s="45">
        <v>21</v>
      </c>
      <c r="P19" s="45">
        <v>21</v>
      </c>
      <c r="Q19" s="45">
        <v>21</v>
      </c>
      <c r="R19" s="45">
        <v>21</v>
      </c>
      <c r="S19" s="45">
        <v>21</v>
      </c>
      <c r="T19" s="45">
        <v>21</v>
      </c>
      <c r="U19" s="45">
        <v>21</v>
      </c>
      <c r="V19" s="45">
        <v>21</v>
      </c>
      <c r="W19" s="45">
        <v>21</v>
      </c>
      <c r="X19" s="45">
        <v>21</v>
      </c>
      <c r="Y19" s="45">
        <v>21</v>
      </c>
      <c r="Z19" s="45">
        <v>21</v>
      </c>
      <c r="AA19" s="45">
        <v>21</v>
      </c>
      <c r="AB19" s="45">
        <v>21</v>
      </c>
      <c r="AC19" s="45">
        <v>21</v>
      </c>
      <c r="AD19" s="45">
        <v>21</v>
      </c>
      <c r="AE19" s="45">
        <v>21</v>
      </c>
      <c r="AF19" s="45">
        <v>21</v>
      </c>
      <c r="AG19" s="51">
        <v>25</v>
      </c>
      <c r="AH19" s="48">
        <f t="shared" si="2"/>
        <v>21</v>
      </c>
      <c r="AI19" s="49">
        <f t="shared" si="3"/>
        <v>21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18</v>
      </c>
      <c r="C20" s="45">
        <v>18</v>
      </c>
      <c r="D20" s="45">
        <v>18</v>
      </c>
      <c r="E20" s="45">
        <v>18</v>
      </c>
      <c r="F20" s="45">
        <v>18</v>
      </c>
      <c r="G20" s="45">
        <v>18</v>
      </c>
      <c r="H20" s="45">
        <v>18</v>
      </c>
      <c r="I20" s="45">
        <v>18</v>
      </c>
      <c r="J20" s="45">
        <v>18</v>
      </c>
      <c r="K20" s="45">
        <v>18</v>
      </c>
      <c r="L20" s="45">
        <v>18</v>
      </c>
      <c r="M20" s="45">
        <v>18</v>
      </c>
      <c r="N20" s="45">
        <v>18</v>
      </c>
      <c r="O20" s="45">
        <v>18</v>
      </c>
      <c r="P20" s="45">
        <v>18</v>
      </c>
      <c r="Q20" s="45">
        <v>18</v>
      </c>
      <c r="R20" s="45">
        <v>18</v>
      </c>
      <c r="S20" s="45">
        <v>18</v>
      </c>
      <c r="T20" s="45">
        <v>18</v>
      </c>
      <c r="U20" s="45">
        <v>18</v>
      </c>
      <c r="V20" s="45">
        <v>18</v>
      </c>
      <c r="W20" s="45">
        <v>18</v>
      </c>
      <c r="X20" s="45">
        <v>18</v>
      </c>
      <c r="Y20" s="45">
        <v>18</v>
      </c>
      <c r="Z20" s="45">
        <v>18</v>
      </c>
      <c r="AA20" s="45">
        <v>18</v>
      </c>
      <c r="AB20" s="45">
        <v>18</v>
      </c>
      <c r="AC20" s="45">
        <v>18</v>
      </c>
      <c r="AD20" s="45">
        <v>18</v>
      </c>
      <c r="AE20" s="45">
        <v>18</v>
      </c>
      <c r="AF20" s="45">
        <v>18</v>
      </c>
      <c r="AG20" s="51">
        <v>25</v>
      </c>
      <c r="AH20" s="48">
        <f t="shared" si="2"/>
        <v>18</v>
      </c>
      <c r="AI20" s="49">
        <f t="shared" si="3"/>
        <v>18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18.2</v>
      </c>
      <c r="C21" s="45">
        <v>18.2</v>
      </c>
      <c r="D21" s="45">
        <v>18.2</v>
      </c>
      <c r="E21" s="45">
        <v>18.2</v>
      </c>
      <c r="F21" s="45">
        <v>18.2</v>
      </c>
      <c r="G21" s="45">
        <v>18.2</v>
      </c>
      <c r="H21" s="45">
        <v>18.2</v>
      </c>
      <c r="I21" s="45">
        <v>18.2</v>
      </c>
      <c r="J21" s="45">
        <v>18.2</v>
      </c>
      <c r="K21" s="45">
        <v>18.2</v>
      </c>
      <c r="L21" s="45">
        <v>20.7</v>
      </c>
      <c r="M21" s="45">
        <v>17.5</v>
      </c>
      <c r="N21" s="45">
        <v>17.5</v>
      </c>
      <c r="O21" s="45">
        <v>17.5</v>
      </c>
      <c r="P21" s="45">
        <v>17.5</v>
      </c>
      <c r="Q21" s="45">
        <v>17.5</v>
      </c>
      <c r="R21" s="45">
        <v>17.5</v>
      </c>
      <c r="S21" s="45">
        <v>17.5</v>
      </c>
      <c r="T21" s="45">
        <v>17.5</v>
      </c>
      <c r="U21" s="45">
        <v>17.5</v>
      </c>
      <c r="V21" s="45">
        <v>17.5</v>
      </c>
      <c r="W21" s="45">
        <v>17.5</v>
      </c>
      <c r="X21" s="45">
        <v>17.7</v>
      </c>
      <c r="Y21" s="45">
        <v>17.7</v>
      </c>
      <c r="Z21" s="45">
        <v>17.7</v>
      </c>
      <c r="AA21" s="45">
        <v>17.7</v>
      </c>
      <c r="AB21" s="45">
        <v>17.7</v>
      </c>
      <c r="AC21" s="45">
        <v>17.7</v>
      </c>
      <c r="AD21" s="45">
        <v>17.7</v>
      </c>
      <c r="AE21" s="45">
        <v>17.7</v>
      </c>
      <c r="AF21" s="45">
        <v>17.7</v>
      </c>
      <c r="AG21" s="51">
        <v>23.5</v>
      </c>
      <c r="AH21" s="48">
        <f t="shared" si="2"/>
        <v>20.7</v>
      </c>
      <c r="AI21" s="49">
        <f t="shared" si="3"/>
        <v>17.5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51">
        <v>22.2</v>
      </c>
      <c r="AH22" s="48">
        <f t="shared" si="2"/>
        <v>0</v>
      </c>
      <c r="AI22" s="49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18</v>
      </c>
      <c r="C23" s="45">
        <v>18</v>
      </c>
      <c r="D23" s="45">
        <v>18</v>
      </c>
      <c r="E23" s="45">
        <v>18</v>
      </c>
      <c r="F23" s="45">
        <v>18</v>
      </c>
      <c r="G23" s="45">
        <v>18</v>
      </c>
      <c r="H23" s="45">
        <v>18</v>
      </c>
      <c r="I23" s="45">
        <v>18</v>
      </c>
      <c r="J23" s="45">
        <v>18</v>
      </c>
      <c r="K23" s="45">
        <v>18</v>
      </c>
      <c r="L23" s="45">
        <v>18</v>
      </c>
      <c r="M23" s="45">
        <v>18</v>
      </c>
      <c r="N23" s="45">
        <v>18</v>
      </c>
      <c r="O23" s="45">
        <v>18</v>
      </c>
      <c r="P23" s="45">
        <v>18</v>
      </c>
      <c r="Q23" s="45">
        <v>18</v>
      </c>
      <c r="R23" s="45">
        <v>18</v>
      </c>
      <c r="S23" s="45">
        <v>18</v>
      </c>
      <c r="T23" s="45">
        <v>18</v>
      </c>
      <c r="U23" s="45">
        <v>18</v>
      </c>
      <c r="V23" s="45">
        <v>18</v>
      </c>
      <c r="W23" s="45">
        <v>18</v>
      </c>
      <c r="X23" s="45">
        <v>18</v>
      </c>
      <c r="Y23" s="45">
        <v>18</v>
      </c>
      <c r="Z23" s="45">
        <v>18</v>
      </c>
      <c r="AA23" s="45">
        <v>18</v>
      </c>
      <c r="AB23" s="45">
        <v>18</v>
      </c>
      <c r="AC23" s="45">
        <v>18</v>
      </c>
      <c r="AD23" s="45">
        <v>18</v>
      </c>
      <c r="AE23" s="45">
        <v>18</v>
      </c>
      <c r="AF23" s="45">
        <v>18</v>
      </c>
      <c r="AG23" s="51">
        <v>22.1</v>
      </c>
      <c r="AH23" s="48">
        <f t="shared" si="2"/>
        <v>18</v>
      </c>
      <c r="AI23" s="49">
        <f t="shared" si="3"/>
        <v>18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14</v>
      </c>
      <c r="C24" s="45">
        <v>14</v>
      </c>
      <c r="D24" s="45">
        <v>14</v>
      </c>
      <c r="E24" s="45">
        <v>14</v>
      </c>
      <c r="F24" s="45">
        <v>14</v>
      </c>
      <c r="G24" s="45">
        <v>14</v>
      </c>
      <c r="H24" s="45">
        <v>14</v>
      </c>
      <c r="I24" s="45">
        <v>14</v>
      </c>
      <c r="J24" s="45">
        <v>14</v>
      </c>
      <c r="K24" s="45">
        <v>14</v>
      </c>
      <c r="L24" s="45">
        <v>14</v>
      </c>
      <c r="M24" s="45">
        <v>14</v>
      </c>
      <c r="N24" s="45">
        <v>14</v>
      </c>
      <c r="O24" s="45">
        <v>14</v>
      </c>
      <c r="P24" s="45">
        <v>14</v>
      </c>
      <c r="Q24" s="45">
        <v>14</v>
      </c>
      <c r="R24" s="45">
        <v>14</v>
      </c>
      <c r="S24" s="45">
        <v>14</v>
      </c>
      <c r="T24" s="45">
        <v>14</v>
      </c>
      <c r="U24" s="45">
        <v>14</v>
      </c>
      <c r="V24" s="45">
        <v>14</v>
      </c>
      <c r="W24" s="45">
        <v>14</v>
      </c>
      <c r="X24" s="45">
        <v>14</v>
      </c>
      <c r="Y24" s="45">
        <v>14</v>
      </c>
      <c r="Z24" s="45">
        <v>14</v>
      </c>
      <c r="AA24" s="45">
        <v>14</v>
      </c>
      <c r="AB24" s="45">
        <v>14</v>
      </c>
      <c r="AC24" s="45">
        <v>14</v>
      </c>
      <c r="AD24" s="45">
        <v>14</v>
      </c>
      <c r="AE24" s="45">
        <v>14</v>
      </c>
      <c r="AF24" s="45">
        <v>14</v>
      </c>
      <c r="AG24" s="51">
        <v>22</v>
      </c>
      <c r="AH24" s="48">
        <f t="shared" si="2"/>
        <v>14</v>
      </c>
      <c r="AI24" s="49">
        <f t="shared" si="3"/>
        <v>14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18</v>
      </c>
      <c r="C25" s="45">
        <v>18</v>
      </c>
      <c r="D25" s="45">
        <v>18</v>
      </c>
      <c r="E25" s="45">
        <v>18</v>
      </c>
      <c r="F25" s="45">
        <v>18</v>
      </c>
      <c r="G25" s="45">
        <v>18</v>
      </c>
      <c r="H25" s="45">
        <v>18</v>
      </c>
      <c r="I25" s="45">
        <v>18</v>
      </c>
      <c r="J25" s="45">
        <v>18</v>
      </c>
      <c r="K25" s="45">
        <v>18</v>
      </c>
      <c r="L25" s="45">
        <v>18</v>
      </c>
      <c r="M25" s="45">
        <v>18</v>
      </c>
      <c r="N25" s="45">
        <v>18</v>
      </c>
      <c r="O25" s="45">
        <v>18</v>
      </c>
      <c r="P25" s="45">
        <v>18</v>
      </c>
      <c r="Q25" s="45">
        <v>18</v>
      </c>
      <c r="R25" s="45">
        <v>18</v>
      </c>
      <c r="S25" s="45">
        <v>18</v>
      </c>
      <c r="T25" s="45">
        <v>18</v>
      </c>
      <c r="U25" s="45">
        <v>18</v>
      </c>
      <c r="V25" s="45">
        <v>18</v>
      </c>
      <c r="W25" s="45">
        <v>18</v>
      </c>
      <c r="X25" s="45">
        <v>14</v>
      </c>
      <c r="Y25" s="45">
        <v>14</v>
      </c>
      <c r="Z25" s="45">
        <v>14</v>
      </c>
      <c r="AA25" s="45">
        <v>14</v>
      </c>
      <c r="AB25" s="45">
        <v>14</v>
      </c>
      <c r="AC25" s="45">
        <v>14</v>
      </c>
      <c r="AD25" s="45">
        <v>14</v>
      </c>
      <c r="AE25" s="45">
        <v>14</v>
      </c>
      <c r="AF25" s="45">
        <v>14</v>
      </c>
      <c r="AG25" s="51">
        <v>22</v>
      </c>
      <c r="AH25" s="48">
        <f t="shared" si="2"/>
        <v>18</v>
      </c>
      <c r="AI25" s="49">
        <f t="shared" si="3"/>
        <v>14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10</v>
      </c>
      <c r="K26" s="45">
        <v>10</v>
      </c>
      <c r="L26" s="45">
        <v>10</v>
      </c>
      <c r="M26" s="45">
        <v>10</v>
      </c>
      <c r="N26" s="45">
        <v>10</v>
      </c>
      <c r="O26" s="45">
        <v>10</v>
      </c>
      <c r="P26" s="45">
        <v>10</v>
      </c>
      <c r="Q26" s="45">
        <v>10</v>
      </c>
      <c r="R26" s="45">
        <v>10</v>
      </c>
      <c r="S26" s="45">
        <v>10</v>
      </c>
      <c r="T26" s="45">
        <v>10</v>
      </c>
      <c r="U26" s="45">
        <v>10</v>
      </c>
      <c r="V26" s="45">
        <v>10</v>
      </c>
      <c r="W26" s="45">
        <v>10</v>
      </c>
      <c r="X26" s="45">
        <v>10</v>
      </c>
      <c r="Y26" s="45">
        <v>10</v>
      </c>
      <c r="Z26" s="45">
        <v>10</v>
      </c>
      <c r="AA26" s="45">
        <v>10</v>
      </c>
      <c r="AB26" s="45">
        <v>10</v>
      </c>
      <c r="AC26" s="45">
        <v>10</v>
      </c>
      <c r="AD26" s="45">
        <v>10</v>
      </c>
      <c r="AE26" s="45">
        <v>0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11</v>
      </c>
      <c r="C27" s="45">
        <v>11</v>
      </c>
      <c r="D27" s="45">
        <v>11</v>
      </c>
      <c r="E27" s="45">
        <v>11</v>
      </c>
      <c r="F27" s="45">
        <v>11</v>
      </c>
      <c r="G27" s="45">
        <v>11</v>
      </c>
      <c r="H27" s="45">
        <v>11</v>
      </c>
      <c r="I27" s="45">
        <v>11</v>
      </c>
      <c r="J27" s="45">
        <v>11</v>
      </c>
      <c r="K27" s="45">
        <v>11</v>
      </c>
      <c r="L27" s="45">
        <v>11</v>
      </c>
      <c r="M27" s="45">
        <v>11</v>
      </c>
      <c r="N27" s="45">
        <v>11</v>
      </c>
      <c r="O27" s="45">
        <v>11</v>
      </c>
      <c r="P27" s="45">
        <v>11</v>
      </c>
      <c r="Q27" s="45">
        <v>11</v>
      </c>
      <c r="R27" s="45">
        <v>11</v>
      </c>
      <c r="S27" s="45">
        <v>11</v>
      </c>
      <c r="T27" s="45">
        <v>11</v>
      </c>
      <c r="U27" s="45">
        <v>11</v>
      </c>
      <c r="V27" s="45">
        <v>11</v>
      </c>
      <c r="W27" s="45">
        <v>11</v>
      </c>
      <c r="X27" s="45">
        <v>11</v>
      </c>
      <c r="Y27" s="45">
        <v>11</v>
      </c>
      <c r="Z27" s="45">
        <v>11</v>
      </c>
      <c r="AA27" s="45">
        <v>11</v>
      </c>
      <c r="AB27" s="45">
        <v>11</v>
      </c>
      <c r="AC27" s="45">
        <v>11</v>
      </c>
      <c r="AD27" s="45">
        <v>11</v>
      </c>
      <c r="AE27" s="45">
        <v>11</v>
      </c>
      <c r="AF27" s="45">
        <v>11</v>
      </c>
      <c r="AG27" s="51">
        <v>14.9</v>
      </c>
      <c r="AH27" s="48">
        <f t="shared" si="2"/>
        <v>11</v>
      </c>
      <c r="AI27" s="49">
        <f t="shared" si="3"/>
        <v>11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3.5</v>
      </c>
      <c r="C28" s="45">
        <v>3.5</v>
      </c>
      <c r="D28" s="45">
        <v>3.5</v>
      </c>
      <c r="E28" s="45">
        <v>3.5</v>
      </c>
      <c r="F28" s="45">
        <v>3.5</v>
      </c>
      <c r="G28" s="45">
        <v>3.5</v>
      </c>
      <c r="H28" s="45">
        <v>3.5</v>
      </c>
      <c r="I28" s="45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>
        <v>3.5</v>
      </c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45">
        <v>3.5</v>
      </c>
      <c r="Y28" s="45">
        <v>3.5</v>
      </c>
      <c r="Z28" s="45">
        <v>3.5</v>
      </c>
      <c r="AA28" s="45">
        <v>3.5</v>
      </c>
      <c r="AB28" s="45">
        <v>3.5</v>
      </c>
      <c r="AC28" s="45">
        <v>3.5</v>
      </c>
      <c r="AD28" s="45">
        <v>3.5</v>
      </c>
      <c r="AE28" s="45">
        <v>3.5</v>
      </c>
      <c r="AF28" s="45">
        <v>3.5</v>
      </c>
      <c r="AG28" s="51">
        <v>13.6</v>
      </c>
      <c r="AH28" s="48">
        <f t="shared" si="2"/>
        <v>3.5</v>
      </c>
      <c r="AI28" s="49">
        <f t="shared" si="3"/>
        <v>3.5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9</v>
      </c>
      <c r="C29" s="45">
        <v>9</v>
      </c>
      <c r="D29" s="45">
        <v>9</v>
      </c>
      <c r="E29" s="45">
        <v>9</v>
      </c>
      <c r="F29" s="45">
        <v>9</v>
      </c>
      <c r="G29" s="45">
        <v>9</v>
      </c>
      <c r="H29" s="45">
        <v>9</v>
      </c>
      <c r="I29" s="45">
        <v>9</v>
      </c>
      <c r="J29" s="45">
        <v>9</v>
      </c>
      <c r="K29" s="45">
        <v>9</v>
      </c>
      <c r="L29" s="45">
        <v>9</v>
      </c>
      <c r="M29" s="45">
        <v>9</v>
      </c>
      <c r="N29" s="45">
        <v>9</v>
      </c>
      <c r="O29" s="45">
        <v>9</v>
      </c>
      <c r="P29" s="45">
        <v>9</v>
      </c>
      <c r="Q29" s="45">
        <v>9</v>
      </c>
      <c r="R29" s="45">
        <v>9</v>
      </c>
      <c r="S29" s="45">
        <v>9</v>
      </c>
      <c r="T29" s="45">
        <v>9</v>
      </c>
      <c r="U29" s="45">
        <v>9</v>
      </c>
      <c r="V29" s="45">
        <v>9</v>
      </c>
      <c r="W29" s="45">
        <v>9</v>
      </c>
      <c r="X29" s="45">
        <v>9</v>
      </c>
      <c r="Y29" s="45">
        <v>9</v>
      </c>
      <c r="Z29" s="45">
        <v>9</v>
      </c>
      <c r="AA29" s="45">
        <v>9</v>
      </c>
      <c r="AB29" s="45">
        <v>9</v>
      </c>
      <c r="AC29" s="45">
        <v>9</v>
      </c>
      <c r="AD29" s="45">
        <v>9</v>
      </c>
      <c r="AE29" s="45">
        <v>9</v>
      </c>
      <c r="AF29" s="45">
        <v>9</v>
      </c>
      <c r="AG29" s="51">
        <v>13</v>
      </c>
      <c r="AH29" s="48">
        <f t="shared" si="2"/>
        <v>9</v>
      </c>
      <c r="AI29" s="49">
        <f t="shared" si="3"/>
        <v>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10</v>
      </c>
      <c r="K30" s="45">
        <v>12</v>
      </c>
      <c r="L30" s="45">
        <v>12</v>
      </c>
      <c r="M30" s="45">
        <v>12</v>
      </c>
      <c r="N30" s="45">
        <v>12</v>
      </c>
      <c r="O30" s="45">
        <v>12</v>
      </c>
      <c r="P30" s="45">
        <v>12</v>
      </c>
      <c r="Q30" s="45">
        <v>12</v>
      </c>
      <c r="R30" s="45">
        <v>12</v>
      </c>
      <c r="S30" s="45">
        <v>12</v>
      </c>
      <c r="T30" s="45">
        <v>12</v>
      </c>
      <c r="U30" s="45">
        <v>12</v>
      </c>
      <c r="V30" s="45">
        <v>12</v>
      </c>
      <c r="W30" s="45">
        <v>12</v>
      </c>
      <c r="X30" s="45">
        <v>10</v>
      </c>
      <c r="Y30" s="45">
        <v>10</v>
      </c>
      <c r="Z30" s="45">
        <v>10</v>
      </c>
      <c r="AA30" s="45">
        <v>10</v>
      </c>
      <c r="AB30" s="45">
        <v>10</v>
      </c>
      <c r="AC30" s="45">
        <v>10</v>
      </c>
      <c r="AD30" s="45">
        <v>0</v>
      </c>
      <c r="AE30" s="45">
        <v>0</v>
      </c>
      <c r="AF30" s="45">
        <v>0</v>
      </c>
      <c r="AG30" s="51">
        <v>12</v>
      </c>
      <c r="AH30" s="48">
        <f t="shared" si="2"/>
        <v>12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12</v>
      </c>
      <c r="C31" s="45">
        <v>12</v>
      </c>
      <c r="D31" s="45">
        <v>12</v>
      </c>
      <c r="E31" s="45">
        <v>12</v>
      </c>
      <c r="F31" s="45">
        <v>12</v>
      </c>
      <c r="G31" s="45">
        <v>12</v>
      </c>
      <c r="H31" s="45">
        <v>12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2"/>
        <v>12</v>
      </c>
      <c r="AI31" s="49">
        <f t="shared" si="3"/>
        <v>12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1">
        <v>12</v>
      </c>
      <c r="AH32" s="48">
        <f t="shared" si="2"/>
        <v>0</v>
      </c>
      <c r="AI32" s="49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8</v>
      </c>
      <c r="C33" s="45">
        <v>8</v>
      </c>
      <c r="D33" s="45">
        <v>8</v>
      </c>
      <c r="E33" s="45">
        <v>8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3">
        <v>22</v>
      </c>
      <c r="AH33" s="48">
        <f t="shared" si="2"/>
        <v>8</v>
      </c>
      <c r="AI33" s="49">
        <f t="shared" si="3"/>
        <v>8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8.5</v>
      </c>
      <c r="C34" s="45">
        <v>8.5</v>
      </c>
      <c r="D34" s="45">
        <v>8.5</v>
      </c>
      <c r="E34" s="45">
        <v>8.5</v>
      </c>
      <c r="F34" s="45">
        <v>8.5</v>
      </c>
      <c r="G34" s="45">
        <v>8.5</v>
      </c>
      <c r="H34" s="45">
        <v>8.5</v>
      </c>
      <c r="I34" s="45">
        <v>8.5</v>
      </c>
      <c r="J34" s="45">
        <v>8.5</v>
      </c>
      <c r="K34" s="45">
        <v>8.5</v>
      </c>
      <c r="L34" s="45">
        <v>8.5</v>
      </c>
      <c r="M34" s="45">
        <v>8.5</v>
      </c>
      <c r="N34" s="45">
        <v>8.5</v>
      </c>
      <c r="O34" s="45">
        <v>8.5</v>
      </c>
      <c r="P34" s="45">
        <v>8.5</v>
      </c>
      <c r="Q34" s="45">
        <v>8.5</v>
      </c>
      <c r="R34" s="45">
        <v>8.5</v>
      </c>
      <c r="S34" s="45">
        <v>8.5</v>
      </c>
      <c r="T34" s="45">
        <v>8.5</v>
      </c>
      <c r="U34" s="45">
        <v>8.5</v>
      </c>
      <c r="V34" s="45">
        <v>8.5</v>
      </c>
      <c r="W34" s="45">
        <v>8.5</v>
      </c>
      <c r="X34" s="45">
        <v>8.5</v>
      </c>
      <c r="Y34" s="45">
        <v>8.5</v>
      </c>
      <c r="Z34" s="45">
        <v>8.5</v>
      </c>
      <c r="AA34" s="45">
        <v>8.5</v>
      </c>
      <c r="AB34" s="45">
        <v>8.5</v>
      </c>
      <c r="AC34" s="45">
        <v>8.5</v>
      </c>
      <c r="AD34" s="45">
        <v>8.5</v>
      </c>
      <c r="AE34" s="45">
        <v>8.5</v>
      </c>
      <c r="AF34" s="45">
        <v>8.5</v>
      </c>
      <c r="AG34" s="52">
        <v>11.88</v>
      </c>
      <c r="AH34" s="48">
        <f t="shared" si="2"/>
        <v>8.5</v>
      </c>
      <c r="AI34" s="49">
        <f t="shared" si="3"/>
        <v>8.5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9</v>
      </c>
      <c r="C35" s="45">
        <v>9</v>
      </c>
      <c r="D35" s="45">
        <v>9</v>
      </c>
      <c r="E35" s="45">
        <v>9</v>
      </c>
      <c r="F35" s="45">
        <v>9</v>
      </c>
      <c r="G35" s="45">
        <v>9</v>
      </c>
      <c r="H35" s="45">
        <v>9</v>
      </c>
      <c r="I35" s="45">
        <v>9</v>
      </c>
      <c r="J35" s="45">
        <v>9</v>
      </c>
      <c r="K35" s="45">
        <v>9</v>
      </c>
      <c r="L35" s="45">
        <v>9</v>
      </c>
      <c r="M35" s="45">
        <v>9</v>
      </c>
      <c r="N35" s="45">
        <v>9</v>
      </c>
      <c r="O35" s="45">
        <v>9</v>
      </c>
      <c r="P35" s="45">
        <v>9</v>
      </c>
      <c r="Q35" s="45">
        <v>9</v>
      </c>
      <c r="R35" s="45">
        <v>9</v>
      </c>
      <c r="S35" s="45">
        <v>9</v>
      </c>
      <c r="T35" s="45">
        <v>9</v>
      </c>
      <c r="U35" s="45">
        <v>9</v>
      </c>
      <c r="V35" s="45">
        <v>9</v>
      </c>
      <c r="W35" s="45">
        <v>9</v>
      </c>
      <c r="X35" s="45">
        <v>9</v>
      </c>
      <c r="Y35" s="45">
        <v>9</v>
      </c>
      <c r="Z35" s="45">
        <v>9</v>
      </c>
      <c r="AA35" s="45">
        <v>9</v>
      </c>
      <c r="AB35" s="45">
        <v>9</v>
      </c>
      <c r="AC35" s="45">
        <v>9</v>
      </c>
      <c r="AD35" s="45">
        <v>9</v>
      </c>
      <c r="AE35" s="45">
        <v>9</v>
      </c>
      <c r="AF35" s="45">
        <v>9</v>
      </c>
      <c r="AG35" s="55">
        <v>11</v>
      </c>
      <c r="AH35" s="48">
        <f t="shared" si="2"/>
        <v>9</v>
      </c>
      <c r="AI35" s="49">
        <f t="shared" si="3"/>
        <v>9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5">
        <v>10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0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270</v>
      </c>
      <c r="C38" s="57">
        <v>270</v>
      </c>
      <c r="D38" s="57">
        <v>270</v>
      </c>
      <c r="E38" s="57">
        <v>270</v>
      </c>
      <c r="F38" s="57">
        <v>270</v>
      </c>
      <c r="G38" s="57">
        <v>270</v>
      </c>
      <c r="H38" s="57">
        <v>270</v>
      </c>
      <c r="I38" s="57">
        <v>270</v>
      </c>
      <c r="J38" s="57">
        <v>270</v>
      </c>
      <c r="K38" s="57">
        <v>270</v>
      </c>
      <c r="L38" s="57">
        <v>270</v>
      </c>
      <c r="M38" s="57">
        <v>270</v>
      </c>
      <c r="N38" s="57">
        <v>270</v>
      </c>
      <c r="O38" s="57">
        <v>270</v>
      </c>
      <c r="P38" s="57">
        <v>270</v>
      </c>
      <c r="Q38" s="57">
        <v>270</v>
      </c>
      <c r="R38" s="57">
        <v>270</v>
      </c>
      <c r="S38" s="57">
        <v>270</v>
      </c>
      <c r="T38" s="57">
        <v>270</v>
      </c>
      <c r="U38" s="57">
        <v>270</v>
      </c>
      <c r="V38" s="57">
        <v>270</v>
      </c>
      <c r="W38" s="57">
        <v>270</v>
      </c>
      <c r="X38" s="57">
        <v>270</v>
      </c>
      <c r="Y38" s="57">
        <v>270</v>
      </c>
      <c r="Z38" s="57">
        <v>270</v>
      </c>
      <c r="AA38" s="57">
        <v>270</v>
      </c>
      <c r="AB38" s="57">
        <v>270</v>
      </c>
      <c r="AC38" s="57">
        <v>270</v>
      </c>
      <c r="AD38" s="57">
        <v>270</v>
      </c>
      <c r="AE38" s="57">
        <v>270</v>
      </c>
      <c r="AF38" s="57">
        <v>270</v>
      </c>
      <c r="AG38" s="55">
        <v>85</v>
      </c>
      <c r="AH38" s="48">
        <f t="shared" si="2"/>
        <v>270</v>
      </c>
      <c r="AI38" s="49">
        <f t="shared" si="3"/>
        <v>270</v>
      </c>
      <c r="AK38" s="50"/>
    </row>
    <row r="39" spans="1:88" ht="15.75" thickBot="1" x14ac:dyDescent="0.3">
      <c r="A39" s="58" t="s">
        <v>47</v>
      </c>
      <c r="B39" s="59">
        <f>52+65.1</f>
        <v>117.1</v>
      </c>
      <c r="C39" s="59">
        <f>50.9+64.9</f>
        <v>115.80000000000001</v>
      </c>
      <c r="D39" s="59">
        <v>115</v>
      </c>
      <c r="E39" s="59">
        <v>115</v>
      </c>
      <c r="F39" s="59">
        <v>115</v>
      </c>
      <c r="G39" s="59">
        <v>115</v>
      </c>
      <c r="H39" s="59">
        <v>115</v>
      </c>
      <c r="I39" s="59">
        <v>114.6</v>
      </c>
      <c r="J39" s="59">
        <v>114.6</v>
      </c>
      <c r="K39" s="59">
        <v>115</v>
      </c>
      <c r="L39" s="59">
        <v>112</v>
      </c>
      <c r="M39" s="57">
        <f>64.1+51.1</f>
        <v>115.19999999999999</v>
      </c>
      <c r="N39" s="57">
        <f>66.1+51.2</f>
        <v>117.3</v>
      </c>
      <c r="O39" s="57">
        <f>66.9+52.3</f>
        <v>119.2</v>
      </c>
      <c r="P39" s="57">
        <f>66.4+51.2</f>
        <v>117.60000000000001</v>
      </c>
      <c r="Q39" s="57">
        <f>67.3+51.4</f>
        <v>118.69999999999999</v>
      </c>
      <c r="R39" s="57">
        <f>67.5+50.8</f>
        <v>118.3</v>
      </c>
      <c r="S39" s="57">
        <f>67.5+50.8</f>
        <v>118.3</v>
      </c>
      <c r="T39" s="57">
        <f>67.5+50.8</f>
        <v>118.3</v>
      </c>
      <c r="U39" s="57">
        <v>114.3</v>
      </c>
      <c r="V39" s="57">
        <v>114.3</v>
      </c>
      <c r="W39" s="57">
        <v>114.3</v>
      </c>
      <c r="X39" s="59">
        <v>110.9</v>
      </c>
      <c r="Y39" s="59">
        <v>110.9</v>
      </c>
      <c r="Z39" s="59">
        <v>110.9</v>
      </c>
      <c r="AA39" s="59">
        <v>110.9</v>
      </c>
      <c r="AB39" s="59">
        <f>63.1+50</f>
        <v>113.1</v>
      </c>
      <c r="AC39" s="59">
        <f>63.7+50.7</f>
        <v>114.4</v>
      </c>
      <c r="AD39" s="59">
        <f>61.7+50.8</f>
        <v>112.5</v>
      </c>
      <c r="AE39" s="59">
        <f>66+51</f>
        <v>117</v>
      </c>
      <c r="AF39" s="59">
        <f>66+51</f>
        <v>117</v>
      </c>
      <c r="AG39" s="55">
        <v>240</v>
      </c>
      <c r="AH39" s="48">
        <f t="shared" si="2"/>
        <v>119.2</v>
      </c>
      <c r="AI39" s="49">
        <f t="shared" si="3"/>
        <v>110.9</v>
      </c>
      <c r="AK39" s="50"/>
    </row>
    <row r="40" spans="1:88" ht="15.75" thickBot="1" x14ac:dyDescent="0.3">
      <c r="A40" s="60" t="s">
        <v>48</v>
      </c>
      <c r="B40" s="61">
        <f t="shared" ref="B40" si="4">SUM(B11:B38)</f>
        <v>638.1</v>
      </c>
      <c r="C40" s="61">
        <f t="shared" ref="C40:AG40" si="5">SUM(C11:C38)</f>
        <v>636.79999999999995</v>
      </c>
      <c r="D40" s="61">
        <f t="shared" si="5"/>
        <v>636.79999999999995</v>
      </c>
      <c r="E40" s="61">
        <f t="shared" si="5"/>
        <v>636.79999999999995</v>
      </c>
      <c r="F40" s="61">
        <f t="shared" si="5"/>
        <v>636.79999999999995</v>
      </c>
      <c r="G40" s="61">
        <f t="shared" si="5"/>
        <v>636.79999999999995</v>
      </c>
      <c r="H40" s="61">
        <f t="shared" si="5"/>
        <v>634.4</v>
      </c>
      <c r="I40" s="61">
        <f t="shared" si="5"/>
        <v>644.5</v>
      </c>
      <c r="J40" s="61">
        <f t="shared" si="5"/>
        <v>699.5</v>
      </c>
      <c r="K40" s="61">
        <f t="shared" si="5"/>
        <v>714</v>
      </c>
      <c r="L40" s="61">
        <f t="shared" si="5"/>
        <v>715.4</v>
      </c>
      <c r="M40" s="61">
        <f t="shared" si="5"/>
        <v>705.6</v>
      </c>
      <c r="N40" s="61">
        <f t="shared" si="5"/>
        <v>699.3</v>
      </c>
      <c r="O40" s="61">
        <f t="shared" si="5"/>
        <v>695.8</v>
      </c>
      <c r="P40" s="61">
        <f t="shared" si="5"/>
        <v>695.8</v>
      </c>
      <c r="Q40" s="61">
        <f t="shared" si="5"/>
        <v>695.8</v>
      </c>
      <c r="R40" s="61">
        <f t="shared" si="5"/>
        <v>695.8</v>
      </c>
      <c r="S40" s="61">
        <f t="shared" si="5"/>
        <v>693.5</v>
      </c>
      <c r="T40" s="61">
        <f t="shared" si="5"/>
        <v>694.6</v>
      </c>
      <c r="U40" s="61">
        <f t="shared" si="5"/>
        <v>694.6</v>
      </c>
      <c r="V40" s="61">
        <f t="shared" si="5"/>
        <v>694.6</v>
      </c>
      <c r="W40" s="61">
        <f t="shared" si="5"/>
        <v>694.6</v>
      </c>
      <c r="X40" s="61">
        <f t="shared" si="5"/>
        <v>701.5</v>
      </c>
      <c r="Y40" s="61">
        <f t="shared" si="5"/>
        <v>705.5</v>
      </c>
      <c r="Z40" s="61">
        <f t="shared" si="5"/>
        <v>705.5</v>
      </c>
      <c r="AA40" s="61">
        <f t="shared" si="5"/>
        <v>709.5</v>
      </c>
      <c r="AB40" s="61">
        <f t="shared" si="5"/>
        <v>709.5</v>
      </c>
      <c r="AC40" s="61">
        <f t="shared" si="5"/>
        <v>697.5</v>
      </c>
      <c r="AD40" s="61">
        <f t="shared" si="5"/>
        <v>665.5</v>
      </c>
      <c r="AE40" s="61">
        <f t="shared" si="5"/>
        <v>632.5</v>
      </c>
      <c r="AF40" s="61">
        <f t="shared" si="5"/>
        <v>632.5</v>
      </c>
      <c r="AG40" s="62">
        <f t="shared" si="5"/>
        <v>707.78000000000009</v>
      </c>
      <c r="AH40" s="48">
        <f t="shared" si="2"/>
        <v>715.4</v>
      </c>
      <c r="AI40" s="49">
        <f t="shared" si="3"/>
        <v>632.5</v>
      </c>
      <c r="AK40" s="50"/>
    </row>
    <row r="41" spans="1:88" x14ac:dyDescent="0.25">
      <c r="A41" s="63" t="s">
        <v>49</v>
      </c>
      <c r="B41" s="45">
        <v>190</v>
      </c>
      <c r="C41" s="45">
        <v>130</v>
      </c>
      <c r="D41" s="45">
        <v>130</v>
      </c>
      <c r="E41" s="45">
        <v>130</v>
      </c>
      <c r="F41" s="45">
        <v>130</v>
      </c>
      <c r="G41" s="45">
        <v>100</v>
      </c>
      <c r="H41" s="45">
        <v>110</v>
      </c>
      <c r="I41" s="45">
        <v>165</v>
      </c>
      <c r="J41" s="45">
        <v>205</v>
      </c>
      <c r="K41" s="45">
        <v>304</v>
      </c>
      <c r="L41" s="45">
        <v>365</v>
      </c>
      <c r="M41" s="45">
        <f>76*5</f>
        <v>380</v>
      </c>
      <c r="N41" s="45">
        <v>275</v>
      </c>
      <c r="O41" s="45">
        <v>235</v>
      </c>
      <c r="P41" s="45">
        <v>245</v>
      </c>
      <c r="Q41" s="45">
        <v>215</v>
      </c>
      <c r="R41" s="45">
        <v>240</v>
      </c>
      <c r="S41" s="45">
        <v>140</v>
      </c>
      <c r="T41" s="45">
        <v>190</v>
      </c>
      <c r="U41" s="45">
        <v>220</v>
      </c>
      <c r="V41" s="45">
        <v>220</v>
      </c>
      <c r="W41" s="45">
        <v>340</v>
      </c>
      <c r="X41" s="45">
        <v>456</v>
      </c>
      <c r="Y41" s="45">
        <v>426</v>
      </c>
      <c r="Z41" s="45">
        <v>365</v>
      </c>
      <c r="AA41" s="45">
        <v>335</v>
      </c>
      <c r="AB41" s="45">
        <v>255</v>
      </c>
      <c r="AC41" s="45">
        <v>225</v>
      </c>
      <c r="AD41" s="45">
        <v>180</v>
      </c>
      <c r="AE41" s="45">
        <v>145</v>
      </c>
      <c r="AF41" s="45">
        <v>180</v>
      </c>
      <c r="AG41" s="52">
        <v>456</v>
      </c>
      <c r="AH41" s="48">
        <f t="shared" si="2"/>
        <v>456</v>
      </c>
      <c r="AI41" s="49">
        <f t="shared" si="3"/>
        <v>100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22.5</v>
      </c>
      <c r="C43" s="67">
        <v>22.4</v>
      </c>
      <c r="D43" s="67">
        <v>22.4</v>
      </c>
      <c r="E43" s="67">
        <v>22.4</v>
      </c>
      <c r="F43" s="67">
        <v>22.4</v>
      </c>
      <c r="G43" s="67">
        <v>22.4</v>
      </c>
      <c r="H43" s="67">
        <v>22.4</v>
      </c>
      <c r="I43" s="67">
        <v>22</v>
      </c>
      <c r="J43" s="67">
        <v>22</v>
      </c>
      <c r="K43" s="67">
        <v>22</v>
      </c>
      <c r="L43" s="67">
        <v>22</v>
      </c>
      <c r="M43" s="67">
        <v>22</v>
      </c>
      <c r="N43" s="67">
        <v>22</v>
      </c>
      <c r="O43" s="67">
        <v>22</v>
      </c>
      <c r="P43" s="67">
        <v>22</v>
      </c>
      <c r="Q43" s="67">
        <v>22</v>
      </c>
      <c r="R43" s="67">
        <v>22</v>
      </c>
      <c r="S43" s="67">
        <v>22</v>
      </c>
      <c r="T43" s="67">
        <v>22</v>
      </c>
      <c r="U43" s="67">
        <v>22</v>
      </c>
      <c r="V43" s="67">
        <v>22</v>
      </c>
      <c r="W43" s="67">
        <v>22</v>
      </c>
      <c r="X43" s="67">
        <v>22</v>
      </c>
      <c r="Y43" s="67">
        <v>22</v>
      </c>
      <c r="Z43" s="67">
        <v>22</v>
      </c>
      <c r="AA43" s="67">
        <v>22</v>
      </c>
      <c r="AB43" s="67">
        <v>22</v>
      </c>
      <c r="AC43" s="67">
        <v>22</v>
      </c>
      <c r="AD43" s="67">
        <v>22</v>
      </c>
      <c r="AE43" s="67">
        <v>22</v>
      </c>
      <c r="AF43" s="67">
        <v>22</v>
      </c>
      <c r="AG43" s="68">
        <v>22.1</v>
      </c>
      <c r="AH43" s="48">
        <f t="shared" si="2"/>
        <v>22.5</v>
      </c>
      <c r="AI43" s="49">
        <f t="shared" si="3"/>
        <v>22</v>
      </c>
      <c r="AK43" s="50"/>
    </row>
    <row r="44" spans="1:88" ht="15.75" thickBot="1" x14ac:dyDescent="0.3">
      <c r="A44" s="69" t="s">
        <v>52</v>
      </c>
      <c r="B44" s="61">
        <f t="shared" ref="B44" si="6">SUM(B41:B43)</f>
        <v>272.5</v>
      </c>
      <c r="C44" s="61">
        <f t="shared" ref="C44:AG44" si="7">SUM(C41:C43)</f>
        <v>212.4</v>
      </c>
      <c r="D44" s="61">
        <f t="shared" si="7"/>
        <v>212.4</v>
      </c>
      <c r="E44" s="61">
        <f t="shared" si="7"/>
        <v>212.4</v>
      </c>
      <c r="F44" s="61">
        <f t="shared" si="7"/>
        <v>212.4</v>
      </c>
      <c r="G44" s="61">
        <f t="shared" si="7"/>
        <v>182.4</v>
      </c>
      <c r="H44" s="61">
        <f t="shared" si="7"/>
        <v>192.4</v>
      </c>
      <c r="I44" s="61">
        <f t="shared" si="7"/>
        <v>247</v>
      </c>
      <c r="J44" s="61">
        <f t="shared" si="7"/>
        <v>287</v>
      </c>
      <c r="K44" s="61">
        <f t="shared" si="7"/>
        <v>386</v>
      </c>
      <c r="L44" s="61">
        <f t="shared" si="7"/>
        <v>447</v>
      </c>
      <c r="M44" s="61">
        <f t="shared" si="7"/>
        <v>462</v>
      </c>
      <c r="N44" s="61">
        <f t="shared" si="7"/>
        <v>357</v>
      </c>
      <c r="O44" s="61">
        <f t="shared" si="7"/>
        <v>317</v>
      </c>
      <c r="P44" s="61">
        <f t="shared" si="7"/>
        <v>327</v>
      </c>
      <c r="Q44" s="61">
        <f t="shared" si="7"/>
        <v>297</v>
      </c>
      <c r="R44" s="61">
        <f t="shared" si="7"/>
        <v>322</v>
      </c>
      <c r="S44" s="61">
        <f t="shared" si="7"/>
        <v>222</v>
      </c>
      <c r="T44" s="61">
        <f t="shared" si="7"/>
        <v>272</v>
      </c>
      <c r="U44" s="61">
        <f t="shared" si="7"/>
        <v>302</v>
      </c>
      <c r="V44" s="61">
        <f t="shared" si="7"/>
        <v>302</v>
      </c>
      <c r="W44" s="61">
        <f t="shared" si="7"/>
        <v>422</v>
      </c>
      <c r="X44" s="61">
        <f t="shared" si="7"/>
        <v>538</v>
      </c>
      <c r="Y44" s="61">
        <f t="shared" si="7"/>
        <v>508</v>
      </c>
      <c r="Z44" s="61">
        <f t="shared" si="7"/>
        <v>447</v>
      </c>
      <c r="AA44" s="61">
        <f t="shared" si="7"/>
        <v>417</v>
      </c>
      <c r="AB44" s="61">
        <f t="shared" si="7"/>
        <v>337</v>
      </c>
      <c r="AC44" s="61">
        <f t="shared" si="7"/>
        <v>307</v>
      </c>
      <c r="AD44" s="61">
        <f t="shared" si="7"/>
        <v>262</v>
      </c>
      <c r="AE44" s="61">
        <f t="shared" si="7"/>
        <v>227</v>
      </c>
      <c r="AF44" s="61">
        <f t="shared" si="7"/>
        <v>262</v>
      </c>
      <c r="AG44" s="62">
        <f t="shared" si="7"/>
        <v>538.1</v>
      </c>
      <c r="AH44" s="48">
        <f t="shared" si="2"/>
        <v>538</v>
      </c>
      <c r="AI44" s="49">
        <f t="shared" si="3"/>
        <v>182.4</v>
      </c>
      <c r="AK44" s="50"/>
    </row>
    <row r="45" spans="1:88" x14ac:dyDescent="0.25">
      <c r="A45" s="44" t="s">
        <v>53</v>
      </c>
      <c r="B45" s="45">
        <v>100</v>
      </c>
      <c r="C45" s="45">
        <v>91.5</v>
      </c>
      <c r="D45" s="45">
        <v>101.2</v>
      </c>
      <c r="E45" s="45">
        <v>97.2</v>
      </c>
      <c r="F45" s="45">
        <v>97.2</v>
      </c>
      <c r="G45" s="45">
        <v>116.8</v>
      </c>
      <c r="H45" s="45">
        <v>127.7</v>
      </c>
      <c r="I45" s="45">
        <v>143.5</v>
      </c>
      <c r="J45" s="45">
        <v>143.5</v>
      </c>
      <c r="K45" s="45">
        <v>143.4</v>
      </c>
      <c r="L45" s="45">
        <v>143.4</v>
      </c>
      <c r="M45" s="45">
        <v>143.4</v>
      </c>
      <c r="N45" s="45">
        <v>143.4</v>
      </c>
      <c r="O45" s="45">
        <v>143.4</v>
      </c>
      <c r="P45" s="45">
        <v>143.4</v>
      </c>
      <c r="Q45" s="45">
        <v>143.4</v>
      </c>
      <c r="R45" s="45">
        <v>143.4</v>
      </c>
      <c r="S45" s="45">
        <v>143.4</v>
      </c>
      <c r="T45" s="45">
        <v>143.4</v>
      </c>
      <c r="U45" s="45">
        <v>143.4</v>
      </c>
      <c r="V45" s="45">
        <v>143.4</v>
      </c>
      <c r="W45" s="45">
        <v>143.4</v>
      </c>
      <c r="X45" s="45">
        <v>143.4</v>
      </c>
      <c r="Y45" s="45">
        <v>143.4</v>
      </c>
      <c r="Z45" s="45">
        <v>143.4</v>
      </c>
      <c r="AA45" s="45">
        <v>143.4</v>
      </c>
      <c r="AB45" s="45">
        <v>143.4</v>
      </c>
      <c r="AC45" s="45">
        <v>143.4</v>
      </c>
      <c r="AD45" s="45">
        <v>143.4</v>
      </c>
      <c r="AE45" s="45">
        <v>143.4</v>
      </c>
      <c r="AF45" s="45">
        <v>131.4</v>
      </c>
      <c r="AG45" s="52">
        <v>144</v>
      </c>
      <c r="AH45" s="48">
        <f t="shared" si="2"/>
        <v>143.5</v>
      </c>
      <c r="AI45" s="49">
        <f t="shared" si="3"/>
        <v>91.5</v>
      </c>
      <c r="AK45" s="50"/>
    </row>
    <row r="46" spans="1:88" x14ac:dyDescent="0.25">
      <c r="A46" s="54" t="s">
        <v>54</v>
      </c>
      <c r="B46" s="65">
        <v>50.7</v>
      </c>
      <c r="C46" s="65">
        <v>51</v>
      </c>
      <c r="D46" s="65">
        <v>50.6</v>
      </c>
      <c r="E46" s="65">
        <v>51</v>
      </c>
      <c r="F46" s="65">
        <v>51</v>
      </c>
      <c r="G46" s="65">
        <v>50.8</v>
      </c>
      <c r="H46" s="65">
        <v>61.5</v>
      </c>
      <c r="I46" s="65">
        <v>72.2</v>
      </c>
      <c r="J46" s="65">
        <v>72.2</v>
      </c>
      <c r="K46" s="65">
        <v>73.099999999999994</v>
      </c>
      <c r="L46" s="65">
        <v>73.099999999999994</v>
      </c>
      <c r="M46" s="65">
        <v>72.5</v>
      </c>
      <c r="N46" s="65">
        <v>72.5</v>
      </c>
      <c r="O46" s="65">
        <v>72.5</v>
      </c>
      <c r="P46" s="65">
        <v>72.5</v>
      </c>
      <c r="Q46" s="65">
        <v>72.5</v>
      </c>
      <c r="R46" s="65">
        <v>72.5</v>
      </c>
      <c r="S46" s="65">
        <v>72.5</v>
      </c>
      <c r="T46" s="65">
        <v>72.5</v>
      </c>
      <c r="U46" s="65">
        <v>72.5</v>
      </c>
      <c r="V46" s="65">
        <v>72.5</v>
      </c>
      <c r="W46" s="65">
        <v>72.5</v>
      </c>
      <c r="X46" s="65">
        <v>71</v>
      </c>
      <c r="Y46" s="65">
        <v>71</v>
      </c>
      <c r="Z46" s="65">
        <v>71</v>
      </c>
      <c r="AA46" s="65">
        <v>71</v>
      </c>
      <c r="AB46" s="65">
        <v>71</v>
      </c>
      <c r="AC46" s="65">
        <v>71</v>
      </c>
      <c r="AD46" s="65">
        <v>71</v>
      </c>
      <c r="AE46" s="65">
        <v>71</v>
      </c>
      <c r="AF46" s="65">
        <v>71</v>
      </c>
      <c r="AG46" s="55">
        <v>70</v>
      </c>
      <c r="AH46" s="48">
        <f t="shared" si="2"/>
        <v>73.099999999999994</v>
      </c>
      <c r="AI46" s="49">
        <f t="shared" si="3"/>
        <v>50.6</v>
      </c>
      <c r="AK46" s="50"/>
    </row>
    <row r="47" spans="1:88" x14ac:dyDescent="0.25">
      <c r="A47" s="54" t="s">
        <v>55</v>
      </c>
      <c r="B47" s="65">
        <v>70.400000000000006</v>
      </c>
      <c r="C47" s="65">
        <v>70.400000000000006</v>
      </c>
      <c r="D47" s="65">
        <v>70.7</v>
      </c>
      <c r="E47" s="65">
        <v>50</v>
      </c>
      <c r="F47" s="65">
        <v>55</v>
      </c>
      <c r="G47" s="65">
        <v>71.2</v>
      </c>
      <c r="H47" s="65">
        <v>71.2</v>
      </c>
      <c r="I47" s="65">
        <v>71</v>
      </c>
      <c r="J47" s="65">
        <v>71</v>
      </c>
      <c r="K47" s="65">
        <v>70.3</v>
      </c>
      <c r="L47" s="65">
        <v>70.3</v>
      </c>
      <c r="M47" s="65">
        <v>70.400000000000006</v>
      </c>
      <c r="N47" s="65">
        <v>70.400000000000006</v>
      </c>
      <c r="O47" s="65">
        <v>70.400000000000006</v>
      </c>
      <c r="P47" s="65">
        <v>70.400000000000006</v>
      </c>
      <c r="Q47" s="65">
        <v>70.400000000000006</v>
      </c>
      <c r="R47" s="65">
        <v>70.400000000000006</v>
      </c>
      <c r="S47" s="65">
        <v>70.400000000000006</v>
      </c>
      <c r="T47" s="65">
        <v>70.400000000000006</v>
      </c>
      <c r="U47" s="65">
        <v>70.400000000000006</v>
      </c>
      <c r="V47" s="65">
        <v>70.400000000000006</v>
      </c>
      <c r="W47" s="65">
        <v>70.400000000000006</v>
      </c>
      <c r="X47" s="65">
        <v>70.400000000000006</v>
      </c>
      <c r="Y47" s="65">
        <v>70.400000000000006</v>
      </c>
      <c r="Z47" s="65">
        <v>70.400000000000006</v>
      </c>
      <c r="AA47" s="65">
        <v>70.400000000000006</v>
      </c>
      <c r="AB47" s="65">
        <v>70.400000000000006</v>
      </c>
      <c r="AC47" s="65">
        <v>70.400000000000006</v>
      </c>
      <c r="AD47" s="65">
        <v>70.400000000000006</v>
      </c>
      <c r="AE47" s="65">
        <v>70.400000000000006</v>
      </c>
      <c r="AF47" s="65">
        <v>70.400000000000006</v>
      </c>
      <c r="AG47" s="55">
        <v>69</v>
      </c>
      <c r="AH47" s="48">
        <f t="shared" si="2"/>
        <v>71.2</v>
      </c>
      <c r="AI47" s="49">
        <f t="shared" si="3"/>
        <v>50</v>
      </c>
      <c r="AK47" s="50"/>
    </row>
    <row r="48" spans="1:88" x14ac:dyDescent="0.25">
      <c r="A48" s="54" t="s">
        <v>56</v>
      </c>
      <c r="B48" s="57">
        <v>39.299999999999997</v>
      </c>
      <c r="C48" s="57">
        <v>39.299999999999997</v>
      </c>
      <c r="D48" s="57">
        <v>39</v>
      </c>
      <c r="E48" s="57">
        <v>39</v>
      </c>
      <c r="F48" s="57">
        <v>39</v>
      </c>
      <c r="G48" s="57">
        <v>39.299999999999997</v>
      </c>
      <c r="H48" s="57">
        <v>51</v>
      </c>
      <c r="I48" s="57">
        <v>60.9</v>
      </c>
      <c r="J48" s="57">
        <v>60.9</v>
      </c>
      <c r="K48" s="57">
        <v>60.9</v>
      </c>
      <c r="L48" s="57">
        <v>60.9</v>
      </c>
      <c r="M48" s="57">
        <v>60.9</v>
      </c>
      <c r="N48" s="57">
        <v>60.9</v>
      </c>
      <c r="O48" s="57">
        <v>60.9</v>
      </c>
      <c r="P48" s="57">
        <v>60.9</v>
      </c>
      <c r="Q48" s="57">
        <v>60.9</v>
      </c>
      <c r="R48" s="57">
        <v>60.9</v>
      </c>
      <c r="S48" s="57">
        <v>60.9</v>
      </c>
      <c r="T48" s="57">
        <v>60.9</v>
      </c>
      <c r="U48" s="57">
        <v>60.9</v>
      </c>
      <c r="V48" s="57">
        <v>60.9</v>
      </c>
      <c r="W48" s="57">
        <v>60.9</v>
      </c>
      <c r="X48" s="57">
        <v>60.9</v>
      </c>
      <c r="Y48" s="57">
        <v>60.9</v>
      </c>
      <c r="Z48" s="57">
        <v>60.9</v>
      </c>
      <c r="AA48" s="57">
        <v>60.9</v>
      </c>
      <c r="AB48" s="57">
        <v>60.9</v>
      </c>
      <c r="AC48" s="57">
        <v>60.9</v>
      </c>
      <c r="AD48" s="57">
        <v>60.9</v>
      </c>
      <c r="AE48" s="57">
        <v>60.9</v>
      </c>
      <c r="AF48" s="57">
        <v>51.9</v>
      </c>
      <c r="AG48" s="55">
        <v>60</v>
      </c>
      <c r="AH48" s="48">
        <f t="shared" si="2"/>
        <v>60.9</v>
      </c>
      <c r="AI48" s="49">
        <f t="shared" si="3"/>
        <v>39</v>
      </c>
      <c r="AK48" s="50"/>
    </row>
    <row r="49" spans="1:41" x14ac:dyDescent="0.25">
      <c r="A49" s="54" t="s">
        <v>57</v>
      </c>
      <c r="B49" s="57">
        <v>0</v>
      </c>
      <c r="C49" s="57">
        <v>0</v>
      </c>
      <c r="D49" s="57">
        <v>0</v>
      </c>
      <c r="E49" s="57">
        <v>15</v>
      </c>
      <c r="F49" s="57">
        <v>15</v>
      </c>
      <c r="G49" s="57">
        <v>15</v>
      </c>
      <c r="H49" s="57">
        <v>15</v>
      </c>
      <c r="I49" s="57">
        <v>29</v>
      </c>
      <c r="J49" s="57">
        <v>29</v>
      </c>
      <c r="K49" s="57">
        <v>30</v>
      </c>
      <c r="L49" s="57">
        <v>30</v>
      </c>
      <c r="M49" s="57">
        <v>30</v>
      </c>
      <c r="N49" s="57">
        <v>15</v>
      </c>
      <c r="O49" s="57">
        <v>15</v>
      </c>
      <c r="P49" s="57">
        <v>15</v>
      </c>
      <c r="Q49" s="57">
        <v>13</v>
      </c>
      <c r="R49" s="57">
        <v>15</v>
      </c>
      <c r="S49" s="57">
        <v>15</v>
      </c>
      <c r="T49" s="57">
        <v>15</v>
      </c>
      <c r="U49" s="57">
        <v>15</v>
      </c>
      <c r="V49" s="57">
        <v>14</v>
      </c>
      <c r="W49" s="57">
        <v>15</v>
      </c>
      <c r="X49" s="57">
        <v>30</v>
      </c>
      <c r="Y49" s="57">
        <v>30</v>
      </c>
      <c r="Z49" s="57">
        <v>30</v>
      </c>
      <c r="AA49" s="57">
        <v>30</v>
      </c>
      <c r="AB49" s="57">
        <v>30</v>
      </c>
      <c r="AC49" s="57">
        <v>14.4</v>
      </c>
      <c r="AD49" s="57">
        <v>14.4</v>
      </c>
      <c r="AE49" s="57">
        <v>0</v>
      </c>
      <c r="AF49" s="57">
        <v>0</v>
      </c>
      <c r="AG49" s="55">
        <v>30</v>
      </c>
      <c r="AH49" s="48">
        <f t="shared" si="2"/>
        <v>30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  <c r="AG50" s="55">
        <v>25</v>
      </c>
      <c r="AH50" s="48">
        <f t="shared" si="2"/>
        <v>0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0</v>
      </c>
      <c r="C51" s="65">
        <v>0</v>
      </c>
      <c r="D51" s="65">
        <v>0</v>
      </c>
      <c r="E51" s="65">
        <v>0</v>
      </c>
      <c r="F51" s="65">
        <v>0</v>
      </c>
      <c r="G51" s="65">
        <v>17</v>
      </c>
      <c r="H51" s="65">
        <v>17</v>
      </c>
      <c r="I51" s="65">
        <v>17</v>
      </c>
      <c r="J51" s="65">
        <v>17</v>
      </c>
      <c r="K51" s="65">
        <v>17</v>
      </c>
      <c r="L51" s="65">
        <v>17</v>
      </c>
      <c r="M51" s="65">
        <v>17</v>
      </c>
      <c r="N51" s="65">
        <v>17</v>
      </c>
      <c r="O51" s="65">
        <v>17</v>
      </c>
      <c r="P51" s="65">
        <v>17</v>
      </c>
      <c r="Q51" s="65">
        <v>17</v>
      </c>
      <c r="R51" s="65">
        <v>17</v>
      </c>
      <c r="S51" s="65">
        <v>17</v>
      </c>
      <c r="T51" s="65">
        <v>17</v>
      </c>
      <c r="U51" s="65">
        <v>17</v>
      </c>
      <c r="V51" s="65">
        <v>17</v>
      </c>
      <c r="W51" s="65">
        <v>17</v>
      </c>
      <c r="X51" s="65">
        <v>17</v>
      </c>
      <c r="Y51" s="65">
        <v>17</v>
      </c>
      <c r="Z51" s="65">
        <v>17</v>
      </c>
      <c r="AA51" s="65">
        <v>17</v>
      </c>
      <c r="AB51" s="65">
        <v>17</v>
      </c>
      <c r="AC51" s="65">
        <v>17</v>
      </c>
      <c r="AD51" s="65">
        <v>17</v>
      </c>
      <c r="AE51" s="65">
        <v>17</v>
      </c>
      <c r="AF51" s="65">
        <v>17</v>
      </c>
      <c r="AG51" s="55">
        <v>24</v>
      </c>
      <c r="AH51" s="48">
        <f t="shared" si="2"/>
        <v>17</v>
      </c>
      <c r="AI51" s="49">
        <f t="shared" si="3"/>
        <v>0</v>
      </c>
      <c r="AK51" s="50"/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0</v>
      </c>
      <c r="C53" s="65">
        <v>0</v>
      </c>
      <c r="D53" s="65">
        <v>0</v>
      </c>
      <c r="E53" s="65">
        <v>0</v>
      </c>
      <c r="F53" s="65">
        <v>0</v>
      </c>
      <c r="G53" s="65">
        <v>4</v>
      </c>
      <c r="H53" s="65">
        <v>14</v>
      </c>
      <c r="I53" s="65">
        <v>12.3</v>
      </c>
      <c r="J53" s="65">
        <v>12.3</v>
      </c>
      <c r="K53" s="65">
        <v>12.3</v>
      </c>
      <c r="L53" s="65">
        <v>12.3</v>
      </c>
      <c r="M53" s="65">
        <v>12.3</v>
      </c>
      <c r="N53" s="65">
        <v>12.3</v>
      </c>
      <c r="O53" s="65">
        <v>12.3</v>
      </c>
      <c r="P53" s="65">
        <v>12.3</v>
      </c>
      <c r="Q53" s="65">
        <v>12.3</v>
      </c>
      <c r="R53" s="65">
        <v>12.3</v>
      </c>
      <c r="S53" s="65">
        <v>12.3</v>
      </c>
      <c r="T53" s="65">
        <v>12.3</v>
      </c>
      <c r="U53" s="65">
        <v>12.3</v>
      </c>
      <c r="V53" s="65">
        <v>12.3</v>
      </c>
      <c r="W53" s="65">
        <v>12.3</v>
      </c>
      <c r="X53" s="65">
        <v>12.3</v>
      </c>
      <c r="Y53" s="65">
        <v>12.3</v>
      </c>
      <c r="Z53" s="65">
        <v>12.3</v>
      </c>
      <c r="AA53" s="65">
        <v>12.3</v>
      </c>
      <c r="AB53" s="65">
        <v>12.3</v>
      </c>
      <c r="AC53" s="65">
        <v>13</v>
      </c>
      <c r="AD53" s="65">
        <v>13</v>
      </c>
      <c r="AE53" s="65">
        <v>13</v>
      </c>
      <c r="AF53" s="65">
        <v>13</v>
      </c>
      <c r="AG53" s="55">
        <v>14.1</v>
      </c>
      <c r="AH53" s="48">
        <f t="shared" si="2"/>
        <v>14</v>
      </c>
      <c r="AI53" s="49">
        <f t="shared" si="3"/>
        <v>0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11.9</v>
      </c>
      <c r="C54" s="65">
        <v>9.6999999999999993</v>
      </c>
      <c r="D54" s="65">
        <v>9.6999999999999993</v>
      </c>
      <c r="E54" s="65">
        <v>9.6999999999999993</v>
      </c>
      <c r="F54" s="65">
        <v>9.6999999999999993</v>
      </c>
      <c r="G54" s="65">
        <v>9.6999999999999993</v>
      </c>
      <c r="H54" s="65">
        <v>12</v>
      </c>
      <c r="I54" s="65">
        <v>12</v>
      </c>
      <c r="J54" s="65">
        <v>12</v>
      </c>
      <c r="K54" s="65">
        <v>12</v>
      </c>
      <c r="L54" s="65">
        <v>12</v>
      </c>
      <c r="M54" s="65">
        <v>12</v>
      </c>
      <c r="N54" s="65">
        <v>9.9</v>
      </c>
      <c r="O54" s="65">
        <v>11.6</v>
      </c>
      <c r="P54" s="65">
        <v>11.6</v>
      </c>
      <c r="Q54" s="65">
        <v>11.6</v>
      </c>
      <c r="R54" s="65">
        <v>11.6</v>
      </c>
      <c r="S54" s="65">
        <v>11.6</v>
      </c>
      <c r="T54" s="65">
        <v>11.6</v>
      </c>
      <c r="U54" s="65">
        <v>11.6</v>
      </c>
      <c r="V54" s="65">
        <v>11.6</v>
      </c>
      <c r="W54" s="65">
        <v>11.6</v>
      </c>
      <c r="X54" s="65">
        <v>11.6</v>
      </c>
      <c r="Y54" s="65">
        <v>11.6</v>
      </c>
      <c r="Z54" s="65">
        <v>11.6</v>
      </c>
      <c r="AA54" s="65">
        <v>11.6</v>
      </c>
      <c r="AB54" s="65">
        <v>11.6</v>
      </c>
      <c r="AC54" s="65">
        <v>11.6</v>
      </c>
      <c r="AD54" s="65">
        <v>11.6</v>
      </c>
      <c r="AE54" s="65">
        <v>11.6</v>
      </c>
      <c r="AF54" s="65">
        <v>11.6</v>
      </c>
      <c r="AG54" s="55">
        <v>14</v>
      </c>
      <c r="AH54" s="48">
        <f t="shared" si="2"/>
        <v>12</v>
      </c>
      <c r="AI54" s="49">
        <f t="shared" si="3"/>
        <v>9.6999999999999993</v>
      </c>
      <c r="AK54" s="50"/>
    </row>
    <row r="55" spans="1:41" x14ac:dyDescent="0.25">
      <c r="A55" s="54" t="s">
        <v>63</v>
      </c>
      <c r="B55" s="65">
        <v>9.5</v>
      </c>
      <c r="C55" s="65">
        <v>9.5</v>
      </c>
      <c r="D55" s="65">
        <v>9.5</v>
      </c>
      <c r="E55" s="65">
        <v>9.5</v>
      </c>
      <c r="F55" s="65">
        <v>9.5</v>
      </c>
      <c r="G55" s="65">
        <v>9.5</v>
      </c>
      <c r="H55" s="65">
        <v>9.5</v>
      </c>
      <c r="I55" s="65">
        <v>9.5</v>
      </c>
      <c r="J55" s="65">
        <v>9.5</v>
      </c>
      <c r="K55" s="65">
        <v>9.5</v>
      </c>
      <c r="L55" s="65">
        <v>9.5</v>
      </c>
      <c r="M55" s="65">
        <v>9.5</v>
      </c>
      <c r="N55" s="65">
        <v>9.5</v>
      </c>
      <c r="O55" s="65">
        <v>9.5</v>
      </c>
      <c r="P55" s="65">
        <v>9.5</v>
      </c>
      <c r="Q55" s="65">
        <v>9.5</v>
      </c>
      <c r="R55" s="65">
        <v>9.5</v>
      </c>
      <c r="S55" s="65">
        <v>9.5</v>
      </c>
      <c r="T55" s="65">
        <v>9.5</v>
      </c>
      <c r="U55" s="65">
        <v>9.5</v>
      </c>
      <c r="V55" s="65">
        <v>9.5</v>
      </c>
      <c r="W55" s="65">
        <v>9.5</v>
      </c>
      <c r="X55" s="65">
        <v>9.5</v>
      </c>
      <c r="Y55" s="65">
        <v>9.5</v>
      </c>
      <c r="Z55" s="65">
        <v>9.5</v>
      </c>
      <c r="AA55" s="65">
        <v>9.5</v>
      </c>
      <c r="AB55" s="65">
        <v>9.5</v>
      </c>
      <c r="AC55" s="65">
        <v>9.5</v>
      </c>
      <c r="AD55" s="65">
        <v>9.5</v>
      </c>
      <c r="AE55" s="65">
        <v>9.5</v>
      </c>
      <c r="AF55" s="65">
        <v>9.5</v>
      </c>
      <c r="AG55" s="55">
        <v>10.050000000000001</v>
      </c>
      <c r="AH55" s="48">
        <f t="shared" si="2"/>
        <v>9.5</v>
      </c>
      <c r="AI55" s="49">
        <f t="shared" si="3"/>
        <v>9.5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" si="8">SUM(B45:B57)</f>
        <v>291.53999999999996</v>
      </c>
      <c r="C58" s="61">
        <f t="shared" ref="C58:AG58" si="9">SUM(C45:C57)</f>
        <v>281.14</v>
      </c>
      <c r="D58" s="61">
        <f t="shared" si="9"/>
        <v>290.44</v>
      </c>
      <c r="E58" s="61">
        <f t="shared" si="9"/>
        <v>281.14</v>
      </c>
      <c r="F58" s="61">
        <f t="shared" si="9"/>
        <v>286.14</v>
      </c>
      <c r="G58" s="61">
        <f t="shared" si="9"/>
        <v>343.04</v>
      </c>
      <c r="H58" s="61">
        <f t="shared" si="9"/>
        <v>388.64</v>
      </c>
      <c r="I58" s="61">
        <f t="shared" si="9"/>
        <v>437.14</v>
      </c>
      <c r="J58" s="61">
        <f t="shared" si="9"/>
        <v>437.14</v>
      </c>
      <c r="K58" s="61">
        <f t="shared" si="9"/>
        <v>438.24</v>
      </c>
      <c r="L58" s="61">
        <f t="shared" si="9"/>
        <v>438.24</v>
      </c>
      <c r="M58" s="61">
        <f t="shared" si="9"/>
        <v>437.74</v>
      </c>
      <c r="N58" s="61">
        <f t="shared" si="9"/>
        <v>420.64</v>
      </c>
      <c r="O58" s="61">
        <f t="shared" si="9"/>
        <v>422.34000000000003</v>
      </c>
      <c r="P58" s="61">
        <f t="shared" si="9"/>
        <v>422.34000000000003</v>
      </c>
      <c r="Q58" s="61">
        <f t="shared" si="9"/>
        <v>420.34000000000003</v>
      </c>
      <c r="R58" s="61">
        <f t="shared" si="9"/>
        <v>422.34000000000003</v>
      </c>
      <c r="S58" s="61">
        <f t="shared" si="9"/>
        <v>422.34000000000003</v>
      </c>
      <c r="T58" s="61">
        <f t="shared" si="9"/>
        <v>422.34000000000003</v>
      </c>
      <c r="U58" s="61">
        <f t="shared" si="9"/>
        <v>422.34000000000003</v>
      </c>
      <c r="V58" s="61">
        <f t="shared" si="9"/>
        <v>421.34000000000003</v>
      </c>
      <c r="W58" s="61">
        <f t="shared" si="9"/>
        <v>422.34000000000003</v>
      </c>
      <c r="X58" s="61">
        <f t="shared" si="9"/>
        <v>435.84000000000003</v>
      </c>
      <c r="Y58" s="61">
        <f t="shared" si="9"/>
        <v>435.84000000000003</v>
      </c>
      <c r="Z58" s="61">
        <f t="shared" si="9"/>
        <v>435.84000000000003</v>
      </c>
      <c r="AA58" s="61">
        <f t="shared" si="9"/>
        <v>435.84000000000003</v>
      </c>
      <c r="AB58" s="61">
        <f t="shared" si="9"/>
        <v>435.84000000000003</v>
      </c>
      <c r="AC58" s="61">
        <f t="shared" si="9"/>
        <v>420.94</v>
      </c>
      <c r="AD58" s="61">
        <f t="shared" si="9"/>
        <v>420.94</v>
      </c>
      <c r="AE58" s="61">
        <f t="shared" si="9"/>
        <v>406.54</v>
      </c>
      <c r="AF58" s="61">
        <f t="shared" si="9"/>
        <v>385.54</v>
      </c>
      <c r="AG58" s="62">
        <f t="shared" si="9"/>
        <v>489.91</v>
      </c>
      <c r="AH58" s="48">
        <f t="shared" si="2"/>
        <v>438.24</v>
      </c>
      <c r="AI58" s="49">
        <f t="shared" si="3"/>
        <v>281.14</v>
      </c>
      <c r="AK58" s="50"/>
    </row>
    <row r="59" spans="1:41" x14ac:dyDescent="0.25">
      <c r="A59" s="44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5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32</v>
      </c>
      <c r="AH60" s="48">
        <f t="shared" si="2"/>
        <v>5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67">
        <v>0</v>
      </c>
      <c r="AB61" s="67">
        <v>0</v>
      </c>
      <c r="AC61" s="67">
        <v>0</v>
      </c>
      <c r="AD61" s="67">
        <v>0</v>
      </c>
      <c r="AE61" s="67">
        <v>0</v>
      </c>
      <c r="AF61" s="67">
        <v>0</v>
      </c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" si="10">SUM(B59:B61)</f>
        <v>0</v>
      </c>
      <c r="C62" s="61">
        <f t="shared" ref="C62:AG62" si="11">SUM(C59:C61)</f>
        <v>0</v>
      </c>
      <c r="D62" s="61">
        <f t="shared" si="11"/>
        <v>0</v>
      </c>
      <c r="E62" s="61">
        <f t="shared" si="11"/>
        <v>0</v>
      </c>
      <c r="F62" s="61">
        <f t="shared" si="11"/>
        <v>0</v>
      </c>
      <c r="G62" s="61">
        <f t="shared" si="11"/>
        <v>0</v>
      </c>
      <c r="H62" s="61">
        <f t="shared" si="11"/>
        <v>0</v>
      </c>
      <c r="I62" s="61">
        <f t="shared" si="11"/>
        <v>0</v>
      </c>
      <c r="J62" s="61">
        <f t="shared" si="11"/>
        <v>0</v>
      </c>
      <c r="K62" s="61">
        <f t="shared" si="11"/>
        <v>0</v>
      </c>
      <c r="L62" s="61">
        <f t="shared" si="11"/>
        <v>0</v>
      </c>
      <c r="M62" s="61">
        <f t="shared" si="11"/>
        <v>0</v>
      </c>
      <c r="N62" s="61">
        <f t="shared" si="11"/>
        <v>0</v>
      </c>
      <c r="O62" s="61">
        <f t="shared" si="11"/>
        <v>0</v>
      </c>
      <c r="P62" s="61">
        <f t="shared" si="11"/>
        <v>0</v>
      </c>
      <c r="Q62" s="61">
        <f t="shared" si="11"/>
        <v>0</v>
      </c>
      <c r="R62" s="61">
        <f t="shared" si="11"/>
        <v>5</v>
      </c>
      <c r="S62" s="61">
        <f t="shared" si="11"/>
        <v>0</v>
      </c>
      <c r="T62" s="61">
        <f t="shared" si="11"/>
        <v>0</v>
      </c>
      <c r="U62" s="61">
        <f t="shared" si="11"/>
        <v>0</v>
      </c>
      <c r="V62" s="61">
        <f t="shared" si="11"/>
        <v>0</v>
      </c>
      <c r="W62" s="61">
        <f t="shared" si="11"/>
        <v>0</v>
      </c>
      <c r="X62" s="61">
        <f t="shared" si="11"/>
        <v>0</v>
      </c>
      <c r="Y62" s="61">
        <f t="shared" si="11"/>
        <v>0</v>
      </c>
      <c r="Z62" s="61">
        <f t="shared" si="11"/>
        <v>0</v>
      </c>
      <c r="AA62" s="61">
        <f t="shared" si="11"/>
        <v>0</v>
      </c>
      <c r="AB62" s="61">
        <f t="shared" si="11"/>
        <v>0</v>
      </c>
      <c r="AC62" s="61">
        <f t="shared" si="11"/>
        <v>0</v>
      </c>
      <c r="AD62" s="61">
        <f t="shared" si="11"/>
        <v>0</v>
      </c>
      <c r="AE62" s="61">
        <f t="shared" si="11"/>
        <v>0</v>
      </c>
      <c r="AF62" s="61">
        <f t="shared" si="11"/>
        <v>0</v>
      </c>
      <c r="AG62" s="62">
        <f t="shared" si="11"/>
        <v>106</v>
      </c>
      <c r="AH62" s="48">
        <f t="shared" si="2"/>
        <v>5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-348</v>
      </c>
      <c r="C65" s="65">
        <v>-298</v>
      </c>
      <c r="D65" s="65">
        <v>-302</v>
      </c>
      <c r="E65" s="65">
        <v>-305</v>
      </c>
      <c r="F65" s="65">
        <v>-307</v>
      </c>
      <c r="G65" s="65">
        <v>-252</v>
      </c>
      <c r="H65" s="65">
        <v>-251</v>
      </c>
      <c r="I65" s="65">
        <v>-302.8</v>
      </c>
      <c r="J65" s="65">
        <v>-295</v>
      </c>
      <c r="K65" s="65">
        <v>-321</v>
      </c>
      <c r="L65" s="65">
        <v>-320.89999999999998</v>
      </c>
      <c r="M65" s="65">
        <v>-354</v>
      </c>
      <c r="N65" s="65">
        <v>-300.60000000000002</v>
      </c>
      <c r="O65" s="65">
        <v>-298</v>
      </c>
      <c r="P65" s="65">
        <v>-308.8</v>
      </c>
      <c r="Q65" s="65">
        <v>-300</v>
      </c>
      <c r="R65" s="65">
        <v>-345.5</v>
      </c>
      <c r="S65" s="65">
        <v>-248</v>
      </c>
      <c r="T65" s="65">
        <v>-230</v>
      </c>
      <c r="U65" s="65">
        <v>-252</v>
      </c>
      <c r="V65" s="65">
        <v>-170</v>
      </c>
      <c r="W65" s="65">
        <v>-164</v>
      </c>
      <c r="X65" s="65">
        <v>-252</v>
      </c>
      <c r="Y65" s="65">
        <v>-257</v>
      </c>
      <c r="Z65" s="65">
        <v>-276</v>
      </c>
      <c r="AA65" s="65">
        <v>-333</v>
      </c>
      <c r="AB65" s="65">
        <v>-268</v>
      </c>
      <c r="AC65" s="65">
        <v>-320</v>
      </c>
      <c r="AD65" s="65">
        <v>-311.60000000000002</v>
      </c>
      <c r="AE65" s="65">
        <v>-295</v>
      </c>
      <c r="AF65" s="65">
        <v>-302.5</v>
      </c>
      <c r="AG65" s="75"/>
      <c r="AH65" s="48">
        <f t="shared" si="2"/>
        <v>-164</v>
      </c>
      <c r="AI65" s="49">
        <f t="shared" si="3"/>
        <v>-354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>
        <v>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170">
        <f>297*24</f>
        <v>7128</v>
      </c>
    </row>
    <row r="70" spans="1:37" x14ac:dyDescent="0.25">
      <c r="A70" s="54" t="s">
        <v>78</v>
      </c>
      <c r="B70" s="77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7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7">
        <v>0</v>
      </c>
      <c r="C72" s="79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7">
        <v>0</v>
      </c>
      <c r="C73" s="79">
        <v>0</v>
      </c>
      <c r="D73" s="79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" si="12">SUMIF(B63:B73,"&gt;0")</f>
        <v>0</v>
      </c>
      <c r="C74" s="61">
        <f t="shared" ref="C74:AF74" si="13">SUMIF(C63:C73,"&gt;0")</f>
        <v>0</v>
      </c>
      <c r="D74" s="61">
        <f t="shared" si="13"/>
        <v>0</v>
      </c>
      <c r="E74" s="61">
        <f t="shared" si="13"/>
        <v>0</v>
      </c>
      <c r="F74" s="61">
        <f t="shared" si="13"/>
        <v>0</v>
      </c>
      <c r="G74" s="61">
        <f t="shared" si="13"/>
        <v>0</v>
      </c>
      <c r="H74" s="61">
        <f t="shared" si="13"/>
        <v>0</v>
      </c>
      <c r="I74" s="61">
        <f t="shared" si="13"/>
        <v>0</v>
      </c>
      <c r="J74" s="61">
        <f t="shared" si="13"/>
        <v>0</v>
      </c>
      <c r="K74" s="61">
        <f t="shared" si="13"/>
        <v>0</v>
      </c>
      <c r="L74" s="61">
        <f t="shared" si="13"/>
        <v>0</v>
      </c>
      <c r="M74" s="61">
        <f t="shared" si="13"/>
        <v>0</v>
      </c>
      <c r="N74" s="61">
        <f t="shared" si="13"/>
        <v>0</v>
      </c>
      <c r="O74" s="61">
        <f t="shared" si="13"/>
        <v>0</v>
      </c>
      <c r="P74" s="61">
        <f t="shared" si="13"/>
        <v>0</v>
      </c>
      <c r="Q74" s="61">
        <f t="shared" si="13"/>
        <v>0</v>
      </c>
      <c r="R74" s="61">
        <f t="shared" si="13"/>
        <v>0</v>
      </c>
      <c r="S74" s="61">
        <f t="shared" si="13"/>
        <v>0</v>
      </c>
      <c r="T74" s="61">
        <f t="shared" si="13"/>
        <v>0</v>
      </c>
      <c r="U74" s="61">
        <f t="shared" si="13"/>
        <v>0</v>
      </c>
      <c r="V74" s="61">
        <f t="shared" si="13"/>
        <v>0</v>
      </c>
      <c r="W74" s="61">
        <f t="shared" si="13"/>
        <v>0</v>
      </c>
      <c r="X74" s="61">
        <f t="shared" si="13"/>
        <v>0</v>
      </c>
      <c r="Y74" s="61">
        <f t="shared" si="13"/>
        <v>0</v>
      </c>
      <c r="Z74" s="61">
        <f t="shared" si="13"/>
        <v>0</v>
      </c>
      <c r="AA74" s="61">
        <f t="shared" si="13"/>
        <v>0</v>
      </c>
      <c r="AB74" s="61">
        <f t="shared" si="13"/>
        <v>0</v>
      </c>
      <c r="AC74" s="61">
        <f t="shared" si="13"/>
        <v>0</v>
      </c>
      <c r="AD74" s="61">
        <f t="shared" si="13"/>
        <v>0</v>
      </c>
      <c r="AE74" s="61">
        <f t="shared" si="13"/>
        <v>0</v>
      </c>
      <c r="AF74" s="61">
        <f t="shared" si="13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44" t="s">
        <v>83</v>
      </c>
      <c r="B75" s="76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75">
        <v>14.4</v>
      </c>
      <c r="AH76" s="48">
        <f t="shared" ref="AH76:AH109" si="14">MAX(B76:AF76)</f>
        <v>0</v>
      </c>
      <c r="AI76" s="49">
        <f t="shared" ref="AI76:AI109" si="15">MIN(B76:AF76)</f>
        <v>0</v>
      </c>
      <c r="AK76" s="50"/>
    </row>
    <row r="77" spans="1:37" ht="15.75" thickBot="1" x14ac:dyDescent="0.3">
      <c r="A77" s="78" t="s">
        <v>85</v>
      </c>
      <c r="B77" s="79">
        <v>0</v>
      </c>
      <c r="C77" s="79">
        <v>0</v>
      </c>
      <c r="D77" s="79">
        <v>0</v>
      </c>
      <c r="E77" s="79">
        <v>0</v>
      </c>
      <c r="F77" s="79">
        <v>0</v>
      </c>
      <c r="G77" s="79">
        <v>0</v>
      </c>
      <c r="H77" s="79">
        <v>0</v>
      </c>
      <c r="I77" s="79">
        <v>0</v>
      </c>
      <c r="J77" s="79">
        <v>0</v>
      </c>
      <c r="K77" s="79">
        <v>0</v>
      </c>
      <c r="L77" s="79">
        <v>0</v>
      </c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>
        <v>0</v>
      </c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79">
        <v>0</v>
      </c>
      <c r="AC77" s="79">
        <v>0</v>
      </c>
      <c r="AD77" s="79">
        <v>0</v>
      </c>
      <c r="AE77" s="79">
        <v>0</v>
      </c>
      <c r="AF77" s="79">
        <v>0</v>
      </c>
      <c r="AG77" s="80">
        <v>2</v>
      </c>
      <c r="AH77" s="48">
        <f t="shared" si="14"/>
        <v>0</v>
      </c>
      <c r="AI77" s="49">
        <f t="shared" si="15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14"/>
        <v>0</v>
      </c>
      <c r="AI78" s="49">
        <f t="shared" si="15"/>
        <v>0</v>
      </c>
    </row>
    <row r="79" spans="1:37" ht="15.75" thickBot="1" x14ac:dyDescent="0.3">
      <c r="A79" s="74" t="s">
        <v>87</v>
      </c>
      <c r="B79" s="83">
        <f>B40+B44+B62+B58+B74+B78</f>
        <v>1202.1399999999999</v>
      </c>
      <c r="C79" s="83">
        <f t="shared" ref="C79:AG79" si="16">C40+C44+C62+C58+C74+C78</f>
        <v>1130.3399999999999</v>
      </c>
      <c r="D79" s="83">
        <f t="shared" si="16"/>
        <v>1139.6399999999999</v>
      </c>
      <c r="E79" s="83">
        <f t="shared" si="16"/>
        <v>1130.3399999999999</v>
      </c>
      <c r="F79" s="83">
        <f t="shared" si="16"/>
        <v>1135.3399999999999</v>
      </c>
      <c r="G79" s="83">
        <f t="shared" si="16"/>
        <v>1162.24</v>
      </c>
      <c r="H79" s="83">
        <f t="shared" si="16"/>
        <v>1215.44</v>
      </c>
      <c r="I79" s="83">
        <f t="shared" si="16"/>
        <v>1328.6399999999999</v>
      </c>
      <c r="J79" s="83">
        <f t="shared" si="16"/>
        <v>1423.6399999999999</v>
      </c>
      <c r="K79" s="83">
        <f t="shared" si="16"/>
        <v>1538.24</v>
      </c>
      <c r="L79" s="83">
        <f t="shared" si="16"/>
        <v>1600.64</v>
      </c>
      <c r="M79" s="83">
        <f t="shared" si="16"/>
        <v>1605.34</v>
      </c>
      <c r="N79" s="83">
        <f t="shared" si="16"/>
        <v>1476.94</v>
      </c>
      <c r="O79" s="83">
        <f t="shared" si="16"/>
        <v>1435.1399999999999</v>
      </c>
      <c r="P79" s="83">
        <f t="shared" si="16"/>
        <v>1445.1399999999999</v>
      </c>
      <c r="Q79" s="83">
        <f t="shared" si="16"/>
        <v>1413.1399999999999</v>
      </c>
      <c r="R79" s="83">
        <f t="shared" si="16"/>
        <v>1445.1399999999999</v>
      </c>
      <c r="S79" s="83">
        <f t="shared" si="16"/>
        <v>1337.8400000000001</v>
      </c>
      <c r="T79" s="83">
        <f t="shared" si="16"/>
        <v>1388.94</v>
      </c>
      <c r="U79" s="83">
        <f t="shared" si="16"/>
        <v>1418.94</v>
      </c>
      <c r="V79" s="83">
        <f t="shared" si="16"/>
        <v>1417.94</v>
      </c>
      <c r="W79" s="83">
        <f t="shared" si="16"/>
        <v>1538.94</v>
      </c>
      <c r="X79" s="83">
        <f t="shared" si="16"/>
        <v>1675.3400000000001</v>
      </c>
      <c r="Y79" s="83">
        <f t="shared" si="16"/>
        <v>1649.3400000000001</v>
      </c>
      <c r="Z79" s="83">
        <f t="shared" si="16"/>
        <v>1588.3400000000001</v>
      </c>
      <c r="AA79" s="83">
        <f t="shared" si="16"/>
        <v>1562.3400000000001</v>
      </c>
      <c r="AB79" s="83">
        <f t="shared" si="16"/>
        <v>1482.3400000000001</v>
      </c>
      <c r="AC79" s="83">
        <f t="shared" si="16"/>
        <v>1425.44</v>
      </c>
      <c r="AD79" s="83">
        <f t="shared" si="16"/>
        <v>1348.44</v>
      </c>
      <c r="AE79" s="83">
        <f t="shared" si="16"/>
        <v>1266.04</v>
      </c>
      <c r="AF79" s="83">
        <f t="shared" si="16"/>
        <v>1280.04</v>
      </c>
      <c r="AG79" s="62">
        <f t="shared" si="16"/>
        <v>1897.1900000000003</v>
      </c>
      <c r="AH79" s="48">
        <f t="shared" si="14"/>
        <v>1675.3400000000001</v>
      </c>
      <c r="AI79" s="49">
        <f t="shared" si="15"/>
        <v>1130.3399999999999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14"/>
        <v>0</v>
      </c>
      <c r="AI80" s="49">
        <f t="shared" si="15"/>
        <v>0</v>
      </c>
    </row>
    <row r="81" spans="1:37" ht="15.75" thickBot="1" x14ac:dyDescent="0.3">
      <c r="A81" s="74" t="s">
        <v>89</v>
      </c>
      <c r="B81" s="83">
        <f t="shared" ref="B81" si="17">B79+B80</f>
        <v>1202.1399999999999</v>
      </c>
      <c r="C81" s="83">
        <f t="shared" ref="C81:AF81" si="18">C79+C80</f>
        <v>1130.3399999999999</v>
      </c>
      <c r="D81" s="83">
        <f t="shared" si="18"/>
        <v>1139.6399999999999</v>
      </c>
      <c r="E81" s="83">
        <f t="shared" si="18"/>
        <v>1130.3399999999999</v>
      </c>
      <c r="F81" s="83">
        <f t="shared" si="18"/>
        <v>1135.3399999999999</v>
      </c>
      <c r="G81" s="83">
        <f t="shared" si="18"/>
        <v>1162.24</v>
      </c>
      <c r="H81" s="83">
        <f t="shared" si="18"/>
        <v>1215.44</v>
      </c>
      <c r="I81" s="83">
        <f t="shared" si="18"/>
        <v>1328.6399999999999</v>
      </c>
      <c r="J81" s="83">
        <f t="shared" si="18"/>
        <v>1423.6399999999999</v>
      </c>
      <c r="K81" s="83">
        <f t="shared" si="18"/>
        <v>1538.24</v>
      </c>
      <c r="L81" s="83">
        <f t="shared" si="18"/>
        <v>1600.64</v>
      </c>
      <c r="M81" s="83">
        <f t="shared" si="18"/>
        <v>1605.34</v>
      </c>
      <c r="N81" s="83">
        <f t="shared" si="18"/>
        <v>1476.94</v>
      </c>
      <c r="O81" s="83">
        <f t="shared" si="18"/>
        <v>1435.1399999999999</v>
      </c>
      <c r="P81" s="83">
        <f t="shared" si="18"/>
        <v>1445.1399999999999</v>
      </c>
      <c r="Q81" s="83">
        <f t="shared" si="18"/>
        <v>1413.1399999999999</v>
      </c>
      <c r="R81" s="83">
        <f t="shared" si="18"/>
        <v>1445.1399999999999</v>
      </c>
      <c r="S81" s="83">
        <f t="shared" si="18"/>
        <v>1337.8400000000001</v>
      </c>
      <c r="T81" s="83">
        <f t="shared" si="18"/>
        <v>1388.94</v>
      </c>
      <c r="U81" s="83">
        <f t="shared" si="18"/>
        <v>1418.94</v>
      </c>
      <c r="V81" s="83">
        <f t="shared" si="18"/>
        <v>1417.94</v>
      </c>
      <c r="W81" s="83">
        <f t="shared" si="18"/>
        <v>1538.94</v>
      </c>
      <c r="X81" s="83">
        <f t="shared" si="18"/>
        <v>1675.3400000000001</v>
      </c>
      <c r="Y81" s="83">
        <f t="shared" si="18"/>
        <v>1649.3400000000001</v>
      </c>
      <c r="Z81" s="83">
        <f t="shared" si="18"/>
        <v>1588.3400000000001</v>
      </c>
      <c r="AA81" s="83">
        <f t="shared" si="18"/>
        <v>1562.3400000000001</v>
      </c>
      <c r="AB81" s="83">
        <f t="shared" si="18"/>
        <v>1482.3400000000001</v>
      </c>
      <c r="AC81" s="83">
        <f t="shared" si="18"/>
        <v>1425.44</v>
      </c>
      <c r="AD81" s="83">
        <f t="shared" si="18"/>
        <v>1348.44</v>
      </c>
      <c r="AE81" s="83">
        <f t="shared" si="18"/>
        <v>1266.04</v>
      </c>
      <c r="AF81" s="83">
        <f t="shared" si="18"/>
        <v>1280.04</v>
      </c>
      <c r="AG81" s="81">
        <f>AG78+AG74+AG62+AG58+AG40+AG80</f>
        <v>1359.0900000000001</v>
      </c>
      <c r="AH81" s="48">
        <f t="shared" si="14"/>
        <v>1675.3400000000001</v>
      </c>
      <c r="AI81" s="49">
        <f t="shared" si="15"/>
        <v>1130.3399999999999</v>
      </c>
    </row>
    <row r="82" spans="1:37" ht="15.75" thickBot="1" x14ac:dyDescent="0.3">
      <c r="A82" s="74" t="s">
        <v>90</v>
      </c>
      <c r="B82" s="83">
        <f t="shared" ref="B82" si="19">B81-B89</f>
        <v>854.13999999999987</v>
      </c>
      <c r="C82" s="83">
        <f t="shared" ref="C82:AF82" si="20">C81-C89</f>
        <v>832.33999999999992</v>
      </c>
      <c r="D82" s="83">
        <f t="shared" si="20"/>
        <v>837.63999999999987</v>
      </c>
      <c r="E82" s="83">
        <f t="shared" si="20"/>
        <v>825.33999999999992</v>
      </c>
      <c r="F82" s="83">
        <f t="shared" si="20"/>
        <v>828.33999999999992</v>
      </c>
      <c r="G82" s="83">
        <f t="shared" si="20"/>
        <v>910.24</v>
      </c>
      <c r="H82" s="83">
        <f t="shared" si="20"/>
        <v>964.44</v>
      </c>
      <c r="I82" s="83">
        <f t="shared" si="20"/>
        <v>1025.8399999999999</v>
      </c>
      <c r="J82" s="83">
        <f t="shared" si="20"/>
        <v>1128.6399999999999</v>
      </c>
      <c r="K82" s="83">
        <f t="shared" si="20"/>
        <v>1217.24</v>
      </c>
      <c r="L82" s="83">
        <f t="shared" si="20"/>
        <v>1279.7400000000002</v>
      </c>
      <c r="M82" s="83">
        <f t="shared" si="20"/>
        <v>1251.3399999999999</v>
      </c>
      <c r="N82" s="83">
        <f t="shared" si="20"/>
        <v>1176.3400000000001</v>
      </c>
      <c r="O82" s="83">
        <f t="shared" si="20"/>
        <v>1137.1399999999999</v>
      </c>
      <c r="P82" s="83">
        <f t="shared" si="20"/>
        <v>1136.3399999999999</v>
      </c>
      <c r="Q82" s="83">
        <f t="shared" si="20"/>
        <v>1113.1399999999999</v>
      </c>
      <c r="R82" s="83">
        <f t="shared" si="20"/>
        <v>1099.6399999999999</v>
      </c>
      <c r="S82" s="83">
        <f t="shared" si="20"/>
        <v>1089.8400000000001</v>
      </c>
      <c r="T82" s="83">
        <f t="shared" si="20"/>
        <v>1158.94</v>
      </c>
      <c r="U82" s="83">
        <f t="shared" si="20"/>
        <v>1166.94</v>
      </c>
      <c r="V82" s="83">
        <f t="shared" si="20"/>
        <v>1247.94</v>
      </c>
      <c r="W82" s="83">
        <f t="shared" si="20"/>
        <v>1374.94</v>
      </c>
      <c r="X82" s="83">
        <f t="shared" si="20"/>
        <v>1423.3400000000001</v>
      </c>
      <c r="Y82" s="83">
        <f t="shared" si="20"/>
        <v>1392.3400000000001</v>
      </c>
      <c r="Z82" s="83">
        <f t="shared" si="20"/>
        <v>1312.3400000000001</v>
      </c>
      <c r="AA82" s="83">
        <f t="shared" si="20"/>
        <v>1229.3400000000001</v>
      </c>
      <c r="AB82" s="83">
        <f t="shared" si="20"/>
        <v>1214.3400000000001</v>
      </c>
      <c r="AC82" s="83">
        <f t="shared" si="20"/>
        <v>1105.44</v>
      </c>
      <c r="AD82" s="83">
        <f t="shared" si="20"/>
        <v>1036.8400000000001</v>
      </c>
      <c r="AE82" s="83">
        <f t="shared" si="20"/>
        <v>971.04</v>
      </c>
      <c r="AF82" s="83">
        <f t="shared" si="20"/>
        <v>977.54</v>
      </c>
      <c r="AG82" s="81"/>
      <c r="AH82" s="48">
        <f t="shared" si="14"/>
        <v>1423.3400000000001</v>
      </c>
      <c r="AI82" s="49">
        <f t="shared" si="15"/>
        <v>825.33999999999992</v>
      </c>
    </row>
    <row r="83" spans="1:37" x14ac:dyDescent="0.25">
      <c r="A83" s="44" t="s">
        <v>74</v>
      </c>
      <c r="B83" s="76">
        <f t="shared" ref="B83" si="21">IF(B66&lt;0,B66*-1,0)</f>
        <v>0</v>
      </c>
      <c r="C83" s="76">
        <f t="shared" ref="C83:AF83" si="22">IF(C66&lt;0,C66*-1,0)</f>
        <v>0</v>
      </c>
      <c r="D83" s="76">
        <f t="shared" si="22"/>
        <v>0</v>
      </c>
      <c r="E83" s="76">
        <f t="shared" si="22"/>
        <v>0</v>
      </c>
      <c r="F83" s="76">
        <f t="shared" si="22"/>
        <v>0</v>
      </c>
      <c r="G83" s="76">
        <f t="shared" si="22"/>
        <v>0</v>
      </c>
      <c r="H83" s="76">
        <f t="shared" si="22"/>
        <v>0</v>
      </c>
      <c r="I83" s="76">
        <f t="shared" si="22"/>
        <v>0</v>
      </c>
      <c r="J83" s="76">
        <f t="shared" si="22"/>
        <v>0</v>
      </c>
      <c r="K83" s="76">
        <f t="shared" si="22"/>
        <v>0</v>
      </c>
      <c r="L83" s="76">
        <f t="shared" si="22"/>
        <v>0</v>
      </c>
      <c r="M83" s="76">
        <f t="shared" si="22"/>
        <v>0</v>
      </c>
      <c r="N83" s="76">
        <f t="shared" si="22"/>
        <v>0</v>
      </c>
      <c r="O83" s="76">
        <f t="shared" si="22"/>
        <v>0</v>
      </c>
      <c r="P83" s="76">
        <f t="shared" si="22"/>
        <v>0</v>
      </c>
      <c r="Q83" s="76">
        <f t="shared" si="22"/>
        <v>0</v>
      </c>
      <c r="R83" s="76">
        <f t="shared" si="22"/>
        <v>0</v>
      </c>
      <c r="S83" s="76">
        <f t="shared" si="22"/>
        <v>0</v>
      </c>
      <c r="T83" s="76">
        <f t="shared" si="22"/>
        <v>0</v>
      </c>
      <c r="U83" s="76">
        <f t="shared" si="22"/>
        <v>0</v>
      </c>
      <c r="V83" s="76">
        <f t="shared" si="22"/>
        <v>0</v>
      </c>
      <c r="W83" s="76">
        <f t="shared" si="22"/>
        <v>0</v>
      </c>
      <c r="X83" s="76">
        <f t="shared" si="22"/>
        <v>0</v>
      </c>
      <c r="Y83" s="76">
        <f t="shared" si="22"/>
        <v>0</v>
      </c>
      <c r="Z83" s="76">
        <f t="shared" si="22"/>
        <v>0</v>
      </c>
      <c r="AA83" s="76">
        <f t="shared" si="22"/>
        <v>0</v>
      </c>
      <c r="AB83" s="76">
        <f t="shared" si="22"/>
        <v>0</v>
      </c>
      <c r="AC83" s="76">
        <f t="shared" si="22"/>
        <v>0</v>
      </c>
      <c r="AD83" s="76">
        <f t="shared" si="22"/>
        <v>0</v>
      </c>
      <c r="AE83" s="76">
        <f t="shared" si="22"/>
        <v>0</v>
      </c>
      <c r="AF83" s="76">
        <f t="shared" si="22"/>
        <v>0</v>
      </c>
      <c r="AG83" s="52"/>
      <c r="AH83" s="48">
        <f t="shared" si="14"/>
        <v>0</v>
      </c>
      <c r="AI83" s="49">
        <f t="shared" si="15"/>
        <v>0</v>
      </c>
    </row>
    <row r="84" spans="1:37" x14ac:dyDescent="0.25">
      <c r="A84" s="54" t="s">
        <v>72</v>
      </c>
      <c r="B84" s="76">
        <f t="shared" ref="B84" si="23">IF(B64&lt;0,B64*-1,0)</f>
        <v>0</v>
      </c>
      <c r="C84" s="76">
        <f t="shared" ref="C84:AF84" si="24">IF(C64&lt;0,C64*-1,0)</f>
        <v>0</v>
      </c>
      <c r="D84" s="76">
        <f t="shared" si="24"/>
        <v>0</v>
      </c>
      <c r="E84" s="76">
        <f t="shared" si="24"/>
        <v>0</v>
      </c>
      <c r="F84" s="76">
        <f t="shared" si="24"/>
        <v>0</v>
      </c>
      <c r="G84" s="76">
        <f t="shared" si="24"/>
        <v>0</v>
      </c>
      <c r="H84" s="76">
        <f t="shared" si="24"/>
        <v>0</v>
      </c>
      <c r="I84" s="76">
        <f t="shared" si="24"/>
        <v>0</v>
      </c>
      <c r="J84" s="76">
        <f t="shared" si="24"/>
        <v>0</v>
      </c>
      <c r="K84" s="76">
        <f t="shared" si="24"/>
        <v>0</v>
      </c>
      <c r="L84" s="76">
        <f t="shared" si="24"/>
        <v>0</v>
      </c>
      <c r="M84" s="76">
        <f t="shared" si="24"/>
        <v>0</v>
      </c>
      <c r="N84" s="76">
        <f t="shared" si="24"/>
        <v>0</v>
      </c>
      <c r="O84" s="76">
        <f t="shared" si="24"/>
        <v>0</v>
      </c>
      <c r="P84" s="76">
        <f t="shared" si="24"/>
        <v>0</v>
      </c>
      <c r="Q84" s="76">
        <f t="shared" si="24"/>
        <v>0</v>
      </c>
      <c r="R84" s="76">
        <f t="shared" si="24"/>
        <v>0</v>
      </c>
      <c r="S84" s="76">
        <f t="shared" si="24"/>
        <v>0</v>
      </c>
      <c r="T84" s="76">
        <f t="shared" si="24"/>
        <v>0</v>
      </c>
      <c r="U84" s="76">
        <f t="shared" si="24"/>
        <v>0</v>
      </c>
      <c r="V84" s="76">
        <f t="shared" si="24"/>
        <v>0</v>
      </c>
      <c r="W84" s="76">
        <f t="shared" si="24"/>
        <v>0</v>
      </c>
      <c r="X84" s="76">
        <f t="shared" si="24"/>
        <v>0</v>
      </c>
      <c r="Y84" s="76">
        <f t="shared" si="24"/>
        <v>0</v>
      </c>
      <c r="Z84" s="76">
        <f t="shared" si="24"/>
        <v>0</v>
      </c>
      <c r="AA84" s="76">
        <f t="shared" si="24"/>
        <v>0</v>
      </c>
      <c r="AB84" s="76">
        <f t="shared" si="24"/>
        <v>0</v>
      </c>
      <c r="AC84" s="76">
        <f t="shared" si="24"/>
        <v>0</v>
      </c>
      <c r="AD84" s="76">
        <f t="shared" si="24"/>
        <v>0</v>
      </c>
      <c r="AE84" s="76">
        <f t="shared" si="24"/>
        <v>0</v>
      </c>
      <c r="AF84" s="76">
        <f t="shared" si="24"/>
        <v>0</v>
      </c>
      <c r="AG84" s="55"/>
      <c r="AH84" s="48">
        <f t="shared" si="14"/>
        <v>0</v>
      </c>
      <c r="AI84" s="49">
        <f t="shared" si="15"/>
        <v>0</v>
      </c>
    </row>
    <row r="85" spans="1:37" x14ac:dyDescent="0.25">
      <c r="A85" s="78" t="s">
        <v>91</v>
      </c>
      <c r="B85" s="76">
        <f t="shared" ref="B85" si="25">IF(B67&lt;0,B67*-1,0)</f>
        <v>0</v>
      </c>
      <c r="C85" s="76">
        <f t="shared" ref="C85:AF85" si="26">IF(C67&lt;0,C67*-1,0)</f>
        <v>0</v>
      </c>
      <c r="D85" s="76">
        <f t="shared" si="26"/>
        <v>0</v>
      </c>
      <c r="E85" s="76">
        <f t="shared" si="26"/>
        <v>0</v>
      </c>
      <c r="F85" s="76">
        <f t="shared" si="26"/>
        <v>0</v>
      </c>
      <c r="G85" s="76">
        <f t="shared" si="26"/>
        <v>0</v>
      </c>
      <c r="H85" s="76">
        <f t="shared" si="26"/>
        <v>0</v>
      </c>
      <c r="I85" s="76">
        <f t="shared" si="26"/>
        <v>0</v>
      </c>
      <c r="J85" s="76">
        <f t="shared" si="26"/>
        <v>0</v>
      </c>
      <c r="K85" s="76">
        <f t="shared" si="26"/>
        <v>0</v>
      </c>
      <c r="L85" s="76">
        <f t="shared" si="26"/>
        <v>0</v>
      </c>
      <c r="M85" s="76">
        <f t="shared" si="26"/>
        <v>0</v>
      </c>
      <c r="N85" s="76">
        <f t="shared" si="26"/>
        <v>0</v>
      </c>
      <c r="O85" s="76">
        <f t="shared" si="26"/>
        <v>0</v>
      </c>
      <c r="P85" s="76">
        <f t="shared" si="26"/>
        <v>0</v>
      </c>
      <c r="Q85" s="76">
        <f t="shared" si="26"/>
        <v>0</v>
      </c>
      <c r="R85" s="76">
        <f t="shared" si="26"/>
        <v>0</v>
      </c>
      <c r="S85" s="76">
        <f t="shared" si="26"/>
        <v>0</v>
      </c>
      <c r="T85" s="76">
        <f t="shared" si="26"/>
        <v>0</v>
      </c>
      <c r="U85" s="76">
        <f t="shared" si="26"/>
        <v>0</v>
      </c>
      <c r="V85" s="76">
        <f t="shared" si="26"/>
        <v>0</v>
      </c>
      <c r="W85" s="76">
        <f t="shared" si="26"/>
        <v>0</v>
      </c>
      <c r="X85" s="76">
        <f t="shared" si="26"/>
        <v>0</v>
      </c>
      <c r="Y85" s="76">
        <f t="shared" si="26"/>
        <v>0</v>
      </c>
      <c r="Z85" s="76">
        <f t="shared" si="26"/>
        <v>0</v>
      </c>
      <c r="AA85" s="76">
        <f t="shared" si="26"/>
        <v>0</v>
      </c>
      <c r="AB85" s="76">
        <f t="shared" si="26"/>
        <v>0</v>
      </c>
      <c r="AC85" s="76">
        <f t="shared" si="26"/>
        <v>0</v>
      </c>
      <c r="AD85" s="76">
        <f t="shared" si="26"/>
        <v>0</v>
      </c>
      <c r="AE85" s="76">
        <f t="shared" si="26"/>
        <v>0</v>
      </c>
      <c r="AF85" s="76">
        <f t="shared" si="26"/>
        <v>0</v>
      </c>
      <c r="AG85" s="86"/>
      <c r="AH85" s="48">
        <f t="shared" si="14"/>
        <v>0</v>
      </c>
      <c r="AI85" s="49">
        <f t="shared" si="15"/>
        <v>0</v>
      </c>
    </row>
    <row r="86" spans="1:37" x14ac:dyDescent="0.25">
      <c r="A86" s="78" t="s">
        <v>92</v>
      </c>
      <c r="B86" s="76">
        <f t="shared" ref="B86" si="27">IF(B65&lt;0,B65*-1,0)</f>
        <v>348</v>
      </c>
      <c r="C86" s="76">
        <f t="shared" ref="C86:AF86" si="28">IF(C65&lt;0,C65*-1,0)</f>
        <v>298</v>
      </c>
      <c r="D86" s="76">
        <f t="shared" si="28"/>
        <v>302</v>
      </c>
      <c r="E86" s="76">
        <f t="shared" si="28"/>
        <v>305</v>
      </c>
      <c r="F86" s="76">
        <f t="shared" si="28"/>
        <v>307</v>
      </c>
      <c r="G86" s="76">
        <f t="shared" si="28"/>
        <v>252</v>
      </c>
      <c r="H86" s="76">
        <f t="shared" si="28"/>
        <v>251</v>
      </c>
      <c r="I86" s="76">
        <f t="shared" si="28"/>
        <v>302.8</v>
      </c>
      <c r="J86" s="76">
        <f t="shared" si="28"/>
        <v>295</v>
      </c>
      <c r="K86" s="76">
        <f t="shared" si="28"/>
        <v>321</v>
      </c>
      <c r="L86" s="76">
        <f t="shared" si="28"/>
        <v>320.89999999999998</v>
      </c>
      <c r="M86" s="76">
        <f t="shared" si="28"/>
        <v>354</v>
      </c>
      <c r="N86" s="76">
        <f t="shared" si="28"/>
        <v>300.60000000000002</v>
      </c>
      <c r="O86" s="76">
        <f t="shared" si="28"/>
        <v>298</v>
      </c>
      <c r="P86" s="76">
        <f t="shared" si="28"/>
        <v>308.8</v>
      </c>
      <c r="Q86" s="76">
        <f t="shared" si="28"/>
        <v>300</v>
      </c>
      <c r="R86" s="76">
        <f t="shared" si="28"/>
        <v>345.5</v>
      </c>
      <c r="S86" s="76">
        <f t="shared" si="28"/>
        <v>248</v>
      </c>
      <c r="T86" s="76">
        <f t="shared" si="28"/>
        <v>230</v>
      </c>
      <c r="U86" s="76">
        <f t="shared" si="28"/>
        <v>252</v>
      </c>
      <c r="V86" s="76">
        <f t="shared" si="28"/>
        <v>170</v>
      </c>
      <c r="W86" s="76">
        <f t="shared" si="28"/>
        <v>164</v>
      </c>
      <c r="X86" s="76">
        <f t="shared" si="28"/>
        <v>252</v>
      </c>
      <c r="Y86" s="76">
        <f t="shared" si="28"/>
        <v>257</v>
      </c>
      <c r="Z86" s="76">
        <f t="shared" si="28"/>
        <v>276</v>
      </c>
      <c r="AA86" s="76">
        <f t="shared" si="28"/>
        <v>333</v>
      </c>
      <c r="AB86" s="76">
        <f t="shared" si="28"/>
        <v>268</v>
      </c>
      <c r="AC86" s="76">
        <f t="shared" si="28"/>
        <v>320</v>
      </c>
      <c r="AD86" s="76">
        <f t="shared" si="28"/>
        <v>311.60000000000002</v>
      </c>
      <c r="AE86" s="76">
        <f t="shared" si="28"/>
        <v>295</v>
      </c>
      <c r="AF86" s="76">
        <f t="shared" si="28"/>
        <v>302.5</v>
      </c>
      <c r="AG86" s="86"/>
      <c r="AH86" s="48">
        <f t="shared" si="14"/>
        <v>354</v>
      </c>
      <c r="AI86" s="49">
        <f t="shared" si="15"/>
        <v>164</v>
      </c>
    </row>
    <row r="87" spans="1:37" x14ac:dyDescent="0.25">
      <c r="A87" s="78" t="s">
        <v>71</v>
      </c>
      <c r="B87" s="76">
        <f t="shared" ref="B87" si="29">IF(B63&lt;0,B63*-1,0)</f>
        <v>0</v>
      </c>
      <c r="C87" s="76">
        <f t="shared" ref="C87:AF87" si="30">IF(C63&lt;0,C63*-1,0)</f>
        <v>0</v>
      </c>
      <c r="D87" s="76">
        <f t="shared" si="30"/>
        <v>0</v>
      </c>
      <c r="E87" s="76">
        <f t="shared" si="30"/>
        <v>0</v>
      </c>
      <c r="F87" s="76">
        <f t="shared" si="30"/>
        <v>0</v>
      </c>
      <c r="G87" s="76">
        <f t="shared" si="30"/>
        <v>0</v>
      </c>
      <c r="H87" s="76">
        <f t="shared" si="30"/>
        <v>0</v>
      </c>
      <c r="I87" s="76">
        <f t="shared" si="30"/>
        <v>0</v>
      </c>
      <c r="J87" s="76">
        <f t="shared" si="30"/>
        <v>0</v>
      </c>
      <c r="K87" s="76">
        <f t="shared" si="30"/>
        <v>0</v>
      </c>
      <c r="L87" s="76">
        <f t="shared" si="30"/>
        <v>0</v>
      </c>
      <c r="M87" s="76">
        <f t="shared" si="30"/>
        <v>0</v>
      </c>
      <c r="N87" s="76">
        <f t="shared" si="30"/>
        <v>0</v>
      </c>
      <c r="O87" s="76">
        <f t="shared" si="30"/>
        <v>0</v>
      </c>
      <c r="P87" s="76">
        <f t="shared" si="30"/>
        <v>0</v>
      </c>
      <c r="Q87" s="76">
        <f t="shared" si="30"/>
        <v>0</v>
      </c>
      <c r="R87" s="76">
        <f t="shared" si="30"/>
        <v>0</v>
      </c>
      <c r="S87" s="76">
        <f t="shared" si="30"/>
        <v>0</v>
      </c>
      <c r="T87" s="76">
        <f t="shared" si="30"/>
        <v>0</v>
      </c>
      <c r="U87" s="76">
        <f t="shared" si="30"/>
        <v>0</v>
      </c>
      <c r="V87" s="76">
        <f t="shared" si="30"/>
        <v>0</v>
      </c>
      <c r="W87" s="76">
        <f t="shared" si="30"/>
        <v>0</v>
      </c>
      <c r="X87" s="76">
        <f t="shared" si="30"/>
        <v>0</v>
      </c>
      <c r="Y87" s="76">
        <f t="shared" si="30"/>
        <v>0</v>
      </c>
      <c r="Z87" s="76">
        <f t="shared" si="30"/>
        <v>0</v>
      </c>
      <c r="AA87" s="76">
        <f t="shared" si="30"/>
        <v>0</v>
      </c>
      <c r="AB87" s="76">
        <f t="shared" si="30"/>
        <v>0</v>
      </c>
      <c r="AC87" s="76">
        <f t="shared" si="30"/>
        <v>0</v>
      </c>
      <c r="AD87" s="76">
        <f t="shared" si="30"/>
        <v>0</v>
      </c>
      <c r="AE87" s="76">
        <f t="shared" si="30"/>
        <v>0</v>
      </c>
      <c r="AF87" s="76">
        <f t="shared" si="30"/>
        <v>0</v>
      </c>
      <c r="AG87" s="86"/>
      <c r="AH87" s="48">
        <f t="shared" si="14"/>
        <v>0</v>
      </c>
      <c r="AI87" s="49">
        <f t="shared" si="15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14"/>
        <v>0</v>
      </c>
      <c r="AI88" s="49">
        <f t="shared" si="15"/>
        <v>0</v>
      </c>
    </row>
    <row r="89" spans="1:37" ht="15.75" thickBot="1" x14ac:dyDescent="0.3">
      <c r="A89" s="87" t="s">
        <v>94</v>
      </c>
      <c r="B89" s="61">
        <f t="shared" ref="B89" si="31">SUM(B83:B88)</f>
        <v>348</v>
      </c>
      <c r="C89" s="61">
        <f t="shared" ref="C89:AF89" si="32">SUM(C83:C88)</f>
        <v>298</v>
      </c>
      <c r="D89" s="61">
        <f t="shared" si="32"/>
        <v>302</v>
      </c>
      <c r="E89" s="61">
        <f t="shared" si="32"/>
        <v>305</v>
      </c>
      <c r="F89" s="61">
        <f t="shared" si="32"/>
        <v>307</v>
      </c>
      <c r="G89" s="61">
        <f t="shared" si="32"/>
        <v>252</v>
      </c>
      <c r="H89" s="61">
        <f t="shared" si="32"/>
        <v>251</v>
      </c>
      <c r="I89" s="61">
        <f t="shared" si="32"/>
        <v>302.8</v>
      </c>
      <c r="J89" s="61">
        <f t="shared" si="32"/>
        <v>295</v>
      </c>
      <c r="K89" s="61">
        <f t="shared" si="32"/>
        <v>321</v>
      </c>
      <c r="L89" s="61">
        <f t="shared" si="32"/>
        <v>320.89999999999998</v>
      </c>
      <c r="M89" s="61">
        <f t="shared" si="32"/>
        <v>354</v>
      </c>
      <c r="N89" s="61">
        <f t="shared" si="32"/>
        <v>300.60000000000002</v>
      </c>
      <c r="O89" s="61">
        <f t="shared" si="32"/>
        <v>298</v>
      </c>
      <c r="P89" s="61">
        <f t="shared" si="32"/>
        <v>308.8</v>
      </c>
      <c r="Q89" s="61">
        <f t="shared" si="32"/>
        <v>300</v>
      </c>
      <c r="R89" s="61">
        <f t="shared" si="32"/>
        <v>345.5</v>
      </c>
      <c r="S89" s="61">
        <f t="shared" si="32"/>
        <v>248</v>
      </c>
      <c r="T89" s="61">
        <f t="shared" si="32"/>
        <v>230</v>
      </c>
      <c r="U89" s="61">
        <f t="shared" si="32"/>
        <v>252</v>
      </c>
      <c r="V89" s="61">
        <f t="shared" si="32"/>
        <v>170</v>
      </c>
      <c r="W89" s="61">
        <f t="shared" si="32"/>
        <v>164</v>
      </c>
      <c r="X89" s="61">
        <f t="shared" si="32"/>
        <v>252</v>
      </c>
      <c r="Y89" s="61">
        <f t="shared" si="32"/>
        <v>257</v>
      </c>
      <c r="Z89" s="61">
        <f t="shared" si="32"/>
        <v>276</v>
      </c>
      <c r="AA89" s="61">
        <f t="shared" si="32"/>
        <v>333</v>
      </c>
      <c r="AB89" s="61">
        <f t="shared" si="32"/>
        <v>268</v>
      </c>
      <c r="AC89" s="61">
        <f t="shared" si="32"/>
        <v>320</v>
      </c>
      <c r="AD89" s="61">
        <f t="shared" si="32"/>
        <v>311.60000000000002</v>
      </c>
      <c r="AE89" s="61">
        <f t="shared" si="32"/>
        <v>295</v>
      </c>
      <c r="AF89" s="61">
        <f t="shared" si="32"/>
        <v>302.5</v>
      </c>
      <c r="AG89" s="81"/>
      <c r="AH89" s="48">
        <f t="shared" si="14"/>
        <v>354</v>
      </c>
      <c r="AI89" s="49">
        <f t="shared" si="15"/>
        <v>164</v>
      </c>
      <c r="AK89" s="50"/>
    </row>
    <row r="90" spans="1:37" ht="15.75" thickBot="1" x14ac:dyDescent="0.3">
      <c r="A90" s="74" t="s">
        <v>95</v>
      </c>
      <c r="B90" s="61">
        <f t="shared" ref="B90" si="33">B74-B89</f>
        <v>-348</v>
      </c>
      <c r="C90" s="61">
        <f t="shared" ref="C90:AF90" si="34">C74-C89</f>
        <v>-298</v>
      </c>
      <c r="D90" s="61">
        <f t="shared" si="34"/>
        <v>-302</v>
      </c>
      <c r="E90" s="61">
        <f t="shared" si="34"/>
        <v>-305</v>
      </c>
      <c r="F90" s="61">
        <f t="shared" si="34"/>
        <v>-307</v>
      </c>
      <c r="G90" s="61">
        <f t="shared" si="34"/>
        <v>-252</v>
      </c>
      <c r="H90" s="61">
        <f t="shared" si="34"/>
        <v>-251</v>
      </c>
      <c r="I90" s="61">
        <f t="shared" si="34"/>
        <v>-302.8</v>
      </c>
      <c r="J90" s="61">
        <f t="shared" si="34"/>
        <v>-295</v>
      </c>
      <c r="K90" s="61">
        <f t="shared" si="34"/>
        <v>-321</v>
      </c>
      <c r="L90" s="61">
        <f t="shared" si="34"/>
        <v>-320.89999999999998</v>
      </c>
      <c r="M90" s="61">
        <f t="shared" si="34"/>
        <v>-354</v>
      </c>
      <c r="N90" s="61">
        <f t="shared" si="34"/>
        <v>-300.60000000000002</v>
      </c>
      <c r="O90" s="61">
        <f t="shared" si="34"/>
        <v>-298</v>
      </c>
      <c r="P90" s="61">
        <f t="shared" si="34"/>
        <v>-308.8</v>
      </c>
      <c r="Q90" s="61">
        <f t="shared" si="34"/>
        <v>-300</v>
      </c>
      <c r="R90" s="61">
        <f t="shared" si="34"/>
        <v>-345.5</v>
      </c>
      <c r="S90" s="61">
        <f t="shared" si="34"/>
        <v>-248</v>
      </c>
      <c r="T90" s="61">
        <f t="shared" si="34"/>
        <v>-230</v>
      </c>
      <c r="U90" s="61">
        <f t="shared" si="34"/>
        <v>-252</v>
      </c>
      <c r="V90" s="61">
        <f t="shared" si="34"/>
        <v>-170</v>
      </c>
      <c r="W90" s="61">
        <f t="shared" si="34"/>
        <v>-164</v>
      </c>
      <c r="X90" s="61">
        <f t="shared" si="34"/>
        <v>-252</v>
      </c>
      <c r="Y90" s="61">
        <f t="shared" si="34"/>
        <v>-257</v>
      </c>
      <c r="Z90" s="61">
        <f t="shared" si="34"/>
        <v>-276</v>
      </c>
      <c r="AA90" s="61">
        <f t="shared" si="34"/>
        <v>-333</v>
      </c>
      <c r="AB90" s="61">
        <f t="shared" si="34"/>
        <v>-268</v>
      </c>
      <c r="AC90" s="61">
        <f t="shared" si="34"/>
        <v>-320</v>
      </c>
      <c r="AD90" s="61">
        <f t="shared" si="34"/>
        <v>-311.60000000000002</v>
      </c>
      <c r="AE90" s="61">
        <f t="shared" si="34"/>
        <v>-295</v>
      </c>
      <c r="AF90" s="61">
        <f t="shared" si="34"/>
        <v>-302.5</v>
      </c>
      <c r="AG90" s="81"/>
      <c r="AH90" s="48">
        <f t="shared" si="14"/>
        <v>-164</v>
      </c>
      <c r="AI90" s="49">
        <f t="shared" si="15"/>
        <v>-354</v>
      </c>
    </row>
    <row r="91" spans="1:37" x14ac:dyDescent="0.25">
      <c r="A91" s="88" t="s">
        <v>96</v>
      </c>
      <c r="B91" s="89">
        <v>50.02</v>
      </c>
      <c r="C91" s="89">
        <v>50.018999999999998</v>
      </c>
      <c r="D91" s="89">
        <v>50.024999999999999</v>
      </c>
      <c r="E91" s="89">
        <v>49.987000000000002</v>
      </c>
      <c r="F91" s="89">
        <v>50.024999999999999</v>
      </c>
      <c r="G91" s="89">
        <v>50.017000000000003</v>
      </c>
      <c r="H91" s="89">
        <v>50.72</v>
      </c>
      <c r="I91" s="89">
        <v>50.036999999999999</v>
      </c>
      <c r="J91" s="89">
        <v>50.072000000000003</v>
      </c>
      <c r="K91" s="89">
        <v>50.015999999999998</v>
      </c>
      <c r="L91" s="89">
        <v>50.034999999999997</v>
      </c>
      <c r="M91" s="89">
        <v>49.968000000000004</v>
      </c>
      <c r="N91" s="89">
        <v>49.929000000000002</v>
      </c>
      <c r="O91" s="89">
        <v>49.96</v>
      </c>
      <c r="P91" s="89">
        <v>50.067</v>
      </c>
      <c r="Q91" s="89">
        <v>50.03</v>
      </c>
      <c r="R91" s="89">
        <v>50.031999999999996</v>
      </c>
      <c r="S91" s="89">
        <v>50.024000000000001</v>
      </c>
      <c r="T91" s="89">
        <v>50.094999999999999</v>
      </c>
      <c r="U91" s="89">
        <v>49.98</v>
      </c>
      <c r="V91" s="89">
        <v>50.033000000000001</v>
      </c>
      <c r="W91" s="89">
        <v>50.018999999999998</v>
      </c>
      <c r="X91" s="89">
        <v>50.067</v>
      </c>
      <c r="Y91" s="89">
        <v>50.067</v>
      </c>
      <c r="Z91" s="89">
        <v>50.005000000000003</v>
      </c>
      <c r="AA91" s="89">
        <v>50.005000000000003</v>
      </c>
      <c r="AB91" s="89">
        <v>50.055999999999997</v>
      </c>
      <c r="AC91" s="89">
        <v>50.02</v>
      </c>
      <c r="AD91" s="89">
        <v>50.008000000000003</v>
      </c>
      <c r="AE91" s="89">
        <v>50.064999999999998</v>
      </c>
      <c r="AF91" s="89">
        <v>50.036999999999999</v>
      </c>
      <c r="AG91" s="90"/>
      <c r="AH91" s="48">
        <f t="shared" si="14"/>
        <v>50.72</v>
      </c>
      <c r="AI91" s="49">
        <f t="shared" si="15"/>
        <v>49.929000000000002</v>
      </c>
    </row>
    <row r="92" spans="1:37" x14ac:dyDescent="0.25">
      <c r="A92" s="91" t="s">
        <v>97</v>
      </c>
      <c r="B92" s="65">
        <v>128.30000000000001</v>
      </c>
      <c r="C92" s="65">
        <v>129.30000000000001</v>
      </c>
      <c r="D92" s="65">
        <v>128</v>
      </c>
      <c r="E92" s="65">
        <v>128</v>
      </c>
      <c r="F92" s="65">
        <v>128</v>
      </c>
      <c r="G92" s="65">
        <v>128</v>
      </c>
      <c r="H92" s="65">
        <v>128</v>
      </c>
      <c r="I92" s="65">
        <v>127</v>
      </c>
      <c r="J92" s="65">
        <v>125</v>
      </c>
      <c r="K92" s="65">
        <v>124</v>
      </c>
      <c r="L92" s="65">
        <v>124</v>
      </c>
      <c r="M92" s="65">
        <v>123.2</v>
      </c>
      <c r="N92" s="65">
        <v>123.8</v>
      </c>
      <c r="O92" s="65">
        <v>124.6</v>
      </c>
      <c r="P92" s="65">
        <v>125.7</v>
      </c>
      <c r="Q92" s="65">
        <v>124.4</v>
      </c>
      <c r="R92" s="65">
        <v>125.1</v>
      </c>
      <c r="S92" s="65">
        <v>125</v>
      </c>
      <c r="T92" s="65">
        <v>125.4</v>
      </c>
      <c r="U92" s="65">
        <v>125</v>
      </c>
      <c r="V92" s="65">
        <v>125</v>
      </c>
      <c r="W92" s="65">
        <v>125</v>
      </c>
      <c r="X92" s="65">
        <v>123.7</v>
      </c>
      <c r="Y92" s="65">
        <v>123.7</v>
      </c>
      <c r="Z92" s="65">
        <v>123.7</v>
      </c>
      <c r="AA92" s="65">
        <v>128</v>
      </c>
      <c r="AB92" s="65">
        <v>127.1</v>
      </c>
      <c r="AC92" s="65">
        <v>127.4</v>
      </c>
      <c r="AD92" s="65">
        <v>128.69999999999999</v>
      </c>
      <c r="AE92" s="65">
        <v>128.4</v>
      </c>
      <c r="AF92" s="65">
        <v>127.5</v>
      </c>
      <c r="AG92" s="92"/>
      <c r="AH92" s="48">
        <f t="shared" si="14"/>
        <v>129.30000000000001</v>
      </c>
      <c r="AI92" s="49">
        <f t="shared" si="15"/>
        <v>123.2</v>
      </c>
    </row>
    <row r="93" spans="1:37" x14ac:dyDescent="0.25">
      <c r="A93" s="91" t="s">
        <v>98</v>
      </c>
      <c r="B93" s="65">
        <v>132.30000000000001</v>
      </c>
      <c r="C93" s="65">
        <v>133</v>
      </c>
      <c r="D93" s="65">
        <v>132.6</v>
      </c>
      <c r="E93" s="65">
        <v>132.6</v>
      </c>
      <c r="F93" s="65">
        <v>132.6</v>
      </c>
      <c r="G93" s="65">
        <v>132.6</v>
      </c>
      <c r="H93" s="65">
        <v>131.69999999999999</v>
      </c>
      <c r="I93" s="65">
        <v>130.80000000000001</v>
      </c>
      <c r="J93" s="65">
        <v>128</v>
      </c>
      <c r="K93" s="65">
        <v>127</v>
      </c>
      <c r="L93" s="65">
        <v>127</v>
      </c>
      <c r="M93" s="65">
        <v>126.8</v>
      </c>
      <c r="N93" s="65">
        <v>127.5</v>
      </c>
      <c r="O93" s="65">
        <v>127.8</v>
      </c>
      <c r="P93" s="65">
        <v>128.6</v>
      </c>
      <c r="Q93" s="65">
        <v>127.7</v>
      </c>
      <c r="R93" s="65">
        <v>128.19999999999999</v>
      </c>
      <c r="S93" s="65">
        <v>128.69999999999999</v>
      </c>
      <c r="T93" s="65">
        <v>128.69999999999999</v>
      </c>
      <c r="U93" s="65">
        <v>128.4</v>
      </c>
      <c r="V93" s="65">
        <v>128.4</v>
      </c>
      <c r="W93" s="65">
        <v>128.4</v>
      </c>
      <c r="X93" s="65">
        <v>126.7</v>
      </c>
      <c r="Y93" s="65">
        <v>126.7</v>
      </c>
      <c r="Z93" s="65">
        <v>126.7</v>
      </c>
      <c r="AA93" s="65">
        <v>130</v>
      </c>
      <c r="AB93" s="65">
        <v>129.9</v>
      </c>
      <c r="AC93" s="65">
        <v>130.30000000000001</v>
      </c>
      <c r="AD93" s="65">
        <v>131.80000000000001</v>
      </c>
      <c r="AE93" s="65">
        <v>131.69999999999999</v>
      </c>
      <c r="AF93" s="65">
        <v>131.4</v>
      </c>
      <c r="AG93" s="92"/>
      <c r="AH93" s="48">
        <f t="shared" si="14"/>
        <v>133</v>
      </c>
      <c r="AI93" s="49">
        <f t="shared" si="15"/>
        <v>126.7</v>
      </c>
    </row>
    <row r="94" spans="1:37" x14ac:dyDescent="0.25">
      <c r="A94" s="91" t="s">
        <v>99</v>
      </c>
      <c r="B94" s="65">
        <v>134.30000000000001</v>
      </c>
      <c r="C94" s="65">
        <v>134.1</v>
      </c>
      <c r="D94" s="65">
        <v>133.6</v>
      </c>
      <c r="E94" s="65">
        <v>133.6</v>
      </c>
      <c r="F94" s="65">
        <v>133.6</v>
      </c>
      <c r="G94" s="65">
        <v>133.6</v>
      </c>
      <c r="H94" s="65">
        <v>133.6</v>
      </c>
      <c r="I94" s="65">
        <v>133.5</v>
      </c>
      <c r="J94" s="65">
        <v>131</v>
      </c>
      <c r="K94" s="65">
        <v>131</v>
      </c>
      <c r="L94" s="65">
        <v>131</v>
      </c>
      <c r="M94" s="65">
        <v>129.4</v>
      </c>
      <c r="N94" s="65">
        <v>129.1</v>
      </c>
      <c r="O94" s="65">
        <v>129.4</v>
      </c>
      <c r="P94" s="65">
        <v>129.5</v>
      </c>
      <c r="Q94" s="65">
        <v>127.7</v>
      </c>
      <c r="R94" s="65">
        <v>131.9</v>
      </c>
      <c r="S94" s="65">
        <v>132.6</v>
      </c>
      <c r="T94" s="65">
        <v>131.5</v>
      </c>
      <c r="U94" s="65">
        <v>129</v>
      </c>
      <c r="V94" s="65">
        <v>129</v>
      </c>
      <c r="W94" s="65">
        <v>129</v>
      </c>
      <c r="X94" s="65">
        <v>128.4</v>
      </c>
      <c r="Y94" s="65">
        <v>128.4</v>
      </c>
      <c r="Z94" s="65">
        <v>128.4</v>
      </c>
      <c r="AA94" s="65">
        <v>128.4</v>
      </c>
      <c r="AB94" s="65">
        <v>132.9</v>
      </c>
      <c r="AC94" s="65">
        <v>133.6</v>
      </c>
      <c r="AD94" s="65">
        <v>133.6</v>
      </c>
      <c r="AE94" s="65">
        <v>133.80000000000001</v>
      </c>
      <c r="AF94" s="65">
        <v>130.9</v>
      </c>
      <c r="AG94" s="92"/>
      <c r="AH94" s="48">
        <f t="shared" si="14"/>
        <v>134.30000000000001</v>
      </c>
      <c r="AI94" s="49">
        <f t="shared" si="15"/>
        <v>127.7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14"/>
        <v>0</v>
      </c>
      <c r="AI95" s="49">
        <f t="shared" si="15"/>
        <v>0</v>
      </c>
    </row>
    <row r="96" spans="1:37" x14ac:dyDescent="0.25">
      <c r="A96" s="93" t="s">
        <v>101</v>
      </c>
      <c r="B96" s="94">
        <v>134.4</v>
      </c>
      <c r="C96" s="94">
        <v>134.80000000000001</v>
      </c>
      <c r="D96" s="94">
        <v>133.80000000000001</v>
      </c>
      <c r="E96" s="94">
        <v>133.80000000000001</v>
      </c>
      <c r="F96" s="94">
        <v>133.80000000000001</v>
      </c>
      <c r="G96" s="94">
        <v>133.80000000000001</v>
      </c>
      <c r="H96" s="94">
        <v>132.9</v>
      </c>
      <c r="I96" s="94">
        <v>133.6</v>
      </c>
      <c r="J96" s="94">
        <v>131.9</v>
      </c>
      <c r="K96" s="94">
        <v>131.4</v>
      </c>
      <c r="L96" s="94">
        <v>131.4</v>
      </c>
      <c r="M96" s="94">
        <v>132.9</v>
      </c>
      <c r="N96" s="94">
        <v>133.9</v>
      </c>
      <c r="O96" s="94">
        <v>133.4</v>
      </c>
      <c r="P96" s="94">
        <v>134</v>
      </c>
      <c r="Q96" s="94">
        <v>135.6</v>
      </c>
      <c r="R96" s="94">
        <v>132.9</v>
      </c>
      <c r="S96" s="94">
        <v>134.5</v>
      </c>
      <c r="T96" s="94">
        <v>133</v>
      </c>
      <c r="U96" s="94">
        <v>133.80000000000001</v>
      </c>
      <c r="V96" s="94">
        <v>133.80000000000001</v>
      </c>
      <c r="W96" s="94">
        <v>133.80000000000001</v>
      </c>
      <c r="X96" s="94">
        <v>134</v>
      </c>
      <c r="Y96" s="94">
        <v>134</v>
      </c>
      <c r="Z96" s="94">
        <v>134</v>
      </c>
      <c r="AA96" s="94">
        <v>134</v>
      </c>
      <c r="AB96" s="94">
        <v>134.1</v>
      </c>
      <c r="AC96" s="94">
        <v>134.6</v>
      </c>
      <c r="AD96" s="94">
        <v>135.69999999999999</v>
      </c>
      <c r="AE96" s="94">
        <v>135.19999999999999</v>
      </c>
      <c r="AF96" s="94">
        <v>134.30000000000001</v>
      </c>
      <c r="AG96" s="95"/>
      <c r="AH96" s="48">
        <f t="shared" si="14"/>
        <v>135.69999999999999</v>
      </c>
      <c r="AI96" s="49">
        <f t="shared" si="15"/>
        <v>131.4</v>
      </c>
    </row>
    <row r="97" spans="1:37" x14ac:dyDescent="0.25">
      <c r="A97" s="91" t="s">
        <v>102</v>
      </c>
      <c r="B97" s="65">
        <v>133.9</v>
      </c>
      <c r="C97" s="65">
        <v>134.6</v>
      </c>
      <c r="D97" s="65">
        <v>134</v>
      </c>
      <c r="E97" s="65">
        <v>134</v>
      </c>
      <c r="F97" s="65">
        <v>134</v>
      </c>
      <c r="G97" s="65">
        <v>134</v>
      </c>
      <c r="H97" s="65">
        <v>13.6</v>
      </c>
      <c r="I97" s="65">
        <v>131</v>
      </c>
      <c r="J97" s="65">
        <v>127</v>
      </c>
      <c r="K97" s="65">
        <v>125.6</v>
      </c>
      <c r="L97" s="65">
        <v>125.6</v>
      </c>
      <c r="M97" s="65">
        <v>131</v>
      </c>
      <c r="N97" s="65">
        <v>131.69999999999999</v>
      </c>
      <c r="O97" s="65">
        <v>129.30000000000001</v>
      </c>
      <c r="P97" s="65">
        <v>131.69999999999999</v>
      </c>
      <c r="Q97" s="65">
        <v>135.69999999999999</v>
      </c>
      <c r="R97" s="65">
        <v>130.9</v>
      </c>
      <c r="S97" s="65">
        <v>133</v>
      </c>
      <c r="T97" s="65">
        <v>128.4</v>
      </c>
      <c r="U97" s="65">
        <v>130</v>
      </c>
      <c r="V97" s="65">
        <v>130</v>
      </c>
      <c r="W97" s="65">
        <v>130</v>
      </c>
      <c r="X97" s="65">
        <v>131</v>
      </c>
      <c r="Y97" s="65">
        <v>131</v>
      </c>
      <c r="Z97" s="65">
        <v>131</v>
      </c>
      <c r="AA97" s="65">
        <v>131</v>
      </c>
      <c r="AB97" s="65">
        <v>133.19999999999999</v>
      </c>
      <c r="AC97" s="65">
        <v>132.4</v>
      </c>
      <c r="AD97" s="65">
        <v>134.9</v>
      </c>
      <c r="AE97" s="65">
        <v>1341</v>
      </c>
      <c r="AF97" s="65">
        <v>131.6</v>
      </c>
      <c r="AG97" s="92"/>
      <c r="AH97" s="48">
        <f t="shared" si="14"/>
        <v>1341</v>
      </c>
      <c r="AI97" s="49">
        <f t="shared" si="15"/>
        <v>13.6</v>
      </c>
    </row>
    <row r="98" spans="1:37" ht="15.75" thickBot="1" x14ac:dyDescent="0.3">
      <c r="A98" s="91" t="s">
        <v>103</v>
      </c>
      <c r="B98" s="96">
        <v>66.900000000000006</v>
      </c>
      <c r="C98" s="96">
        <v>67.099999999999994</v>
      </c>
      <c r="D98" s="96">
        <v>66.900000000000006</v>
      </c>
      <c r="E98" s="96">
        <v>66.900000000000006</v>
      </c>
      <c r="F98" s="96">
        <v>66.900000000000006</v>
      </c>
      <c r="G98" s="96">
        <v>66.900000000000006</v>
      </c>
      <c r="H98" s="96">
        <v>66.400000000000006</v>
      </c>
      <c r="I98" s="96">
        <v>65.8</v>
      </c>
      <c r="J98" s="96">
        <v>64</v>
      </c>
      <c r="K98" s="96">
        <v>64</v>
      </c>
      <c r="L98" s="96">
        <v>64</v>
      </c>
      <c r="M98" s="96">
        <v>63.7</v>
      </c>
      <c r="N98" s="96">
        <v>64.2</v>
      </c>
      <c r="O98" s="96">
        <v>64.2</v>
      </c>
      <c r="P98" s="96">
        <v>64.599999999999994</v>
      </c>
      <c r="Q98" s="96">
        <v>64.099999999999994</v>
      </c>
      <c r="R98" s="96">
        <v>64.5</v>
      </c>
      <c r="S98" s="96">
        <v>64.8</v>
      </c>
      <c r="T98" s="96">
        <v>64.8</v>
      </c>
      <c r="U98" s="96">
        <v>64.7</v>
      </c>
      <c r="V98" s="96">
        <v>64.7</v>
      </c>
      <c r="W98" s="96">
        <v>63.9</v>
      </c>
      <c r="X98" s="96">
        <v>63.7</v>
      </c>
      <c r="Y98" s="96">
        <v>64</v>
      </c>
      <c r="Z98" s="96">
        <v>64</v>
      </c>
      <c r="AA98" s="96">
        <v>65</v>
      </c>
      <c r="AB98" s="96">
        <v>65.2</v>
      </c>
      <c r="AC98" s="96">
        <v>65.5</v>
      </c>
      <c r="AD98" s="96">
        <v>65.7</v>
      </c>
      <c r="AE98" s="96">
        <v>66</v>
      </c>
      <c r="AF98" s="96">
        <v>65.8</v>
      </c>
      <c r="AG98" s="97"/>
      <c r="AH98" s="48">
        <f t="shared" si="14"/>
        <v>67.099999999999994</v>
      </c>
      <c r="AI98" s="49">
        <f t="shared" si="15"/>
        <v>63.7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14"/>
        <v>0</v>
      </c>
      <c r="AI99" s="49">
        <f t="shared" si="15"/>
        <v>0</v>
      </c>
    </row>
    <row r="100" spans="1:37" ht="15.75" thickBot="1" x14ac:dyDescent="0.3">
      <c r="A100" s="99" t="s">
        <v>104</v>
      </c>
      <c r="B100" s="100">
        <f t="shared" ref="B100" si="35">SUM(B15,B20,B22:B23,B48,B50:B51,B53,B55,B101:B105,B127,B133,B139,B148,B150,B162,B169,B172:B173,B180,B182,B184,B188:B190,B192:B194,B199,B205:B206,B208:B210,B218,B223)</f>
        <v>31.399999999999995</v>
      </c>
      <c r="C100" s="100">
        <f t="shared" ref="C100:AF100" si="36">SUM(C15,C20,C22:C23,C48,C50:C51,C53,C55,C101:C105,C127,C133,C139,C148,C150,C162,C169,C172:C173,C180,C182,C184,C188:C190,C192:C194,C199,C205:C206,C208:C210,C218,C223)</f>
        <v>22.440000000000023</v>
      </c>
      <c r="D100" s="100">
        <f t="shared" si="36"/>
        <v>22.640000000000025</v>
      </c>
      <c r="E100" s="100">
        <f t="shared" si="36"/>
        <v>21.839999999999989</v>
      </c>
      <c r="F100" s="100">
        <f t="shared" si="36"/>
        <v>27.339999999999989</v>
      </c>
      <c r="G100" s="100">
        <f t="shared" si="36"/>
        <v>55.439999999999984</v>
      </c>
      <c r="H100" s="100">
        <f t="shared" si="36"/>
        <v>81.340000000000018</v>
      </c>
      <c r="I100" s="100">
        <f t="shared" si="36"/>
        <v>110.54000000000002</v>
      </c>
      <c r="J100" s="100">
        <f t="shared" si="36"/>
        <v>174.74000000000004</v>
      </c>
      <c r="K100" s="100">
        <f t="shared" si="36"/>
        <v>216.54000000000002</v>
      </c>
      <c r="L100" s="100">
        <f t="shared" si="36"/>
        <v>241.34</v>
      </c>
      <c r="M100" s="100">
        <f t="shared" si="36"/>
        <v>226.34</v>
      </c>
      <c r="N100" s="100">
        <f t="shared" si="36"/>
        <v>209.94</v>
      </c>
      <c r="O100" s="100">
        <f t="shared" si="36"/>
        <v>196.84000000000003</v>
      </c>
      <c r="P100" s="100">
        <f t="shared" si="36"/>
        <v>179.04000000000002</v>
      </c>
      <c r="Q100" s="100">
        <f t="shared" si="36"/>
        <v>196.70000000000005</v>
      </c>
      <c r="R100" s="100">
        <f t="shared" si="36"/>
        <v>163.69999999999999</v>
      </c>
      <c r="S100" s="100">
        <f t="shared" si="36"/>
        <v>159.60000000000002</v>
      </c>
      <c r="T100" s="100">
        <f t="shared" si="36"/>
        <v>181.70000000000005</v>
      </c>
      <c r="U100" s="100">
        <f t="shared" si="36"/>
        <v>186.10000000000002</v>
      </c>
      <c r="V100" s="100">
        <f t="shared" si="36"/>
        <v>206.50000000000003</v>
      </c>
      <c r="W100" s="100">
        <f t="shared" si="36"/>
        <v>258.10000000000002</v>
      </c>
      <c r="X100" s="100">
        <f t="shared" si="36"/>
        <v>286.70000000000005</v>
      </c>
      <c r="Y100" s="100">
        <f t="shared" si="36"/>
        <v>283.70000000000005</v>
      </c>
      <c r="Z100" s="100">
        <f t="shared" si="36"/>
        <v>258.20000000000005</v>
      </c>
      <c r="AA100" s="100">
        <f t="shared" si="36"/>
        <v>244.70000000000005</v>
      </c>
      <c r="AB100" s="100">
        <f t="shared" si="36"/>
        <v>222.2</v>
      </c>
      <c r="AC100" s="100">
        <f t="shared" si="36"/>
        <v>193.30000000000004</v>
      </c>
      <c r="AD100" s="100">
        <f t="shared" si="36"/>
        <v>151.69999999999999</v>
      </c>
      <c r="AE100" s="100">
        <f t="shared" si="36"/>
        <v>108.50000000000001</v>
      </c>
      <c r="AF100" s="100">
        <f t="shared" si="36"/>
        <v>78.7</v>
      </c>
      <c r="AG100" s="101"/>
      <c r="AH100" s="48">
        <f t="shared" si="14"/>
        <v>286.70000000000005</v>
      </c>
      <c r="AI100" s="49">
        <f t="shared" si="15"/>
        <v>21.839999999999989</v>
      </c>
    </row>
    <row r="101" spans="1:37" x14ac:dyDescent="0.25">
      <c r="A101" s="88" t="s">
        <v>105</v>
      </c>
      <c r="B101" s="102">
        <v>37.200000000000003</v>
      </c>
      <c r="C101" s="102">
        <v>34</v>
      </c>
      <c r="D101" s="102">
        <v>36.9</v>
      </c>
      <c r="E101" s="102">
        <v>35.299999999999997</v>
      </c>
      <c r="F101" s="102">
        <v>36</v>
      </c>
      <c r="G101" s="102">
        <v>38.4</v>
      </c>
      <c r="H101" s="102">
        <v>37.4</v>
      </c>
      <c r="I101" s="102">
        <v>43.7</v>
      </c>
      <c r="J101" s="102">
        <v>54</v>
      </c>
      <c r="K101" s="102">
        <v>47.6</v>
      </c>
      <c r="L101" s="102">
        <v>47.3</v>
      </c>
      <c r="M101" s="102">
        <v>52.6</v>
      </c>
      <c r="N101" s="102">
        <v>53.2</v>
      </c>
      <c r="O101" s="102">
        <v>50.9</v>
      </c>
      <c r="P101" s="102">
        <v>51.2</v>
      </c>
      <c r="Q101" s="102">
        <v>57.5</v>
      </c>
      <c r="R101" s="102">
        <v>54.6</v>
      </c>
      <c r="S101" s="102">
        <v>50</v>
      </c>
      <c r="T101" s="102">
        <v>45.6</v>
      </c>
      <c r="U101" s="102">
        <v>48</v>
      </c>
      <c r="V101" s="102">
        <v>45</v>
      </c>
      <c r="W101" s="102">
        <v>41</v>
      </c>
      <c r="X101" s="102">
        <v>42</v>
      </c>
      <c r="Y101" s="102">
        <v>43</v>
      </c>
      <c r="Z101" s="102">
        <v>51</v>
      </c>
      <c r="AA101" s="102">
        <v>56</v>
      </c>
      <c r="AB101" s="102">
        <v>60.3</v>
      </c>
      <c r="AC101" s="102">
        <v>56</v>
      </c>
      <c r="AD101" s="102">
        <v>51.9</v>
      </c>
      <c r="AE101" s="102">
        <v>41.6</v>
      </c>
      <c r="AF101" s="102">
        <v>34</v>
      </c>
      <c r="AG101" s="103">
        <v>75</v>
      </c>
      <c r="AH101" s="48">
        <f t="shared" si="14"/>
        <v>60.3</v>
      </c>
      <c r="AI101" s="49">
        <f t="shared" si="15"/>
        <v>34</v>
      </c>
    </row>
    <row r="102" spans="1:37" x14ac:dyDescent="0.25">
      <c r="A102" s="91" t="s">
        <v>106</v>
      </c>
      <c r="B102" s="104">
        <v>58.2</v>
      </c>
      <c r="C102" s="104">
        <v>54.7</v>
      </c>
      <c r="D102" s="104">
        <v>58.7</v>
      </c>
      <c r="E102" s="104">
        <v>55.9</v>
      </c>
      <c r="F102" s="104">
        <v>59.2</v>
      </c>
      <c r="G102" s="104">
        <v>60.5</v>
      </c>
      <c r="H102" s="104">
        <v>59.7</v>
      </c>
      <c r="I102" s="104">
        <v>68.7</v>
      </c>
      <c r="J102" s="104">
        <v>83.5</v>
      </c>
      <c r="K102" s="104">
        <v>73.8</v>
      </c>
      <c r="L102" s="104">
        <v>72.3</v>
      </c>
      <c r="M102" s="104">
        <v>80</v>
      </c>
      <c r="N102" s="104">
        <v>82.6</v>
      </c>
      <c r="O102" s="104">
        <v>78.599999999999994</v>
      </c>
      <c r="P102" s="104">
        <v>79.7</v>
      </c>
      <c r="Q102" s="104">
        <v>88</v>
      </c>
      <c r="R102" s="104">
        <v>84.2</v>
      </c>
      <c r="S102" s="104">
        <v>79</v>
      </c>
      <c r="T102" s="104">
        <v>72</v>
      </c>
      <c r="U102" s="104">
        <v>76</v>
      </c>
      <c r="V102" s="104">
        <v>70</v>
      </c>
      <c r="W102" s="104">
        <v>59</v>
      </c>
      <c r="X102" s="104">
        <v>60</v>
      </c>
      <c r="Y102" s="104">
        <v>62</v>
      </c>
      <c r="Z102" s="104">
        <v>74</v>
      </c>
      <c r="AA102" s="104">
        <v>82</v>
      </c>
      <c r="AB102" s="104">
        <v>89.9</v>
      </c>
      <c r="AC102" s="104">
        <v>83.7</v>
      </c>
      <c r="AD102" s="104">
        <v>76.7</v>
      </c>
      <c r="AE102" s="104">
        <v>61.3</v>
      </c>
      <c r="AF102" s="104">
        <v>53.5</v>
      </c>
      <c r="AG102" s="103">
        <v>240</v>
      </c>
      <c r="AH102" s="48">
        <f t="shared" si="14"/>
        <v>89.9</v>
      </c>
      <c r="AI102" s="49">
        <f t="shared" si="15"/>
        <v>53.5</v>
      </c>
    </row>
    <row r="103" spans="1:37" x14ac:dyDescent="0.25">
      <c r="A103" s="91" t="s">
        <v>107</v>
      </c>
      <c r="B103" s="104">
        <f>-69.5-73.6</f>
        <v>-143.1</v>
      </c>
      <c r="C103" s="104">
        <f>-69.3-73.6</f>
        <v>-142.89999999999998</v>
      </c>
      <c r="D103" s="104">
        <v>-149</v>
      </c>
      <c r="E103" s="104">
        <v>-145</v>
      </c>
      <c r="F103" s="104">
        <v>-144</v>
      </c>
      <c r="G103" s="104">
        <v>-140</v>
      </c>
      <c r="H103" s="104">
        <v>-138</v>
      </c>
      <c r="I103" s="104">
        <v>-142</v>
      </c>
      <c r="J103" s="104">
        <v>-121</v>
      </c>
      <c r="K103" s="104">
        <v>-74</v>
      </c>
      <c r="L103" s="104">
        <v>-49</v>
      </c>
      <c r="M103" s="104">
        <f>-36-37</f>
        <v>-73</v>
      </c>
      <c r="N103" s="104">
        <f>-42-43</f>
        <v>-85</v>
      </c>
      <c r="O103" s="104">
        <f>-42-46</f>
        <v>-88</v>
      </c>
      <c r="P103" s="104">
        <f>-51-55</f>
        <v>-106</v>
      </c>
      <c r="Q103" s="104">
        <f>-49-53</f>
        <v>-102</v>
      </c>
      <c r="R103" s="104">
        <f>-59-64</f>
        <v>-123</v>
      </c>
      <c r="S103" s="104">
        <v>-120</v>
      </c>
      <c r="T103" s="104">
        <v>-90</v>
      </c>
      <c r="U103" s="104">
        <v>-93</v>
      </c>
      <c r="V103" s="104">
        <v>-69</v>
      </c>
      <c r="W103" s="104">
        <v>-11</v>
      </c>
      <c r="X103" s="104">
        <v>7</v>
      </c>
      <c r="Y103" s="104">
        <v>0</v>
      </c>
      <c r="Z103" s="104">
        <v>-41</v>
      </c>
      <c r="AA103" s="104">
        <v>-68</v>
      </c>
      <c r="AB103" s="104">
        <f>-48-51</f>
        <v>-99</v>
      </c>
      <c r="AC103" s="104">
        <f>-52.6-57</f>
        <v>-109.6</v>
      </c>
      <c r="AD103" s="104">
        <f>-61-65</f>
        <v>-126</v>
      </c>
      <c r="AE103" s="104">
        <f>-62-66</f>
        <v>-128</v>
      </c>
      <c r="AF103" s="104">
        <f>-63-67</f>
        <v>-130</v>
      </c>
      <c r="AG103" s="103">
        <v>240</v>
      </c>
      <c r="AH103" s="48">
        <f t="shared" si="14"/>
        <v>7</v>
      </c>
      <c r="AI103" s="49">
        <f t="shared" si="15"/>
        <v>-149</v>
      </c>
    </row>
    <row r="104" spans="1:37" x14ac:dyDescent="0.25">
      <c r="A104" s="91" t="s">
        <v>108</v>
      </c>
      <c r="B104" s="104">
        <v>-5.7</v>
      </c>
      <c r="C104" s="104">
        <v>-9.1</v>
      </c>
      <c r="D104" s="104">
        <v>-9.4</v>
      </c>
      <c r="E104" s="104">
        <v>-9.8000000000000007</v>
      </c>
      <c r="F104" s="104">
        <v>-9.3000000000000007</v>
      </c>
      <c r="G104" s="104">
        <v>-10.199999999999999</v>
      </c>
      <c r="H104" s="104">
        <v>-6.2</v>
      </c>
      <c r="I104" s="104">
        <v>-6.5</v>
      </c>
      <c r="J104" s="104">
        <v>-3.4</v>
      </c>
      <c r="K104" s="104">
        <v>4</v>
      </c>
      <c r="L104" s="104">
        <v>5.6</v>
      </c>
      <c r="M104" s="104">
        <v>7.1</v>
      </c>
      <c r="N104" s="104">
        <v>2.5</v>
      </c>
      <c r="O104" s="104">
        <v>1.2</v>
      </c>
      <c r="P104" s="104">
        <v>0</v>
      </c>
      <c r="Q104" s="104">
        <v>0</v>
      </c>
      <c r="R104" s="104">
        <v>-5.3</v>
      </c>
      <c r="S104" s="104">
        <v>-3.5</v>
      </c>
      <c r="T104" s="104">
        <v>0</v>
      </c>
      <c r="U104" s="104">
        <v>1</v>
      </c>
      <c r="V104" s="104">
        <v>6.4</v>
      </c>
      <c r="W104" s="104">
        <v>15</v>
      </c>
      <c r="X104" s="104">
        <v>20</v>
      </c>
      <c r="Y104" s="104">
        <v>21</v>
      </c>
      <c r="Z104" s="104">
        <v>16.5</v>
      </c>
      <c r="AA104" s="104">
        <v>13</v>
      </c>
      <c r="AB104" s="104">
        <v>9.3000000000000007</v>
      </c>
      <c r="AC104" s="104">
        <v>6.8</v>
      </c>
      <c r="AD104" s="104">
        <v>2.7</v>
      </c>
      <c r="AE104" s="104">
        <v>-2.8</v>
      </c>
      <c r="AF104" s="104">
        <v>-6.2</v>
      </c>
      <c r="AG104" s="103">
        <v>60</v>
      </c>
      <c r="AH104" s="48">
        <f t="shared" si="14"/>
        <v>21</v>
      </c>
      <c r="AI104" s="49">
        <f t="shared" si="15"/>
        <v>-10.199999999999999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0</v>
      </c>
      <c r="Y105" s="106">
        <v>0</v>
      </c>
      <c r="Z105" s="106">
        <v>0</v>
      </c>
      <c r="AA105" s="106">
        <v>0</v>
      </c>
      <c r="AB105" s="106">
        <v>0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14"/>
        <v>0</v>
      </c>
      <c r="AI105" s="49">
        <f t="shared" si="15"/>
        <v>0</v>
      </c>
    </row>
    <row r="106" spans="1:37" x14ac:dyDescent="0.25">
      <c r="A106" s="105" t="s">
        <v>110</v>
      </c>
      <c r="B106" s="106">
        <v>-34.5</v>
      </c>
      <c r="C106" s="106">
        <v>-34</v>
      </c>
      <c r="D106" s="106">
        <v>-40.299999999999997</v>
      </c>
      <c r="E106" s="106">
        <v>-34.4</v>
      </c>
      <c r="F106" s="106">
        <v>-35.5</v>
      </c>
      <c r="G106" s="106">
        <v>-31.3</v>
      </c>
      <c r="H106" s="106">
        <v>-26.6</v>
      </c>
      <c r="I106" s="106">
        <v>-30.3</v>
      </c>
      <c r="J106" s="106">
        <v>-12</v>
      </c>
      <c r="K106" s="106">
        <v>24.5</v>
      </c>
      <c r="L106" s="106">
        <v>48.7</v>
      </c>
      <c r="M106" s="106">
        <v>32.9</v>
      </c>
      <c r="N106" s="106">
        <v>16.5</v>
      </c>
      <c r="O106" s="106">
        <v>10.8</v>
      </c>
      <c r="P106" s="106">
        <v>0</v>
      </c>
      <c r="Q106" s="106">
        <v>2</v>
      </c>
      <c r="R106" s="106">
        <v>-9.8000000000000007</v>
      </c>
      <c r="S106" s="106">
        <v>-2.8</v>
      </c>
      <c r="T106" s="106">
        <v>16</v>
      </c>
      <c r="U106" s="106">
        <v>16</v>
      </c>
      <c r="V106" s="106">
        <v>23</v>
      </c>
      <c r="W106" s="106">
        <v>78</v>
      </c>
      <c r="X106" s="106">
        <v>91</v>
      </c>
      <c r="Y106" s="106">
        <v>76</v>
      </c>
      <c r="Z106" s="106">
        <v>35</v>
      </c>
      <c r="AA106" s="106">
        <v>6</v>
      </c>
      <c r="AB106" s="106">
        <v>21.5</v>
      </c>
      <c r="AC106" s="106">
        <v>-24.8</v>
      </c>
      <c r="AD106" s="106">
        <v>-36.4</v>
      </c>
      <c r="AE106" s="106">
        <v>-26.4</v>
      </c>
      <c r="AF106" s="106">
        <v>-11</v>
      </c>
      <c r="AG106" s="107"/>
      <c r="AH106" s="48">
        <f t="shared" si="14"/>
        <v>91</v>
      </c>
      <c r="AI106" s="49">
        <f t="shared" si="15"/>
        <v>-40.299999999999997</v>
      </c>
    </row>
    <row r="107" spans="1:37" x14ac:dyDescent="0.25">
      <c r="A107" s="105" t="s">
        <v>111</v>
      </c>
      <c r="B107" s="106">
        <v>1.9</v>
      </c>
      <c r="C107" s="106">
        <v>8.1</v>
      </c>
      <c r="D107" s="106">
        <v>0.5</v>
      </c>
      <c r="E107" s="106">
        <v>-10.6</v>
      </c>
      <c r="F107" s="106">
        <v>-9.1999999999999993</v>
      </c>
      <c r="G107" s="106">
        <v>-7.5</v>
      </c>
      <c r="H107" s="106">
        <v>1.1000000000000001</v>
      </c>
      <c r="I107" s="106">
        <v>1.5</v>
      </c>
      <c r="J107" s="106">
        <v>-2</v>
      </c>
      <c r="K107" s="106">
        <v>20.399999999999999</v>
      </c>
      <c r="L107" s="106">
        <v>19.5</v>
      </c>
      <c r="M107" s="106">
        <v>7.8</v>
      </c>
      <c r="N107" s="106">
        <v>12.6</v>
      </c>
      <c r="O107" s="106">
        <v>10.8</v>
      </c>
      <c r="P107" s="106">
        <v>9.5</v>
      </c>
      <c r="Q107" s="106">
        <v>-6.7</v>
      </c>
      <c r="R107" s="106">
        <v>-8.4</v>
      </c>
      <c r="S107" s="106">
        <v>5</v>
      </c>
      <c r="T107" s="106">
        <v>24</v>
      </c>
      <c r="U107" s="106">
        <v>18.399999999999999</v>
      </c>
      <c r="V107" s="106">
        <v>30</v>
      </c>
      <c r="W107" s="106">
        <v>74</v>
      </c>
      <c r="X107" s="106">
        <v>47</v>
      </c>
      <c r="Y107" s="106">
        <v>43</v>
      </c>
      <c r="Z107" s="106">
        <v>24</v>
      </c>
      <c r="AA107" s="106">
        <v>10</v>
      </c>
      <c r="AB107" s="106">
        <v>0.3</v>
      </c>
      <c r="AC107" s="106">
        <v>7.5</v>
      </c>
      <c r="AD107" s="106">
        <v>-4.7</v>
      </c>
      <c r="AE107" s="106">
        <v>7.2</v>
      </c>
      <c r="AF107" s="106">
        <v>-14.6</v>
      </c>
      <c r="AG107" s="108"/>
      <c r="AH107" s="48">
        <f t="shared" si="14"/>
        <v>74</v>
      </c>
      <c r="AI107" s="49">
        <f t="shared" si="15"/>
        <v>-14.6</v>
      </c>
    </row>
    <row r="108" spans="1:37" x14ac:dyDescent="0.25">
      <c r="A108" s="109" t="s">
        <v>112</v>
      </c>
      <c r="B108" s="94">
        <v>84</v>
      </c>
      <c r="C108" s="94">
        <v>83.7</v>
      </c>
      <c r="D108" s="94">
        <v>84.3</v>
      </c>
      <c r="E108" s="94">
        <v>84.3</v>
      </c>
      <c r="F108" s="94">
        <v>84.1</v>
      </c>
      <c r="G108" s="94">
        <v>83.5</v>
      </c>
      <c r="H108" s="94">
        <v>77.900000000000006</v>
      </c>
      <c r="I108" s="94">
        <v>76.599999999999994</v>
      </c>
      <c r="J108" s="94">
        <v>73.2</v>
      </c>
      <c r="K108" s="94">
        <v>77</v>
      </c>
      <c r="L108" s="94">
        <v>70.400000000000006</v>
      </c>
      <c r="M108" s="94">
        <v>62.7</v>
      </c>
      <c r="N108" s="94">
        <v>70.3</v>
      </c>
      <c r="O108" s="94">
        <v>75.7</v>
      </c>
      <c r="P108" s="94">
        <v>75.599999999999994</v>
      </c>
      <c r="Q108" s="94">
        <v>77.599999999999994</v>
      </c>
      <c r="R108" s="94">
        <v>77.7</v>
      </c>
      <c r="S108" s="94">
        <v>79</v>
      </c>
      <c r="T108" s="94">
        <v>56</v>
      </c>
      <c r="U108" s="94">
        <v>72</v>
      </c>
      <c r="V108" s="94">
        <v>59</v>
      </c>
      <c r="W108" s="94">
        <v>47</v>
      </c>
      <c r="X108" s="94">
        <v>47</v>
      </c>
      <c r="Y108" s="94">
        <v>57</v>
      </c>
      <c r="Z108" s="94">
        <v>61</v>
      </c>
      <c r="AA108" s="94">
        <v>65</v>
      </c>
      <c r="AB108" s="94">
        <v>69.099999999999994</v>
      </c>
      <c r="AC108" s="94">
        <v>72.400000000000006</v>
      </c>
      <c r="AD108" s="94">
        <v>73.400000000000006</v>
      </c>
      <c r="AE108" s="94">
        <v>84.9</v>
      </c>
      <c r="AF108" s="94">
        <v>84.1</v>
      </c>
      <c r="AG108" s="108"/>
      <c r="AH108" s="48">
        <f t="shared" si="14"/>
        <v>84.9</v>
      </c>
      <c r="AI108" s="49">
        <f t="shared" si="15"/>
        <v>47</v>
      </c>
    </row>
    <row r="109" spans="1:37" ht="15.75" thickBot="1" x14ac:dyDescent="0.3">
      <c r="A109" s="109" t="s">
        <v>113</v>
      </c>
      <c r="B109" s="94">
        <v>104.9</v>
      </c>
      <c r="C109" s="94">
        <v>101.5</v>
      </c>
      <c r="D109" s="94">
        <v>106.5</v>
      </c>
      <c r="E109" s="94">
        <v>103.8</v>
      </c>
      <c r="F109" s="94">
        <v>103.8</v>
      </c>
      <c r="G109" s="94">
        <v>99</v>
      </c>
      <c r="H109" s="94">
        <v>99.8</v>
      </c>
      <c r="I109" s="94">
        <v>99.9</v>
      </c>
      <c r="J109" s="94">
        <v>90.8</v>
      </c>
      <c r="K109" s="94">
        <v>54</v>
      </c>
      <c r="L109" s="94">
        <v>36.200000000000003</v>
      </c>
      <c r="M109" s="94">
        <v>62.4</v>
      </c>
      <c r="N109" s="94">
        <v>62.3</v>
      </c>
      <c r="O109" s="94">
        <v>65.099999999999994</v>
      </c>
      <c r="P109" s="94">
        <v>76.900000000000006</v>
      </c>
      <c r="Q109" s="94">
        <v>77.5</v>
      </c>
      <c r="R109" s="94">
        <v>92.4</v>
      </c>
      <c r="S109" s="94">
        <v>85</v>
      </c>
      <c r="T109" s="94">
        <v>61</v>
      </c>
      <c r="U109" s="94">
        <v>66</v>
      </c>
      <c r="V109" s="94">
        <v>51</v>
      </c>
      <c r="W109" s="94">
        <v>3</v>
      </c>
      <c r="X109" s="94">
        <v>4</v>
      </c>
      <c r="Y109" s="94">
        <v>0</v>
      </c>
      <c r="Z109" s="94">
        <v>34</v>
      </c>
      <c r="AA109" s="94">
        <v>60</v>
      </c>
      <c r="AB109" s="94">
        <v>81</v>
      </c>
      <c r="AC109" s="94">
        <v>85.4</v>
      </c>
      <c r="AD109" s="94">
        <v>98</v>
      </c>
      <c r="AE109" s="94">
        <v>100.1</v>
      </c>
      <c r="AF109" s="94">
        <v>97</v>
      </c>
      <c r="AG109" s="108"/>
      <c r="AH109" s="48">
        <f t="shared" si="14"/>
        <v>106.5</v>
      </c>
      <c r="AI109" s="49">
        <f t="shared" si="15"/>
        <v>0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37">SUM(B111:B215)</f>
        <v>0</v>
      </c>
      <c r="C216" s="125">
        <f t="shared" si="37"/>
        <v>0</v>
      </c>
      <c r="D216" s="125">
        <f t="shared" si="37"/>
        <v>0</v>
      </c>
      <c r="E216" s="125">
        <f t="shared" si="37"/>
        <v>0</v>
      </c>
      <c r="F216" s="125">
        <f t="shared" si="37"/>
        <v>0</v>
      </c>
      <c r="G216" s="125">
        <f t="shared" si="37"/>
        <v>0</v>
      </c>
      <c r="H216" s="125">
        <f t="shared" si="37"/>
        <v>0</v>
      </c>
      <c r="I216" s="125">
        <f t="shared" si="37"/>
        <v>0</v>
      </c>
      <c r="J216" s="125">
        <f t="shared" si="37"/>
        <v>0</v>
      </c>
      <c r="K216" s="125">
        <f t="shared" si="37"/>
        <v>0</v>
      </c>
      <c r="L216" s="125">
        <f t="shared" si="37"/>
        <v>0</v>
      </c>
      <c r="M216" s="125">
        <f t="shared" si="37"/>
        <v>0</v>
      </c>
      <c r="N216" s="125">
        <f t="shared" si="37"/>
        <v>0</v>
      </c>
      <c r="O216" s="125">
        <f t="shared" si="37"/>
        <v>0</v>
      </c>
      <c r="P216" s="125">
        <f t="shared" si="37"/>
        <v>0</v>
      </c>
      <c r="Q216" s="125">
        <f t="shared" si="37"/>
        <v>0</v>
      </c>
      <c r="R216" s="125">
        <f t="shared" si="37"/>
        <v>0</v>
      </c>
      <c r="S216" s="125">
        <f t="shared" si="37"/>
        <v>0</v>
      </c>
      <c r="T216" s="125">
        <f t="shared" si="37"/>
        <v>0</v>
      </c>
      <c r="U216" s="125">
        <f t="shared" si="37"/>
        <v>0</v>
      </c>
      <c r="V216" s="125">
        <f t="shared" si="37"/>
        <v>0</v>
      </c>
      <c r="W216" s="125">
        <f t="shared" si="37"/>
        <v>0</v>
      </c>
      <c r="X216" s="125">
        <f t="shared" si="37"/>
        <v>0</v>
      </c>
      <c r="Y216" s="125">
        <f t="shared" si="37"/>
        <v>0</v>
      </c>
      <c r="Z216" s="125">
        <f t="shared" si="37"/>
        <v>0</v>
      </c>
      <c r="AA216" s="125">
        <f t="shared" si="37"/>
        <v>0</v>
      </c>
      <c r="AB216" s="125">
        <f t="shared" si="37"/>
        <v>0</v>
      </c>
      <c r="AC216" s="125">
        <f t="shared" si="37"/>
        <v>0</v>
      </c>
      <c r="AD216" s="125">
        <f t="shared" si="37"/>
        <v>0</v>
      </c>
      <c r="AE216" s="125">
        <f t="shared" si="37"/>
        <v>0</v>
      </c>
      <c r="AF216" s="126">
        <f t="shared" si="37"/>
        <v>0</v>
      </c>
      <c r="AG216" s="127">
        <f t="shared" si="37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38">AF218</f>
        <v>0</v>
      </c>
      <c r="C218" s="129">
        <v>0.3</v>
      </c>
      <c r="D218" s="129">
        <f t="shared" ref="D218:P223" si="39">C218</f>
        <v>0.3</v>
      </c>
      <c r="E218" s="129">
        <f t="shared" si="39"/>
        <v>0.3</v>
      </c>
      <c r="F218" s="129">
        <f t="shared" si="39"/>
        <v>0.3</v>
      </c>
      <c r="G218" s="129">
        <f t="shared" si="39"/>
        <v>0.3</v>
      </c>
      <c r="H218" s="129">
        <f t="shared" si="39"/>
        <v>0.3</v>
      </c>
      <c r="I218" s="129">
        <f t="shared" si="39"/>
        <v>0.3</v>
      </c>
      <c r="J218" s="129">
        <f t="shared" si="39"/>
        <v>0.3</v>
      </c>
      <c r="K218" s="129">
        <f t="shared" si="39"/>
        <v>0.3</v>
      </c>
      <c r="L218" s="129">
        <f t="shared" si="39"/>
        <v>0.3</v>
      </c>
      <c r="M218" s="129">
        <f t="shared" si="39"/>
        <v>0.3</v>
      </c>
      <c r="N218" s="129">
        <f t="shared" si="39"/>
        <v>0.3</v>
      </c>
      <c r="O218" s="129">
        <f t="shared" si="39"/>
        <v>0.3</v>
      </c>
      <c r="P218" s="129">
        <f t="shared" si="39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38"/>
        <v>0</v>
      </c>
      <c r="C219" s="117">
        <v>0.4</v>
      </c>
      <c r="D219" s="117">
        <f t="shared" si="39"/>
        <v>0.4</v>
      </c>
      <c r="E219" s="117">
        <f t="shared" si="39"/>
        <v>0.4</v>
      </c>
      <c r="F219" s="117">
        <f t="shared" si="39"/>
        <v>0.4</v>
      </c>
      <c r="G219" s="117">
        <f t="shared" si="39"/>
        <v>0.4</v>
      </c>
      <c r="H219" s="117">
        <f t="shared" si="39"/>
        <v>0.4</v>
      </c>
      <c r="I219" s="117">
        <f t="shared" si="39"/>
        <v>0.4</v>
      </c>
      <c r="J219" s="117">
        <f t="shared" si="39"/>
        <v>0.4</v>
      </c>
      <c r="K219" s="117">
        <f t="shared" si="39"/>
        <v>0.4</v>
      </c>
      <c r="L219" s="117">
        <f t="shared" si="39"/>
        <v>0.4</v>
      </c>
      <c r="M219" s="117">
        <f t="shared" si="39"/>
        <v>0.4</v>
      </c>
      <c r="N219" s="117">
        <f t="shared" si="39"/>
        <v>0.4</v>
      </c>
      <c r="O219" s="117">
        <f t="shared" si="39"/>
        <v>0.4</v>
      </c>
      <c r="P219" s="117">
        <f t="shared" si="39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38"/>
        <v>0</v>
      </c>
      <c r="C220" s="117">
        <v>1.5</v>
      </c>
      <c r="D220" s="117">
        <f t="shared" si="39"/>
        <v>1.5</v>
      </c>
      <c r="E220" s="117">
        <f t="shared" si="39"/>
        <v>1.5</v>
      </c>
      <c r="F220" s="117">
        <f t="shared" si="39"/>
        <v>1.5</v>
      </c>
      <c r="G220" s="117">
        <f t="shared" si="39"/>
        <v>1.5</v>
      </c>
      <c r="H220" s="117">
        <f t="shared" si="39"/>
        <v>1.5</v>
      </c>
      <c r="I220" s="117">
        <f t="shared" si="39"/>
        <v>1.5</v>
      </c>
      <c r="J220" s="117">
        <f t="shared" si="39"/>
        <v>1.5</v>
      </c>
      <c r="K220" s="117">
        <f t="shared" si="39"/>
        <v>1.5</v>
      </c>
      <c r="L220" s="117">
        <f t="shared" si="39"/>
        <v>1.5</v>
      </c>
      <c r="M220" s="117">
        <f t="shared" si="39"/>
        <v>1.5</v>
      </c>
      <c r="N220" s="117">
        <f t="shared" si="39"/>
        <v>1.5</v>
      </c>
      <c r="O220" s="117">
        <f t="shared" si="39"/>
        <v>1.5</v>
      </c>
      <c r="P220" s="117">
        <f t="shared" si="39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38"/>
        <v>0</v>
      </c>
      <c r="C221" s="117">
        <v>0.3</v>
      </c>
      <c r="D221" s="117">
        <f t="shared" si="39"/>
        <v>0.3</v>
      </c>
      <c r="E221" s="117">
        <f t="shared" si="39"/>
        <v>0.3</v>
      </c>
      <c r="F221" s="117">
        <f t="shared" si="39"/>
        <v>0.3</v>
      </c>
      <c r="G221" s="117">
        <f t="shared" si="39"/>
        <v>0.3</v>
      </c>
      <c r="H221" s="117">
        <f t="shared" si="39"/>
        <v>0.3</v>
      </c>
      <c r="I221" s="117">
        <f t="shared" si="39"/>
        <v>0.3</v>
      </c>
      <c r="J221" s="117">
        <f t="shared" si="39"/>
        <v>0.3</v>
      </c>
      <c r="K221" s="117">
        <f t="shared" si="39"/>
        <v>0.3</v>
      </c>
      <c r="L221" s="117">
        <f t="shared" si="39"/>
        <v>0.3</v>
      </c>
      <c r="M221" s="117">
        <f t="shared" si="39"/>
        <v>0.3</v>
      </c>
      <c r="N221" s="117">
        <f t="shared" si="39"/>
        <v>0.3</v>
      </c>
      <c r="O221" s="117">
        <f t="shared" si="39"/>
        <v>0.3</v>
      </c>
      <c r="P221" s="117">
        <f t="shared" si="39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38"/>
        <v>0</v>
      </c>
      <c r="C222" s="117">
        <v>0.4</v>
      </c>
      <c r="D222" s="117">
        <f t="shared" si="39"/>
        <v>0.4</v>
      </c>
      <c r="E222" s="117">
        <f t="shared" si="39"/>
        <v>0.4</v>
      </c>
      <c r="F222" s="117">
        <f t="shared" si="39"/>
        <v>0.4</v>
      </c>
      <c r="G222" s="117">
        <f t="shared" si="39"/>
        <v>0.4</v>
      </c>
      <c r="H222" s="117">
        <f t="shared" si="39"/>
        <v>0.4</v>
      </c>
      <c r="I222" s="117">
        <f t="shared" si="39"/>
        <v>0.4</v>
      </c>
      <c r="J222" s="117">
        <f t="shared" si="39"/>
        <v>0.4</v>
      </c>
      <c r="K222" s="117">
        <f t="shared" si="39"/>
        <v>0.4</v>
      </c>
      <c r="L222" s="117">
        <f t="shared" si="39"/>
        <v>0.4</v>
      </c>
      <c r="M222" s="117">
        <f t="shared" si="39"/>
        <v>0.4</v>
      </c>
      <c r="N222" s="117">
        <f t="shared" si="39"/>
        <v>0.4</v>
      </c>
      <c r="O222" s="117">
        <f t="shared" si="39"/>
        <v>0.4</v>
      </c>
      <c r="P222" s="117">
        <f t="shared" si="39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38"/>
        <v>0</v>
      </c>
      <c r="C223" s="121">
        <v>0.64</v>
      </c>
      <c r="D223" s="121">
        <f t="shared" si="39"/>
        <v>0.64</v>
      </c>
      <c r="E223" s="121">
        <f t="shared" si="39"/>
        <v>0.64</v>
      </c>
      <c r="F223" s="121">
        <f t="shared" si="39"/>
        <v>0.64</v>
      </c>
      <c r="G223" s="121">
        <f t="shared" si="39"/>
        <v>0.64</v>
      </c>
      <c r="H223" s="121">
        <f t="shared" si="39"/>
        <v>0.64</v>
      </c>
      <c r="I223" s="121">
        <f t="shared" si="39"/>
        <v>0.64</v>
      </c>
      <c r="J223" s="121">
        <f t="shared" si="39"/>
        <v>0.64</v>
      </c>
      <c r="K223" s="121">
        <f t="shared" si="39"/>
        <v>0.64</v>
      </c>
      <c r="L223" s="121">
        <f t="shared" si="39"/>
        <v>0.64</v>
      </c>
      <c r="M223" s="121">
        <f t="shared" si="39"/>
        <v>0.64</v>
      </c>
      <c r="N223" s="121">
        <f t="shared" si="39"/>
        <v>0.64</v>
      </c>
      <c r="O223" s="121">
        <f t="shared" si="39"/>
        <v>0.64</v>
      </c>
      <c r="P223" s="121">
        <f t="shared" si="39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40">SUM(B218:B223)</f>
        <v>0</v>
      </c>
      <c r="C224" s="125">
        <f t="shared" si="40"/>
        <v>3.54</v>
      </c>
      <c r="D224" s="125">
        <f t="shared" si="40"/>
        <v>3.54</v>
      </c>
      <c r="E224" s="125">
        <f t="shared" si="40"/>
        <v>3.54</v>
      </c>
      <c r="F224" s="125">
        <f t="shared" si="40"/>
        <v>3.54</v>
      </c>
      <c r="G224" s="125">
        <f t="shared" si="40"/>
        <v>3.54</v>
      </c>
      <c r="H224" s="125">
        <f t="shared" si="40"/>
        <v>3.54</v>
      </c>
      <c r="I224" s="125">
        <f t="shared" si="40"/>
        <v>3.54</v>
      </c>
      <c r="J224" s="125">
        <f t="shared" si="40"/>
        <v>3.54</v>
      </c>
      <c r="K224" s="125">
        <f t="shared" si="40"/>
        <v>3.54</v>
      </c>
      <c r="L224" s="125">
        <f t="shared" si="40"/>
        <v>3.54</v>
      </c>
      <c r="M224" s="125">
        <f t="shared" si="40"/>
        <v>3.54</v>
      </c>
      <c r="N224" s="125">
        <f t="shared" si="40"/>
        <v>3.54</v>
      </c>
      <c r="O224" s="125">
        <f t="shared" si="40"/>
        <v>3.54</v>
      </c>
      <c r="P224" s="125">
        <f t="shared" si="40"/>
        <v>3.54</v>
      </c>
      <c r="Q224" s="125">
        <f t="shared" si="40"/>
        <v>0</v>
      </c>
      <c r="R224" s="125">
        <f t="shared" si="40"/>
        <v>0</v>
      </c>
      <c r="S224" s="125">
        <f t="shared" si="40"/>
        <v>0</v>
      </c>
      <c r="T224" s="125">
        <f t="shared" si="40"/>
        <v>0</v>
      </c>
      <c r="U224" s="125">
        <f t="shared" si="40"/>
        <v>0</v>
      </c>
      <c r="V224" s="125">
        <f t="shared" si="40"/>
        <v>0</v>
      </c>
      <c r="W224" s="125">
        <f t="shared" si="40"/>
        <v>0</v>
      </c>
      <c r="X224" s="125">
        <f t="shared" si="40"/>
        <v>0</v>
      </c>
      <c r="Y224" s="125">
        <f t="shared" si="40"/>
        <v>0</v>
      </c>
      <c r="Z224" s="125">
        <f t="shared" si="40"/>
        <v>0</v>
      </c>
      <c r="AA224" s="125">
        <f t="shared" si="40"/>
        <v>0</v>
      </c>
      <c r="AB224" s="125">
        <f t="shared" si="40"/>
        <v>0</v>
      </c>
      <c r="AC224" s="125">
        <f t="shared" si="40"/>
        <v>0</v>
      </c>
      <c r="AD224" s="125">
        <f t="shared" si="40"/>
        <v>0</v>
      </c>
      <c r="AE224" s="125">
        <f t="shared" si="40"/>
        <v>0</v>
      </c>
      <c r="AF224" s="125">
        <f t="shared" si="40"/>
        <v>0</v>
      </c>
      <c r="AG224" s="134">
        <f t="shared" si="40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1605.34</v>
      </c>
      <c r="C233" s="150">
        <f>INDEX(G9:N9,1,MATCH(MAX(G81:N81),G81:N81,0))</f>
        <v>0.33333333333333331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27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2079/07/27)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2079/07/27)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41">B81</f>
        <v>1202.1399999999999</v>
      </c>
      <c r="U238" s="159">
        <f t="shared" si="41"/>
        <v>1130.3399999999999</v>
      </c>
      <c r="V238" s="159">
        <f t="shared" si="41"/>
        <v>1139.6399999999999</v>
      </c>
      <c r="W238" s="159">
        <f t="shared" si="41"/>
        <v>1130.3399999999999</v>
      </c>
      <c r="X238" s="159">
        <f t="shared" si="41"/>
        <v>1135.3399999999999</v>
      </c>
      <c r="Y238" s="159">
        <f t="shared" si="41"/>
        <v>1162.24</v>
      </c>
      <c r="Z238" s="159">
        <f t="shared" si="41"/>
        <v>1215.44</v>
      </c>
      <c r="AA238" s="159">
        <f t="shared" si="41"/>
        <v>1328.6399999999999</v>
      </c>
      <c r="AB238" s="159">
        <f t="shared" si="41"/>
        <v>1423.6399999999999</v>
      </c>
      <c r="AC238" s="159">
        <f t="shared" si="41"/>
        <v>1538.24</v>
      </c>
      <c r="AD238" s="159">
        <f t="shared" si="41"/>
        <v>1600.64</v>
      </c>
      <c r="AE238" s="159">
        <f t="shared" si="41"/>
        <v>1605.34</v>
      </c>
      <c r="AF238" s="159">
        <f t="shared" si="41"/>
        <v>1476.94</v>
      </c>
      <c r="AG238" s="159">
        <f t="shared" si="41"/>
        <v>1435.1399999999999</v>
      </c>
      <c r="AH238" s="159">
        <f t="shared" si="41"/>
        <v>1445.1399999999999</v>
      </c>
      <c r="AI238" s="159">
        <f t="shared" si="41"/>
        <v>1413.1399999999999</v>
      </c>
      <c r="AJ238" s="159">
        <f t="shared" si="41"/>
        <v>1445.1399999999999</v>
      </c>
      <c r="AK238" s="159">
        <f t="shared" si="41"/>
        <v>1337.8400000000001</v>
      </c>
      <c r="AL238" s="159">
        <f t="shared" si="41"/>
        <v>1388.94</v>
      </c>
      <c r="AM238" s="159">
        <f t="shared" si="41"/>
        <v>1418.94</v>
      </c>
      <c r="AN238" s="159">
        <f t="shared" si="41"/>
        <v>1417.94</v>
      </c>
      <c r="AO238" s="159">
        <f t="shared" si="41"/>
        <v>1538.94</v>
      </c>
      <c r="AP238" s="159">
        <f t="shared" si="41"/>
        <v>1675.3400000000001</v>
      </c>
      <c r="AQ238" s="159">
        <f t="shared" si="41"/>
        <v>1649.3400000000001</v>
      </c>
      <c r="AR238" s="159">
        <f t="shared" si="41"/>
        <v>1588.3400000000001</v>
      </c>
      <c r="AS238" s="159">
        <f t="shared" si="41"/>
        <v>1562.3400000000001</v>
      </c>
      <c r="AT238" s="159">
        <f t="shared" si="41"/>
        <v>1482.3400000000001</v>
      </c>
      <c r="AU238" s="159">
        <f t="shared" si="41"/>
        <v>1425.44</v>
      </c>
      <c r="AV238" s="159">
        <f t="shared" si="41"/>
        <v>1348.44</v>
      </c>
      <c r="AW238" s="159">
        <f t="shared" si="41"/>
        <v>1266.04</v>
      </c>
      <c r="AX238" s="159">
        <f t="shared" si="41"/>
        <v>1280.04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42">C223</f>
        <v>0.64</v>
      </c>
      <c r="C259" s="162">
        <f t="shared" si="42"/>
        <v>0.64</v>
      </c>
      <c r="D259" s="162">
        <f t="shared" si="42"/>
        <v>0.64</v>
      </c>
      <c r="E259" s="162">
        <f t="shared" si="42"/>
        <v>0.64</v>
      </c>
      <c r="F259" s="162">
        <f t="shared" si="42"/>
        <v>0.64</v>
      </c>
      <c r="G259" s="162">
        <f t="shared" si="42"/>
        <v>0.64</v>
      </c>
      <c r="H259" s="162">
        <f t="shared" si="42"/>
        <v>0.64</v>
      </c>
      <c r="I259" s="162">
        <f t="shared" si="42"/>
        <v>0.64</v>
      </c>
      <c r="J259" s="162">
        <f t="shared" si="42"/>
        <v>0.64</v>
      </c>
      <c r="K259" s="162">
        <f t="shared" si="42"/>
        <v>0.64</v>
      </c>
      <c r="L259" s="162">
        <f t="shared" si="42"/>
        <v>0.64</v>
      </c>
      <c r="M259" s="162">
        <f t="shared" si="42"/>
        <v>0.64</v>
      </c>
      <c r="N259" s="162">
        <f t="shared" si="42"/>
        <v>0.64</v>
      </c>
      <c r="O259" s="162">
        <f t="shared" si="42"/>
        <v>0.64</v>
      </c>
      <c r="P259" s="162">
        <f t="shared" si="42"/>
        <v>0</v>
      </c>
      <c r="Q259" s="162">
        <f t="shared" si="42"/>
        <v>0</v>
      </c>
      <c r="R259" s="162">
        <f t="shared" si="42"/>
        <v>0</v>
      </c>
      <c r="S259" s="162">
        <f t="shared" si="42"/>
        <v>0</v>
      </c>
      <c r="T259" s="162">
        <f t="shared" si="42"/>
        <v>0</v>
      </c>
      <c r="U259" s="162">
        <f t="shared" si="42"/>
        <v>0</v>
      </c>
      <c r="V259" s="162">
        <f t="shared" si="42"/>
        <v>0</v>
      </c>
      <c r="W259" s="162">
        <f t="shared" si="42"/>
        <v>0</v>
      </c>
      <c r="X259" s="162">
        <f t="shared" si="42"/>
        <v>0</v>
      </c>
      <c r="Y259" s="162">
        <f t="shared" si="42"/>
        <v>0</v>
      </c>
      <c r="Z259" s="162">
        <f t="shared" si="42"/>
        <v>0</v>
      </c>
      <c r="AA259" s="162">
        <f t="shared" si="42"/>
        <v>0</v>
      </c>
      <c r="AB259" s="162">
        <f t="shared" si="42"/>
        <v>0</v>
      </c>
      <c r="AC259" s="162">
        <f t="shared" si="42"/>
        <v>0</v>
      </c>
      <c r="AD259" s="162">
        <f t="shared" si="42"/>
        <v>0</v>
      </c>
      <c r="AE259" s="162">
        <f t="shared" si="42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43">IF(B227&lt;100,"",B227-520)</f>
        <v/>
      </c>
      <c r="C260" s="163" t="str">
        <f t="shared" si="43"/>
        <v/>
      </c>
      <c r="D260" s="163" t="str">
        <f t="shared" si="43"/>
        <v/>
      </c>
      <c r="E260" s="163" t="str">
        <f t="shared" si="43"/>
        <v/>
      </c>
      <c r="F260" s="163" t="str">
        <f t="shared" si="43"/>
        <v/>
      </c>
      <c r="G260" s="163" t="str">
        <f t="shared" si="43"/>
        <v/>
      </c>
      <c r="H260" s="163" t="str">
        <f t="shared" si="43"/>
        <v/>
      </c>
      <c r="I260" s="163" t="str">
        <f t="shared" si="43"/>
        <v/>
      </c>
      <c r="J260" s="163" t="str">
        <f t="shared" si="43"/>
        <v/>
      </c>
      <c r="K260" s="163" t="str">
        <f t="shared" si="43"/>
        <v/>
      </c>
      <c r="L260" s="163" t="str">
        <f t="shared" si="43"/>
        <v/>
      </c>
      <c r="M260" s="163" t="str">
        <f t="shared" si="43"/>
        <v/>
      </c>
      <c r="N260" s="163" t="str">
        <f t="shared" si="43"/>
        <v/>
      </c>
      <c r="O260" s="163" t="str">
        <f t="shared" si="43"/>
        <v/>
      </c>
      <c r="P260" s="163" t="str">
        <f t="shared" si="43"/>
        <v/>
      </c>
      <c r="Q260" s="163" t="str">
        <f t="shared" si="43"/>
        <v/>
      </c>
      <c r="R260" s="163" t="str">
        <f t="shared" si="43"/>
        <v/>
      </c>
      <c r="S260" s="163" t="str">
        <f t="shared" si="43"/>
        <v/>
      </c>
      <c r="T260" s="163" t="str">
        <f t="shared" si="43"/>
        <v/>
      </c>
      <c r="U260" s="163" t="str">
        <f t="shared" si="43"/>
        <v/>
      </c>
      <c r="V260" s="163" t="str">
        <f t="shared" si="43"/>
        <v/>
      </c>
      <c r="W260" s="163" t="str">
        <f t="shared" si="43"/>
        <v/>
      </c>
      <c r="X260" s="163" t="str">
        <f t="shared" si="43"/>
        <v/>
      </c>
      <c r="Y260" s="163" t="str">
        <f t="shared" si="43"/>
        <v/>
      </c>
      <c r="Z260" s="163" t="str">
        <f t="shared" si="43"/>
        <v/>
      </c>
      <c r="AA260" s="163" t="str">
        <f t="shared" si="43"/>
        <v/>
      </c>
      <c r="AB260" s="163" t="str">
        <f t="shared" si="43"/>
        <v/>
      </c>
      <c r="AC260" s="163" t="str">
        <f t="shared" si="43"/>
        <v/>
      </c>
      <c r="AD260" s="163" t="str">
        <f t="shared" si="43"/>
        <v/>
      </c>
      <c r="AE260" s="163" t="str">
        <f t="shared" si="43"/>
        <v/>
      </c>
      <c r="AF260" s="163" t="str">
        <f t="shared" si="43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44">IF(B228&lt;100,"",B228-620)</f>
        <v/>
      </c>
      <c r="C261" s="163" t="str">
        <f t="shared" si="44"/>
        <v/>
      </c>
      <c r="D261" s="163" t="str">
        <f t="shared" si="44"/>
        <v/>
      </c>
      <c r="E261" s="163" t="str">
        <f t="shared" si="44"/>
        <v/>
      </c>
      <c r="F261" s="163" t="str">
        <f t="shared" si="44"/>
        <v/>
      </c>
      <c r="G261" s="163" t="str">
        <f t="shared" si="44"/>
        <v/>
      </c>
      <c r="H261" s="163" t="str">
        <f t="shared" si="44"/>
        <v/>
      </c>
      <c r="I261" s="163" t="str">
        <f t="shared" si="44"/>
        <v/>
      </c>
      <c r="J261" s="163" t="str">
        <f t="shared" si="44"/>
        <v/>
      </c>
      <c r="K261" s="163" t="str">
        <f t="shared" si="44"/>
        <v/>
      </c>
      <c r="L261" s="163" t="str">
        <f t="shared" si="44"/>
        <v/>
      </c>
      <c r="M261" s="163" t="str">
        <f t="shared" si="44"/>
        <v/>
      </c>
      <c r="N261" s="163" t="str">
        <f t="shared" si="44"/>
        <v/>
      </c>
      <c r="O261" s="163" t="str">
        <f t="shared" si="44"/>
        <v/>
      </c>
      <c r="P261" s="163" t="str">
        <f t="shared" si="44"/>
        <v/>
      </c>
      <c r="Q261" s="163" t="str">
        <f t="shared" si="44"/>
        <v/>
      </c>
      <c r="R261" s="163" t="str">
        <f t="shared" si="44"/>
        <v/>
      </c>
      <c r="S261" s="163" t="str">
        <f t="shared" si="44"/>
        <v/>
      </c>
      <c r="T261" s="163" t="str">
        <f t="shared" si="44"/>
        <v/>
      </c>
      <c r="U261" s="163" t="str">
        <f t="shared" si="44"/>
        <v/>
      </c>
      <c r="V261" s="163" t="str">
        <f t="shared" si="44"/>
        <v/>
      </c>
      <c r="W261" s="163" t="str">
        <f t="shared" si="44"/>
        <v/>
      </c>
      <c r="X261" s="163" t="str">
        <f t="shared" si="44"/>
        <v/>
      </c>
      <c r="Y261" s="163" t="str">
        <f t="shared" si="44"/>
        <v/>
      </c>
      <c r="Z261" s="163" t="str">
        <f t="shared" si="44"/>
        <v/>
      </c>
      <c r="AA261" s="163" t="str">
        <f t="shared" si="44"/>
        <v/>
      </c>
      <c r="AB261" s="163" t="str">
        <f t="shared" si="44"/>
        <v/>
      </c>
      <c r="AC261" s="163" t="str">
        <f t="shared" si="44"/>
        <v/>
      </c>
      <c r="AD261" s="163" t="str">
        <f t="shared" si="44"/>
        <v/>
      </c>
      <c r="AE261" s="163" t="str">
        <f t="shared" si="44"/>
        <v/>
      </c>
      <c r="AF261" s="163" t="str">
        <f t="shared" si="44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45">IF(B229&lt;100,"",B229-330)</f>
        <v/>
      </c>
      <c r="C262" s="163" t="str">
        <f t="shared" si="45"/>
        <v/>
      </c>
      <c r="D262" s="163" t="str">
        <f t="shared" si="45"/>
        <v/>
      </c>
      <c r="E262" s="163" t="str">
        <f t="shared" si="45"/>
        <v/>
      </c>
      <c r="F262" s="163" t="str">
        <f t="shared" si="45"/>
        <v/>
      </c>
      <c r="G262" s="163" t="str">
        <f t="shared" si="45"/>
        <v/>
      </c>
      <c r="H262" s="163" t="str">
        <f t="shared" si="45"/>
        <v/>
      </c>
      <c r="I262" s="163" t="str">
        <f t="shared" si="45"/>
        <v/>
      </c>
      <c r="J262" s="163" t="str">
        <f t="shared" si="45"/>
        <v/>
      </c>
      <c r="K262" s="163" t="str">
        <f t="shared" si="45"/>
        <v/>
      </c>
      <c r="L262" s="163" t="str">
        <f t="shared" si="45"/>
        <v/>
      </c>
      <c r="M262" s="163" t="str">
        <f t="shared" si="45"/>
        <v/>
      </c>
      <c r="N262" s="163" t="str">
        <f t="shared" si="45"/>
        <v/>
      </c>
      <c r="O262" s="163" t="str">
        <f t="shared" si="45"/>
        <v/>
      </c>
      <c r="P262" s="163" t="str">
        <f t="shared" si="45"/>
        <v/>
      </c>
      <c r="Q262" s="163" t="str">
        <f t="shared" si="45"/>
        <v/>
      </c>
      <c r="R262" s="163" t="str">
        <f t="shared" si="45"/>
        <v/>
      </c>
      <c r="S262" s="163" t="str">
        <f t="shared" si="45"/>
        <v/>
      </c>
      <c r="T262" s="163" t="str">
        <f t="shared" si="45"/>
        <v/>
      </c>
      <c r="U262" s="163" t="str">
        <f t="shared" si="45"/>
        <v/>
      </c>
      <c r="V262" s="163" t="str">
        <f t="shared" si="45"/>
        <v/>
      </c>
      <c r="W262" s="163" t="str">
        <f t="shared" si="45"/>
        <v/>
      </c>
      <c r="X262" s="163" t="str">
        <f t="shared" si="45"/>
        <v/>
      </c>
      <c r="Y262" s="163" t="str">
        <f t="shared" si="45"/>
        <v/>
      </c>
      <c r="Z262" s="163" t="str">
        <f t="shared" si="45"/>
        <v/>
      </c>
      <c r="AA262" s="163" t="str">
        <f t="shared" si="45"/>
        <v/>
      </c>
      <c r="AB262" s="163" t="str">
        <f t="shared" si="45"/>
        <v/>
      </c>
      <c r="AC262" s="163" t="str">
        <f t="shared" si="45"/>
        <v/>
      </c>
      <c r="AD262" s="163" t="str">
        <f t="shared" si="45"/>
        <v/>
      </c>
      <c r="AE262" s="163" t="str">
        <f t="shared" si="45"/>
        <v/>
      </c>
      <c r="AF262" s="163" t="str">
        <f t="shared" si="45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46">IF(B230&lt;100,"",B230-1500)</f>
        <v/>
      </c>
      <c r="C263" s="163" t="str">
        <f t="shared" si="46"/>
        <v/>
      </c>
      <c r="D263" s="163" t="str">
        <f t="shared" si="46"/>
        <v/>
      </c>
      <c r="E263" s="163" t="str">
        <f t="shared" si="46"/>
        <v/>
      </c>
      <c r="F263" s="163" t="str">
        <f t="shared" si="46"/>
        <v/>
      </c>
      <c r="G263" s="163" t="str">
        <f t="shared" si="46"/>
        <v/>
      </c>
      <c r="H263" s="163" t="str">
        <f t="shared" si="46"/>
        <v/>
      </c>
      <c r="I263" s="163" t="str">
        <f t="shared" si="46"/>
        <v/>
      </c>
      <c r="J263" s="163" t="str">
        <f t="shared" si="46"/>
        <v/>
      </c>
      <c r="K263" s="163" t="str">
        <f t="shared" si="46"/>
        <v/>
      </c>
      <c r="L263" s="163" t="str">
        <f t="shared" si="46"/>
        <v/>
      </c>
      <c r="M263" s="163" t="str">
        <f t="shared" si="46"/>
        <v/>
      </c>
      <c r="N263" s="163" t="str">
        <f t="shared" si="46"/>
        <v/>
      </c>
      <c r="O263" s="163" t="str">
        <f t="shared" si="46"/>
        <v/>
      </c>
      <c r="P263" s="163" t="str">
        <f t="shared" si="46"/>
        <v/>
      </c>
      <c r="Q263" s="163" t="str">
        <f t="shared" si="46"/>
        <v/>
      </c>
      <c r="R263" s="163" t="str">
        <f t="shared" si="46"/>
        <v/>
      </c>
      <c r="S263" s="163" t="str">
        <f t="shared" si="46"/>
        <v/>
      </c>
      <c r="T263" s="163" t="str">
        <f t="shared" si="46"/>
        <v/>
      </c>
      <c r="U263" s="163" t="str">
        <f t="shared" si="46"/>
        <v/>
      </c>
      <c r="V263" s="163" t="str">
        <f t="shared" si="46"/>
        <v/>
      </c>
      <c r="W263" s="163" t="str">
        <f t="shared" si="46"/>
        <v/>
      </c>
      <c r="X263" s="163" t="str">
        <f t="shared" si="46"/>
        <v/>
      </c>
      <c r="Y263" s="163" t="str">
        <f t="shared" si="46"/>
        <v/>
      </c>
      <c r="Z263" s="163" t="str">
        <f t="shared" si="46"/>
        <v/>
      </c>
      <c r="AA263" s="163" t="str">
        <f t="shared" si="46"/>
        <v/>
      </c>
      <c r="AB263" s="163" t="str">
        <f t="shared" si="46"/>
        <v/>
      </c>
      <c r="AC263" s="163" t="str">
        <f t="shared" si="46"/>
        <v/>
      </c>
      <c r="AD263" s="163" t="str">
        <f t="shared" si="46"/>
        <v/>
      </c>
      <c r="AE263" s="163" t="str">
        <f t="shared" si="46"/>
        <v/>
      </c>
      <c r="AF263" s="163" t="str">
        <f t="shared" si="46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6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59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M20:W21 X11:AF11 X20:AF23 M16:AF16">
    <cfRule type="expression" dxfId="3526" priority="355">
      <formula>B$9&gt;=20/24</formula>
    </cfRule>
    <cfRule type="expression" dxfId="3525" priority="356">
      <formula>AND(B$9&gt;=14/24,B$9&lt;20/24)</formula>
    </cfRule>
    <cfRule type="expression" dxfId="3524" priority="357">
      <formula>AND(B$9&gt;=8/24,B$9&lt;14/24)</formula>
    </cfRule>
    <cfRule type="expression" dxfId="3523" priority="358">
      <formula>B$9&lt;8/24</formula>
    </cfRule>
  </conditionalFormatting>
  <conditionalFormatting sqref="AL4:AL6">
    <cfRule type="iconSet" priority="354">
      <iconSet iconSet="3TrafficLights2" reverse="1">
        <cfvo type="percent" val="0"/>
        <cfvo type="num" val="1"/>
        <cfvo type="num" val="1"/>
      </iconSet>
    </cfRule>
  </conditionalFormatting>
  <conditionalFormatting sqref="X39:AF39">
    <cfRule type="expression" dxfId="3522" priority="350">
      <formula>X$9&gt;=20/24</formula>
    </cfRule>
    <cfRule type="expression" dxfId="3521" priority="351">
      <formula>AND(X$9&gt;=14/24,X$9&lt;20/24)</formula>
    </cfRule>
    <cfRule type="expression" dxfId="3520" priority="352">
      <formula>AND(X$9&gt;=8/24,X$9&lt;14/24)</formula>
    </cfRule>
    <cfRule type="expression" dxfId="3519" priority="353">
      <formula>X$9&lt;8/24</formula>
    </cfRule>
  </conditionalFormatting>
  <conditionalFormatting sqref="AG57 M20:W21 M12:W16 X39:AF39 X37:AF37 X20:AF23 M18:AF18 X11:AF16">
    <cfRule type="expression" dxfId="3518" priority="349">
      <formula>M11&gt;$AG11</formula>
    </cfRule>
  </conditionalFormatting>
  <conditionalFormatting sqref="A91:A101 A11:A14 A51:A78 A87:A89 A194:A224 A38:A49 A110:A181 A34:A35 A83:A85 A80:A81 A103:A105 A31:A32 A18:A29 A16">
    <cfRule type="expression" dxfId="3517" priority="348">
      <formula>$AH11=0</formula>
    </cfRule>
  </conditionalFormatting>
  <conditionalFormatting sqref="A106">
    <cfRule type="expression" dxfId="3516" priority="347">
      <formula>$AH106=0</formula>
    </cfRule>
  </conditionalFormatting>
  <conditionalFormatting sqref="AL35">
    <cfRule type="iconSet" priority="346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515" priority="345">
      <formula>$AH37=0</formula>
    </cfRule>
  </conditionalFormatting>
  <conditionalFormatting sqref="A90">
    <cfRule type="expression" dxfId="3514" priority="344">
      <formula>$AH90=0</formula>
    </cfRule>
  </conditionalFormatting>
  <conditionalFormatting sqref="A15">
    <cfRule type="expression" dxfId="3513" priority="343">
      <formula>$AH15=0</formula>
    </cfRule>
  </conditionalFormatting>
  <conditionalFormatting sqref="A188:A193">
    <cfRule type="expression" dxfId="3512" priority="342">
      <formula>$AH188=0</formula>
    </cfRule>
  </conditionalFormatting>
  <conditionalFormatting sqref="A182:A187">
    <cfRule type="expression" dxfId="3511" priority="341">
      <formula>$AH182=0</formula>
    </cfRule>
  </conditionalFormatting>
  <conditionalFormatting sqref="A50">
    <cfRule type="expression" dxfId="3510" priority="340">
      <formula>$AH50=0</formula>
    </cfRule>
  </conditionalFormatting>
  <conditionalFormatting sqref="A86">
    <cfRule type="expression" dxfId="3509" priority="339">
      <formula>$AH86=0</formula>
    </cfRule>
  </conditionalFormatting>
  <conditionalFormatting sqref="C91:AF91">
    <cfRule type="expression" dxfId="3508" priority="335">
      <formula>C$9&gt;=20/24</formula>
    </cfRule>
    <cfRule type="expression" dxfId="3507" priority="336">
      <formula>AND(C$9&gt;=14/24,C$9&lt;20/24)</formula>
    </cfRule>
    <cfRule type="expression" dxfId="3506" priority="337">
      <formula>AND(C$9&gt;=8/24,C$9&lt;14/24)</formula>
    </cfRule>
    <cfRule type="expression" dxfId="3505" priority="338">
      <formula>C$9&lt;8/24</formula>
    </cfRule>
  </conditionalFormatting>
  <conditionalFormatting sqref="AL36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504" priority="361">
      <formula>C$9&gt;=20/24</formula>
    </cfRule>
    <cfRule type="expression" dxfId="3503" priority="362">
      <formula>AND(C$9&gt;=14/24,C$9&lt;20/24)</formula>
    </cfRule>
    <cfRule type="expression" dxfId="3502" priority="363">
      <formula>AND(C$9&gt;=8/24,C$9&lt;14/24)</formula>
    </cfRule>
    <cfRule type="expression" dxfId="3501" priority="364">
      <formula>C$9&lt;8/24</formula>
    </cfRule>
  </conditionalFormatting>
  <conditionalFormatting sqref="A225">
    <cfRule type="expression" dxfId="3500" priority="365">
      <formula>$AH225=0</formula>
    </cfRule>
  </conditionalFormatting>
  <conditionalFormatting sqref="AG237">
    <cfRule type="expression" dxfId="3499" priority="366">
      <formula>B$9&gt;=20/24</formula>
    </cfRule>
    <cfRule type="expression" dxfId="3498" priority="367">
      <formula>AND(B$9&gt;=14/24,B$9&lt;20/24)</formula>
    </cfRule>
    <cfRule type="expression" dxfId="3497" priority="368">
      <formula>AND(B$9&gt;=8/24,B$9&lt;14/24)</formula>
    </cfRule>
    <cfRule type="expression" dxfId="3496" priority="369">
      <formula>B$9&lt;8/24</formula>
    </cfRule>
  </conditionalFormatting>
  <conditionalFormatting sqref="S8">
    <cfRule type="expression" dxfId="3495" priority="330">
      <formula>U$9&gt;=20/24</formula>
    </cfRule>
    <cfRule type="expression" dxfId="3494" priority="331">
      <formula>AND(U$9&gt;=14/24,U$9&lt;20/24)</formula>
    </cfRule>
    <cfRule type="expression" dxfId="3493" priority="332">
      <formula>AND(U$9&gt;=8/24,U$9&lt;14/24)</formula>
    </cfRule>
    <cfRule type="expression" dxfId="3492" priority="333">
      <formula>U$9&lt;8/24</formula>
    </cfRule>
  </conditionalFormatting>
  <conditionalFormatting sqref="AB8">
    <cfRule type="expression" dxfId="3491" priority="326">
      <formula>AD$9&gt;=20/24</formula>
    </cfRule>
    <cfRule type="expression" dxfId="3490" priority="327">
      <formula>AND(AD$9&gt;=14/24,AD$9&lt;20/24)</formula>
    </cfRule>
    <cfRule type="expression" dxfId="3489" priority="328">
      <formula>AND(AD$9&gt;=8/24,AD$9&lt;14/24)</formula>
    </cfRule>
    <cfRule type="expression" dxfId="3488" priority="329">
      <formula>AD$9&lt;8/24</formula>
    </cfRule>
  </conditionalFormatting>
  <conditionalFormatting sqref="AH237:AX237">
    <cfRule type="expression" dxfId="3487" priority="370">
      <formula>AG$9&gt;=20/24</formula>
    </cfRule>
    <cfRule type="expression" dxfId="3486" priority="371">
      <formula>AND(AG$9&gt;=14/24,AG$9&lt;20/24)</formula>
    </cfRule>
    <cfRule type="expression" dxfId="3485" priority="372">
      <formula>AND(AG$9&gt;=8/24,AG$9&lt;14/24)</formula>
    </cfRule>
    <cfRule type="expression" dxfId="3484" priority="373">
      <formula>AG$9&lt;8/24</formula>
    </cfRule>
  </conditionalFormatting>
  <conditionalFormatting sqref="T237">
    <cfRule type="expression" dxfId="3483" priority="374">
      <formula>AX$9&gt;=20/24</formula>
    </cfRule>
    <cfRule type="expression" dxfId="3482" priority="375">
      <formula>AND(AX$9&gt;=14/24,AX$9&lt;20/24)</formula>
    </cfRule>
    <cfRule type="expression" dxfId="3481" priority="376">
      <formula>AND(AX$9&gt;=8/24,AX$9&lt;14/24)</formula>
    </cfRule>
    <cfRule type="expression" dxfId="3480" priority="377">
      <formula>AX$9&lt;8/24</formula>
    </cfRule>
  </conditionalFormatting>
  <conditionalFormatting sqref="A107:A108">
    <cfRule type="expression" dxfId="3479" priority="325">
      <formula>$AH107=0</formula>
    </cfRule>
  </conditionalFormatting>
  <conditionalFormatting sqref="E46:AF47 S63:AF63">
    <cfRule type="expression" dxfId="3478" priority="321">
      <formula>E$9&gt;=20/24</formula>
    </cfRule>
    <cfRule type="expression" dxfId="3477" priority="322">
      <formula>AND(E$9&gt;=14/24,E$9&lt;20/24)</formula>
    </cfRule>
    <cfRule type="expression" dxfId="3476" priority="323">
      <formula>AND(E$9&gt;=8/24,E$9&lt;14/24)</formula>
    </cfRule>
    <cfRule type="expression" dxfId="3475" priority="324">
      <formula>E$9&lt;8/24</formula>
    </cfRule>
  </conditionalFormatting>
  <conditionalFormatting sqref="E45:AF45">
    <cfRule type="expression" dxfId="3474" priority="317">
      <formula>E$9&gt;=20/24</formula>
    </cfRule>
    <cfRule type="expression" dxfId="3473" priority="318">
      <formula>AND(E$9&gt;=14/24,E$9&lt;20/24)</formula>
    </cfRule>
    <cfRule type="expression" dxfId="3472" priority="319">
      <formula>AND(E$9&gt;=8/24,E$9&lt;14/24)</formula>
    </cfRule>
    <cfRule type="expression" dxfId="3471" priority="320">
      <formula>E$9&lt;8/24</formula>
    </cfRule>
  </conditionalFormatting>
  <conditionalFormatting sqref="E45:AF47">
    <cfRule type="expression" dxfId="3470" priority="316">
      <formula>E45&gt;$AG45</formula>
    </cfRule>
  </conditionalFormatting>
  <conditionalFormatting sqref="C88:AF88 M65:S65 S64 M39:W39 T64:W65 D92:AF98 X12:AF14 X25:AF27 X29:AF29 X18:AF18 X31:AF34 X64:AF73 C75:AF78 S59:AF61">
    <cfRule type="expression" dxfId="3469" priority="312">
      <formula>C$9&gt;=20/24</formula>
    </cfRule>
    <cfRule type="expression" dxfId="3468" priority="313">
      <formula>AND(C$9&gt;=14/24,C$9&lt;20/24)</formula>
    </cfRule>
    <cfRule type="expression" dxfId="3467" priority="314">
      <formula>AND(C$9&gt;=8/24,C$9&lt;14/24)</formula>
    </cfRule>
    <cfRule type="expression" dxfId="3466" priority="315">
      <formula>C$9&lt;8/24</formula>
    </cfRule>
  </conditionalFormatting>
  <conditionalFormatting sqref="X35:AF35">
    <cfRule type="expression" dxfId="3465" priority="308">
      <formula>X$9&gt;=20/24</formula>
    </cfRule>
    <cfRule type="expression" dxfId="3464" priority="309">
      <formula>AND(X$9&gt;=14/24,X$9&lt;20/24)</formula>
    </cfRule>
    <cfRule type="expression" dxfId="3463" priority="310">
      <formula>AND(X$9&gt;=8/24,X$9&lt;14/24)</formula>
    </cfRule>
    <cfRule type="expression" dxfId="3462" priority="311">
      <formula>X$9&lt;8/24</formula>
    </cfRule>
  </conditionalFormatting>
  <conditionalFormatting sqref="C57:AF57 M39:W39 X25:AF29 X31:AF35 G48:AF48 S59:AF61">
    <cfRule type="expression" dxfId="3461" priority="307">
      <formula>C25&gt;$AG25</formula>
    </cfRule>
  </conditionalFormatting>
  <conditionalFormatting sqref="X37:AF37">
    <cfRule type="expression" dxfId="3460" priority="303">
      <formula>X$9&gt;=20/24</formula>
    </cfRule>
    <cfRule type="expression" dxfId="3459" priority="304">
      <formula>AND(X$9&gt;=14/24,X$9&lt;20/24)</formula>
    </cfRule>
    <cfRule type="expression" dxfId="3458" priority="305">
      <formula>AND(X$9&gt;=8/24,X$9&lt;14/24)</formula>
    </cfRule>
    <cfRule type="expression" dxfId="3457" priority="306">
      <formula>X$9&lt;8/24</formula>
    </cfRule>
  </conditionalFormatting>
  <conditionalFormatting sqref="X15:AF15">
    <cfRule type="expression" dxfId="3456" priority="299">
      <formula>X$9&gt;=20/24</formula>
    </cfRule>
    <cfRule type="expression" dxfId="3455" priority="300">
      <formula>AND(X$9&gt;=14/24,X$9&lt;20/24)</formula>
    </cfRule>
    <cfRule type="expression" dxfId="3454" priority="301">
      <formula>AND(X$9&gt;=8/24,X$9&lt;14/24)</formula>
    </cfRule>
    <cfRule type="expression" dxfId="3453" priority="302">
      <formula>X$9&lt;8/24</formula>
    </cfRule>
  </conditionalFormatting>
  <conditionalFormatting sqref="X36:AF36">
    <cfRule type="expression" dxfId="3452" priority="295">
      <formula>X$9&gt;=20/24</formula>
    </cfRule>
    <cfRule type="expression" dxfId="3451" priority="296">
      <formula>AND(X$9&gt;=14/24,X$9&lt;20/24)</formula>
    </cfRule>
    <cfRule type="expression" dxfId="3450" priority="297">
      <formula>AND(X$9&gt;=8/24,X$9&lt;14/24)</formula>
    </cfRule>
    <cfRule type="expression" dxfId="3449" priority="298">
      <formula>X$9&lt;8/24</formula>
    </cfRule>
  </conditionalFormatting>
  <conditionalFormatting sqref="X36:AF36">
    <cfRule type="expression" dxfId="3448" priority="294">
      <formula>X36&gt;$AG36</formula>
    </cfRule>
  </conditionalFormatting>
  <conditionalFormatting sqref="X28:AF28">
    <cfRule type="expression" dxfId="3447" priority="280">
      <formula>X$9&gt;=20/24</formula>
    </cfRule>
    <cfRule type="expression" dxfId="3446" priority="281">
      <formula>AND(X$9&gt;=14/24,X$9&lt;20/24)</formula>
    </cfRule>
    <cfRule type="expression" dxfId="3445" priority="282">
      <formula>AND(X$9&gt;=8/24,X$9&lt;14/24)</formula>
    </cfRule>
    <cfRule type="expression" dxfId="3444" priority="283">
      <formula>X$9&lt;8/24</formula>
    </cfRule>
  </conditionalFormatting>
  <conditionalFormatting sqref="X19:AF19 X24:AF24">
    <cfRule type="expression" dxfId="3443" priority="276">
      <formula>X$9&gt;=20/24</formula>
    </cfRule>
    <cfRule type="expression" dxfId="3442" priority="277">
      <formula>AND(X$9&gt;=14/24,X$9&lt;20/24)</formula>
    </cfRule>
    <cfRule type="expression" dxfId="3441" priority="278">
      <formula>AND(X$9&gt;=8/24,X$9&lt;14/24)</formula>
    </cfRule>
    <cfRule type="expression" dxfId="3440" priority="279">
      <formula>X$9&lt;8/24</formula>
    </cfRule>
  </conditionalFormatting>
  <conditionalFormatting sqref="X19:AF19 X24:AF24">
    <cfRule type="expression" dxfId="3439" priority="275">
      <formula>X19&gt;$AG19</formula>
    </cfRule>
  </conditionalFormatting>
  <conditionalFormatting sqref="D45">
    <cfRule type="expression" dxfId="3438" priority="271">
      <formula>D$9&gt;=20/24</formula>
    </cfRule>
    <cfRule type="expression" dxfId="3437" priority="272">
      <formula>AND(D$9&gt;=14/24,D$9&lt;20/24)</formula>
    </cfRule>
    <cfRule type="expression" dxfId="3436" priority="273">
      <formula>AND(D$9&gt;=8/24,D$9&lt;14/24)</formula>
    </cfRule>
    <cfRule type="expression" dxfId="3435" priority="274">
      <formula>D$9&lt;8/24</formula>
    </cfRule>
  </conditionalFormatting>
  <conditionalFormatting sqref="D45">
    <cfRule type="expression" dxfId="3434" priority="270">
      <formula>D45&gt;$AG45</formula>
    </cfRule>
  </conditionalFormatting>
  <conditionalFormatting sqref="C80:AF80 C89:AF89 M11:W11">
    <cfRule type="expression" dxfId="3433" priority="257">
      <formula>C$9&gt;=20/24</formula>
    </cfRule>
    <cfRule type="expression" dxfId="3432" priority="258">
      <formula>AND(C$9&gt;=14/24,C$9&lt;20/24)</formula>
    </cfRule>
    <cfRule type="expression" dxfId="3431" priority="259">
      <formula>AND(C$9&gt;=8/24,C$9&lt;14/24)</formula>
    </cfRule>
    <cfRule type="expression" dxfId="3430" priority="260">
      <formula>C$9&lt;8/24</formula>
    </cfRule>
  </conditionalFormatting>
  <conditionalFormatting sqref="C39:L39">
    <cfRule type="expression" dxfId="3429" priority="253">
      <formula>C$9&gt;=20/24</formula>
    </cfRule>
    <cfRule type="expression" dxfId="3428" priority="254">
      <formula>AND(C$9&gt;=14/24,C$9&lt;20/24)</formula>
    </cfRule>
    <cfRule type="expression" dxfId="3427" priority="255">
      <formula>AND(C$9&gt;=8/24,C$9&lt;14/24)</formula>
    </cfRule>
    <cfRule type="expression" dxfId="3426" priority="256">
      <formula>C$9&lt;8/24</formula>
    </cfRule>
  </conditionalFormatting>
  <conditionalFormatting sqref="C39:L39 M11:W11">
    <cfRule type="expression" dxfId="3425" priority="252">
      <formula>C11&gt;$AG11</formula>
    </cfRule>
  </conditionalFormatting>
  <conditionalFormatting sqref="C46:D47 C63:R63 C38:AF38">
    <cfRule type="expression" dxfId="3424" priority="244">
      <formula>C$9&gt;=20/24</formula>
    </cfRule>
    <cfRule type="expression" dxfId="3423" priority="245">
      <formula>AND(C$9&gt;=14/24,C$9&lt;20/24)</formula>
    </cfRule>
    <cfRule type="expression" dxfId="3422" priority="246">
      <formula>AND(C$9&gt;=8/24,C$9&lt;14/24)</formula>
    </cfRule>
    <cfRule type="expression" dxfId="3421" priority="247">
      <formula>C$9&lt;8/24</formula>
    </cfRule>
  </conditionalFormatting>
  <conditionalFormatting sqref="C45">
    <cfRule type="expression" dxfId="3420" priority="240">
      <formula>C$9&gt;=20/24</formula>
    </cfRule>
    <cfRule type="expression" dxfId="3419" priority="241">
      <formula>AND(C$9&gt;=14/24,C$9&lt;20/24)</formula>
    </cfRule>
    <cfRule type="expression" dxfId="3418" priority="242">
      <formula>AND(C$9&gt;=8/24,C$9&lt;14/24)</formula>
    </cfRule>
    <cfRule type="expression" dxfId="3417" priority="243">
      <formula>C$9&lt;8/24</formula>
    </cfRule>
  </conditionalFormatting>
  <conditionalFormatting sqref="C45:C47 D46:D47 C38:AF38">
    <cfRule type="expression" dxfId="3416" priority="239">
      <formula>C38&gt;$AG38</formula>
    </cfRule>
  </conditionalFormatting>
  <conditionalFormatting sqref="C81:AF81 C62:AG62 C79:AG79 C90:AF90 C92:C98 R59:R61 C64:L73 M64:R64 M12:W14 M18:W18 M66:W73">
    <cfRule type="expression" dxfId="3415" priority="235">
      <formula>C$9&gt;=20/24</formula>
    </cfRule>
    <cfRule type="expression" dxfId="3414" priority="236">
      <formula>AND(C$9&gt;=14/24,C$9&lt;20/24)</formula>
    </cfRule>
    <cfRule type="expression" dxfId="3413" priority="237">
      <formula>AND(C$9&gt;=8/24,C$9&lt;14/24)</formula>
    </cfRule>
    <cfRule type="expression" dxfId="3412" priority="238">
      <formula>C$9&lt;8/24</formula>
    </cfRule>
  </conditionalFormatting>
  <conditionalFormatting sqref="C40:AG40 C58:AG58 C62:AG62 R59:R61 C48:F48 C49:AF49">
    <cfRule type="expression" dxfId="3411" priority="230">
      <formula>C40&gt;$AG40</formula>
    </cfRule>
  </conditionalFormatting>
  <conditionalFormatting sqref="M15:W15">
    <cfRule type="expression" dxfId="3410" priority="222">
      <formula>M$9&gt;=20/24</formula>
    </cfRule>
    <cfRule type="expression" dxfId="3409" priority="223">
      <formula>AND(M$9&gt;=14/24,M$9&lt;20/24)</formula>
    </cfRule>
    <cfRule type="expression" dxfId="3408" priority="224">
      <formula>AND(M$9&gt;=8/24,M$9&lt;14/24)</formula>
    </cfRule>
    <cfRule type="expression" dxfId="3407" priority="225">
      <formula>M$9&lt;8/24</formula>
    </cfRule>
  </conditionalFormatting>
  <conditionalFormatting sqref="C50:AF56">
    <cfRule type="expression" dxfId="3406" priority="213">
      <formula>C$9&gt;=20/24</formula>
    </cfRule>
    <cfRule type="expression" dxfId="3405" priority="214">
      <formula>AND(C$9&gt;=14/24,C$9&lt;20/24)</formula>
    </cfRule>
    <cfRule type="expression" dxfId="3404" priority="215">
      <formula>AND(C$9&gt;=8/24,C$9&lt;14/24)</formula>
    </cfRule>
    <cfRule type="expression" dxfId="3403" priority="216">
      <formula>C$9&lt;8/24</formula>
    </cfRule>
  </conditionalFormatting>
  <conditionalFormatting sqref="C50:AF56">
    <cfRule type="expression" dxfId="3402" priority="212">
      <formula>C50&gt;$AG50</formula>
    </cfRule>
  </conditionalFormatting>
  <conditionalFormatting sqref="M19:W19">
    <cfRule type="expression" dxfId="3401" priority="204">
      <formula>M$9&gt;=20/24</formula>
    </cfRule>
    <cfRule type="expression" dxfId="3400" priority="205">
      <formula>AND(M$9&gt;=14/24,M$9&lt;20/24)</formula>
    </cfRule>
    <cfRule type="expression" dxfId="3399" priority="206">
      <formula>AND(M$9&gt;=8/24,M$9&lt;14/24)</formula>
    </cfRule>
    <cfRule type="expression" dxfId="3398" priority="207">
      <formula>M$9&lt;8/24</formula>
    </cfRule>
  </conditionalFormatting>
  <conditionalFormatting sqref="M19:W19">
    <cfRule type="expression" dxfId="3397" priority="203">
      <formula>M19&gt;$AG19</formula>
    </cfRule>
  </conditionalFormatting>
  <conditionalFormatting sqref="A36">
    <cfRule type="expression" dxfId="3396" priority="202">
      <formula>$AH36=0</formula>
    </cfRule>
  </conditionalFormatting>
  <conditionalFormatting sqref="C74:AF74">
    <cfRule type="expression" dxfId="3395" priority="198">
      <formula>C$9&gt;=20/24</formula>
    </cfRule>
    <cfRule type="expression" dxfId="3394" priority="199">
      <formula>AND(C$9&gt;=14/24,C$9&lt;20/24)</formula>
    </cfRule>
    <cfRule type="expression" dxfId="3393" priority="200">
      <formula>AND(C$9&gt;=8/24,C$9&lt;14/24)</formula>
    </cfRule>
    <cfRule type="expression" dxfId="3392" priority="201">
      <formula>C$9&lt;8/24</formula>
    </cfRule>
  </conditionalFormatting>
  <conditionalFormatting sqref="C83:AF87">
    <cfRule type="expression" dxfId="3391" priority="194">
      <formula>C$9&gt;=20/24</formula>
    </cfRule>
    <cfRule type="expression" dxfId="3390" priority="195">
      <formula>AND(C$9&gt;=14/24,C$9&lt;20/24)</formula>
    </cfRule>
    <cfRule type="expression" dxfId="3389" priority="196">
      <formula>AND(C$9&gt;=8/24,C$9&lt;14/24)</formula>
    </cfRule>
    <cfRule type="expression" dxfId="3388" priority="197">
      <formula>C$9&lt;8/24</formula>
    </cfRule>
  </conditionalFormatting>
  <conditionalFormatting sqref="AL37 AL34 AL18:AL29 AL7:AL16 AL31:AL32">
    <cfRule type="iconSet" priority="378">
      <iconSet iconSet="3TrafficLights2" reverse="1">
        <cfvo type="percent" val="0"/>
        <cfvo type="num" val="1"/>
        <cfvo type="num" val="1"/>
      </iconSet>
    </cfRule>
  </conditionalFormatting>
  <conditionalFormatting sqref="C41:AF43">
    <cfRule type="expression" dxfId="3387" priority="190">
      <formula>C$9&gt;=20/24</formula>
    </cfRule>
    <cfRule type="expression" dxfId="3386" priority="191">
      <formula>AND(C$9&gt;=14/24,C$9&lt;20/24)</formula>
    </cfRule>
    <cfRule type="expression" dxfId="3385" priority="192">
      <formula>AND(C$9&gt;=8/24,C$9&lt;14/24)</formula>
    </cfRule>
    <cfRule type="expression" dxfId="3384" priority="193">
      <formula>C$9&lt;8/24</formula>
    </cfRule>
  </conditionalFormatting>
  <conditionalFormatting sqref="C41:AF43">
    <cfRule type="expression" dxfId="3383" priority="189">
      <formula>C41&gt;$AG41</formula>
    </cfRule>
  </conditionalFormatting>
  <conditionalFormatting sqref="C44:AG44">
    <cfRule type="expression" dxfId="3382" priority="185">
      <formula>C$9&gt;=20/24</formula>
    </cfRule>
    <cfRule type="expression" dxfId="3381" priority="186">
      <formula>AND(C$9&gt;=14/24,C$9&lt;20/24)</formula>
    </cfRule>
    <cfRule type="expression" dxfId="3380" priority="187">
      <formula>AND(C$9&gt;=8/24,C$9&lt;14/24)</formula>
    </cfRule>
    <cfRule type="expression" dxfId="3379" priority="188">
      <formula>C$9&lt;8/24</formula>
    </cfRule>
  </conditionalFormatting>
  <conditionalFormatting sqref="C44:AG44">
    <cfRule type="expression" dxfId="3378" priority="184">
      <formula>C44&gt;$AG44</formula>
    </cfRule>
  </conditionalFormatting>
  <conditionalFormatting sqref="C99:AF99">
    <cfRule type="expression" dxfId="3377" priority="180">
      <formula>C$9&gt;=20/24</formula>
    </cfRule>
    <cfRule type="expression" dxfId="3376" priority="181">
      <formula>AND(C$9&gt;=14/24,C$9&lt;20/24)</formula>
    </cfRule>
    <cfRule type="expression" dxfId="3375" priority="182">
      <formula>AND(C$9&gt;=8/24,C$9&lt;14/24)</formula>
    </cfRule>
    <cfRule type="expression" dxfId="3374" priority="183">
      <formula>C$9&lt;8/24</formula>
    </cfRule>
  </conditionalFormatting>
  <conditionalFormatting sqref="AL33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3373" priority="170">
      <formula>$AH33=0</formula>
    </cfRule>
  </conditionalFormatting>
  <conditionalFormatting sqref="A82">
    <cfRule type="expression" dxfId="3372" priority="168">
      <formula>$AH82=0</formula>
    </cfRule>
  </conditionalFormatting>
  <conditionalFormatting sqref="A79">
    <cfRule type="expression" dxfId="3371" priority="169">
      <formula>$AH79=0</formula>
    </cfRule>
  </conditionalFormatting>
  <conditionalFormatting sqref="A109">
    <cfRule type="expression" dxfId="3370" priority="159">
      <formula>$AH109=0</formula>
    </cfRule>
  </conditionalFormatting>
  <conditionalFormatting sqref="C102:AF102">
    <cfRule type="expression" dxfId="3369" priority="155">
      <formula>C$9&gt;=20/24</formula>
    </cfRule>
    <cfRule type="expression" dxfId="3368" priority="156">
      <formula>AND(C$9&gt;=14/24,C$9&lt;20/24)</formula>
    </cfRule>
    <cfRule type="expression" dxfId="3367" priority="157">
      <formula>AND(C$9&gt;=8/24,C$9&lt;14/24)</formula>
    </cfRule>
    <cfRule type="expression" dxfId="3366" priority="158">
      <formula>C$9&lt;8/24</formula>
    </cfRule>
  </conditionalFormatting>
  <conditionalFormatting sqref="A102">
    <cfRule type="expression" dxfId="3365" priority="154">
      <formula>$AH102=0</formula>
    </cfRule>
  </conditionalFormatting>
  <conditionalFormatting sqref="M17:AF17">
    <cfRule type="expression" dxfId="3364" priority="143">
      <formula>M17&gt;$AG17</formula>
    </cfRule>
  </conditionalFormatting>
  <conditionalFormatting sqref="A17">
    <cfRule type="expression" dxfId="3363" priority="142">
      <formula>$AH17=0</formula>
    </cfRule>
  </conditionalFormatting>
  <conditionalFormatting sqref="X17:AF17">
    <cfRule type="expression" dxfId="3362" priority="138">
      <formula>X$9&gt;=20/24</formula>
    </cfRule>
    <cfRule type="expression" dxfId="3361" priority="139">
      <formula>AND(X$9&gt;=14/24,X$9&lt;20/24)</formula>
    </cfRule>
    <cfRule type="expression" dxfId="3360" priority="140">
      <formula>AND(X$9&gt;=8/24,X$9&lt;14/24)</formula>
    </cfRule>
    <cfRule type="expression" dxfId="3359" priority="141">
      <formula>X$9&lt;8/24</formula>
    </cfRule>
  </conditionalFormatting>
  <conditionalFormatting sqref="M17:W17">
    <cfRule type="expression" dxfId="3358" priority="134">
      <formula>M$9&gt;=20/24</formula>
    </cfRule>
    <cfRule type="expression" dxfId="3357" priority="135">
      <formula>AND(M$9&gt;=14/24,M$9&lt;20/24)</formula>
    </cfRule>
    <cfRule type="expression" dxfId="3356" priority="136">
      <formula>AND(M$9&gt;=8/24,M$9&lt;14/24)</formula>
    </cfRule>
    <cfRule type="expression" dxfId="3355" priority="137">
      <formula>M$9&lt;8/24</formula>
    </cfRule>
  </conditionalFormatting>
  <conditionalFormatting sqref="AL17">
    <cfRule type="iconSet" priority="144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3354" priority="132">
      <formula>$AH30=0</formula>
    </cfRule>
  </conditionalFormatting>
  <conditionalFormatting sqref="X30:AF30">
    <cfRule type="expression" dxfId="3353" priority="128">
      <formula>X$9&gt;=20/24</formula>
    </cfRule>
    <cfRule type="expression" dxfId="3352" priority="129">
      <formula>AND(X$9&gt;=14/24,X$9&lt;20/24)</formula>
    </cfRule>
    <cfRule type="expression" dxfId="3351" priority="130">
      <formula>AND(X$9&gt;=8/24,X$9&lt;14/24)</formula>
    </cfRule>
    <cfRule type="expression" dxfId="3350" priority="131">
      <formula>X$9&lt;8/24</formula>
    </cfRule>
  </conditionalFormatting>
  <conditionalFormatting sqref="X30:AF30">
    <cfRule type="expression" dxfId="3349" priority="127">
      <formula>X30&gt;$AG30</formula>
    </cfRule>
  </conditionalFormatting>
  <conditionalFormatting sqref="AL30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B101 B103:B108 B20:L23 B16:L16 B11:L11 M22:W23">
    <cfRule type="expression" dxfId="3348" priority="113">
      <formula>B$9&gt;=20/24</formula>
    </cfRule>
    <cfRule type="expression" dxfId="3347" priority="114">
      <formula>AND(B$9&gt;=14/24,B$9&lt;20/24)</formula>
    </cfRule>
    <cfRule type="expression" dxfId="3346" priority="115">
      <formula>AND(B$9&gt;=8/24,B$9&lt;14/24)</formula>
    </cfRule>
    <cfRule type="expression" dxfId="3345" priority="116">
      <formula>B$9&lt;8/24</formula>
    </cfRule>
  </conditionalFormatting>
  <conditionalFormatting sqref="B39">
    <cfRule type="expression" dxfId="3344" priority="109">
      <formula>B$9&gt;=20/24</formula>
    </cfRule>
    <cfRule type="expression" dxfId="3343" priority="110">
      <formula>AND(B$9&gt;=14/24,B$9&lt;20/24)</formula>
    </cfRule>
    <cfRule type="expression" dxfId="3342" priority="111">
      <formula>AND(B$9&gt;=8/24,B$9&lt;14/24)</formula>
    </cfRule>
    <cfRule type="expression" dxfId="3341" priority="112">
      <formula>B$9&lt;8/24</formula>
    </cfRule>
  </conditionalFormatting>
  <conditionalFormatting sqref="B39 B18:L18 B20:L23 B11:L16 M22:W23 B37:W37">
    <cfRule type="expression" dxfId="3340" priority="108">
      <formula>B11&gt;$AG11</formula>
    </cfRule>
  </conditionalFormatting>
  <conditionalFormatting sqref="B91">
    <cfRule type="expression" dxfId="3339" priority="104">
      <formula>B$9&gt;=20/24</formula>
    </cfRule>
    <cfRule type="expression" dxfId="3338" priority="105">
      <formula>AND(B$9&gt;=14/24,B$9&lt;20/24)</formula>
    </cfRule>
    <cfRule type="expression" dxfId="3337" priority="106">
      <formula>AND(B$9&gt;=8/24,B$9&lt;14/24)</formula>
    </cfRule>
    <cfRule type="expression" dxfId="3336" priority="107">
      <formula>B$9&lt;8/24</formula>
    </cfRule>
  </conditionalFormatting>
  <conditionalFormatting sqref="B46:B47 B63">
    <cfRule type="expression" dxfId="3335" priority="100">
      <formula>B$9&gt;=20/24</formula>
    </cfRule>
    <cfRule type="expression" dxfId="3334" priority="101">
      <formula>AND(B$9&gt;=14/24,B$9&lt;20/24)</formula>
    </cfRule>
    <cfRule type="expression" dxfId="3333" priority="102">
      <formula>AND(B$9&gt;=8/24,B$9&lt;14/24)</formula>
    </cfRule>
    <cfRule type="expression" dxfId="3332" priority="103">
      <formula>B$9&lt;8/24</formula>
    </cfRule>
  </conditionalFormatting>
  <conditionalFormatting sqref="B45">
    <cfRule type="expression" dxfId="3331" priority="96">
      <formula>B$9&gt;=20/24</formula>
    </cfRule>
    <cfRule type="expression" dxfId="3330" priority="97">
      <formula>AND(B$9&gt;=14/24,B$9&lt;20/24)</formula>
    </cfRule>
    <cfRule type="expression" dxfId="3329" priority="98">
      <formula>AND(B$9&gt;=8/24,B$9&lt;14/24)</formula>
    </cfRule>
    <cfRule type="expression" dxfId="3328" priority="99">
      <formula>B$9&lt;8/24</formula>
    </cfRule>
  </conditionalFormatting>
  <conditionalFormatting sqref="B45:B47">
    <cfRule type="expression" dxfId="3327" priority="95">
      <formula>B45&gt;$AG45</formula>
    </cfRule>
  </conditionalFormatting>
  <conditionalFormatting sqref="B88 B92:B98 B64:B73 B75:B78 B12:L14 B18:L18 B59:Q61 B25:W27 B29:W29 B31:W34">
    <cfRule type="expression" dxfId="3326" priority="91">
      <formula>B$9&gt;=20/24</formula>
    </cfRule>
    <cfRule type="expression" dxfId="3325" priority="92">
      <formula>AND(B$9&gt;=14/24,B$9&lt;20/24)</formula>
    </cfRule>
    <cfRule type="expression" dxfId="3324" priority="93">
      <formula>AND(B$9&gt;=8/24,B$9&lt;14/24)</formula>
    </cfRule>
    <cfRule type="expression" dxfId="3323" priority="94">
      <formula>B$9&lt;8/24</formula>
    </cfRule>
  </conditionalFormatting>
  <conditionalFormatting sqref="B35:W35">
    <cfRule type="expression" dxfId="3322" priority="87">
      <formula>B$9&gt;=20/24</formula>
    </cfRule>
    <cfRule type="expression" dxfId="3321" priority="88">
      <formula>AND(B$9&gt;=14/24,B$9&lt;20/24)</formula>
    </cfRule>
    <cfRule type="expression" dxfId="3320" priority="89">
      <formula>AND(B$9&gt;=8/24,B$9&lt;14/24)</formula>
    </cfRule>
    <cfRule type="expression" dxfId="3319" priority="90">
      <formula>B$9&lt;8/24</formula>
    </cfRule>
  </conditionalFormatting>
  <conditionalFormatting sqref="B57 B48:B49 B59:Q61 B25:W29 B31:W35">
    <cfRule type="expression" dxfId="3318" priority="86">
      <formula>B25&gt;$AG25</formula>
    </cfRule>
  </conditionalFormatting>
  <conditionalFormatting sqref="B37:W37">
    <cfRule type="expression" dxfId="3317" priority="82">
      <formula>B$9&gt;=20/24</formula>
    </cfRule>
    <cfRule type="expression" dxfId="3316" priority="83">
      <formula>AND(B$9&gt;=14/24,B$9&lt;20/24)</formula>
    </cfRule>
    <cfRule type="expression" dxfId="3315" priority="84">
      <formula>AND(B$9&gt;=8/24,B$9&lt;14/24)</formula>
    </cfRule>
    <cfRule type="expression" dxfId="3314" priority="85">
      <formula>B$9&lt;8/24</formula>
    </cfRule>
  </conditionalFormatting>
  <conditionalFormatting sqref="B15:L15">
    <cfRule type="expression" dxfId="3313" priority="78">
      <formula>B$9&gt;=20/24</formula>
    </cfRule>
    <cfRule type="expression" dxfId="3312" priority="79">
      <formula>AND(B$9&gt;=14/24,B$9&lt;20/24)</formula>
    </cfRule>
    <cfRule type="expression" dxfId="3311" priority="80">
      <formula>AND(B$9&gt;=8/24,B$9&lt;14/24)</formula>
    </cfRule>
    <cfRule type="expression" dxfId="3310" priority="81">
      <formula>B$9&lt;8/24</formula>
    </cfRule>
  </conditionalFormatting>
  <conditionalFormatting sqref="B36:W36">
    <cfRule type="expression" dxfId="3309" priority="74">
      <formula>B$9&gt;=20/24</formula>
    </cfRule>
    <cfRule type="expression" dxfId="3308" priority="75">
      <formula>AND(B$9&gt;=14/24,B$9&lt;20/24)</formula>
    </cfRule>
    <cfRule type="expression" dxfId="3307" priority="76">
      <formula>AND(B$9&gt;=8/24,B$9&lt;14/24)</formula>
    </cfRule>
    <cfRule type="expression" dxfId="3306" priority="77">
      <formula>B$9&lt;8/24</formula>
    </cfRule>
  </conditionalFormatting>
  <conditionalFormatting sqref="B36:W36">
    <cfRule type="expression" dxfId="3305" priority="73">
      <formula>B36&gt;$AG36</formula>
    </cfRule>
  </conditionalFormatting>
  <conditionalFormatting sqref="B50:B56">
    <cfRule type="expression" dxfId="3304" priority="69">
      <formula>B$9&gt;=20/24</formula>
    </cfRule>
    <cfRule type="expression" dxfId="3303" priority="70">
      <formula>AND(B$9&gt;=14/24,B$9&lt;20/24)</formula>
    </cfRule>
    <cfRule type="expression" dxfId="3302" priority="71">
      <formula>AND(B$9&gt;=8/24,B$9&lt;14/24)</formula>
    </cfRule>
    <cfRule type="expression" dxfId="3301" priority="72">
      <formula>B$9&lt;8/24</formula>
    </cfRule>
  </conditionalFormatting>
  <conditionalFormatting sqref="B50:B56">
    <cfRule type="expression" dxfId="3300" priority="68">
      <formula>B50&gt;$AG50</formula>
    </cfRule>
  </conditionalFormatting>
  <conditionalFormatting sqref="B28:W28">
    <cfRule type="expression" dxfId="3299" priority="64">
      <formula>B$9&gt;=20/24</formula>
    </cfRule>
    <cfRule type="expression" dxfId="3298" priority="65">
      <formula>AND(B$9&gt;=14/24,B$9&lt;20/24)</formula>
    </cfRule>
    <cfRule type="expression" dxfId="3297" priority="66">
      <formula>AND(B$9&gt;=8/24,B$9&lt;14/24)</formula>
    </cfRule>
    <cfRule type="expression" dxfId="3296" priority="67">
      <formula>B$9&lt;8/24</formula>
    </cfRule>
  </conditionalFormatting>
  <conditionalFormatting sqref="B19:L19 B24:W24">
    <cfRule type="expression" dxfId="3295" priority="60">
      <formula>B$9&gt;=20/24</formula>
    </cfRule>
    <cfRule type="expression" dxfId="3294" priority="61">
      <formula>AND(B$9&gt;=14/24,B$9&lt;20/24)</formula>
    </cfRule>
    <cfRule type="expression" dxfId="3293" priority="62">
      <formula>AND(B$9&gt;=8/24,B$9&lt;14/24)</formula>
    </cfRule>
    <cfRule type="expression" dxfId="3292" priority="63">
      <formula>B$9&lt;8/24</formula>
    </cfRule>
  </conditionalFormatting>
  <conditionalFormatting sqref="B19:L19 B24:W24">
    <cfRule type="expression" dxfId="3291" priority="59">
      <formula>B19&gt;$AG19</formula>
    </cfRule>
  </conditionalFormatting>
  <conditionalFormatting sqref="B80 B89">
    <cfRule type="expression" dxfId="3290" priority="55">
      <formula>B$9&gt;=20/24</formula>
    </cfRule>
    <cfRule type="expression" dxfId="3289" priority="56">
      <formula>AND(B$9&gt;=14/24,B$9&lt;20/24)</formula>
    </cfRule>
    <cfRule type="expression" dxfId="3288" priority="57">
      <formula>AND(B$9&gt;=8/24,B$9&lt;14/24)</formula>
    </cfRule>
    <cfRule type="expression" dxfId="3287" priority="58">
      <formula>B$9&lt;8/24</formula>
    </cfRule>
  </conditionalFormatting>
  <conditionalFormatting sqref="B38">
    <cfRule type="expression" dxfId="3286" priority="51">
      <formula>B$9&gt;=20/24</formula>
    </cfRule>
    <cfRule type="expression" dxfId="3285" priority="52">
      <formula>AND(B$9&gt;=14/24,B$9&lt;20/24)</formula>
    </cfRule>
    <cfRule type="expression" dxfId="3284" priority="53">
      <formula>AND(B$9&gt;=8/24,B$9&lt;14/24)</formula>
    </cfRule>
    <cfRule type="expression" dxfId="3283" priority="54">
      <formula>B$9&lt;8/24</formula>
    </cfRule>
  </conditionalFormatting>
  <conditionalFormatting sqref="B38">
    <cfRule type="expression" dxfId="3282" priority="50">
      <formula>B38&gt;$AG38</formula>
    </cfRule>
  </conditionalFormatting>
  <conditionalFormatting sqref="B81 B62 B79 B90">
    <cfRule type="expression" dxfId="3281" priority="46">
      <formula>B$9&gt;=20/24</formula>
    </cfRule>
    <cfRule type="expression" dxfId="3280" priority="47">
      <formula>AND(B$9&gt;=14/24,B$9&lt;20/24)</formula>
    </cfRule>
    <cfRule type="expression" dxfId="3279" priority="48">
      <formula>AND(B$9&gt;=8/24,B$9&lt;14/24)</formula>
    </cfRule>
    <cfRule type="expression" dxfId="3278" priority="49">
      <formula>B$9&lt;8/24</formula>
    </cfRule>
  </conditionalFormatting>
  <conditionalFormatting sqref="B40 B58 B62">
    <cfRule type="expression" dxfId="3277" priority="45">
      <formula>B40&gt;$AG40</formula>
    </cfRule>
  </conditionalFormatting>
  <conditionalFormatting sqref="B74">
    <cfRule type="expression" dxfId="3276" priority="41">
      <formula>B$9&gt;=20/24</formula>
    </cfRule>
    <cfRule type="expression" dxfId="3275" priority="42">
      <formula>AND(B$9&gt;=14/24,B$9&lt;20/24)</formula>
    </cfRule>
    <cfRule type="expression" dxfId="3274" priority="43">
      <formula>AND(B$9&gt;=8/24,B$9&lt;14/24)</formula>
    </cfRule>
    <cfRule type="expression" dxfId="3273" priority="44">
      <formula>B$9&lt;8/24</formula>
    </cfRule>
  </conditionalFormatting>
  <conditionalFormatting sqref="B83:B87">
    <cfRule type="expression" dxfId="3272" priority="37">
      <formula>B$9&gt;=20/24</formula>
    </cfRule>
    <cfRule type="expression" dxfId="3271" priority="38">
      <formula>AND(B$9&gt;=14/24,B$9&lt;20/24)</formula>
    </cfRule>
    <cfRule type="expression" dxfId="3270" priority="39">
      <formula>AND(B$9&gt;=8/24,B$9&lt;14/24)</formula>
    </cfRule>
    <cfRule type="expression" dxfId="3269" priority="40">
      <formula>B$9&lt;8/24</formula>
    </cfRule>
  </conditionalFormatting>
  <conditionalFormatting sqref="B41:B43">
    <cfRule type="expression" dxfId="3268" priority="33">
      <formula>B$9&gt;=20/24</formula>
    </cfRule>
    <cfRule type="expression" dxfId="3267" priority="34">
      <formula>AND(B$9&gt;=14/24,B$9&lt;20/24)</formula>
    </cfRule>
    <cfRule type="expression" dxfId="3266" priority="35">
      <formula>AND(B$9&gt;=8/24,B$9&lt;14/24)</formula>
    </cfRule>
    <cfRule type="expression" dxfId="3265" priority="36">
      <formula>B$9&lt;8/24</formula>
    </cfRule>
  </conditionalFormatting>
  <conditionalFormatting sqref="B41:B43">
    <cfRule type="expression" dxfId="3264" priority="32">
      <formula>B41&gt;$AG41</formula>
    </cfRule>
  </conditionalFormatting>
  <conditionalFormatting sqref="B44">
    <cfRule type="expression" dxfId="3263" priority="28">
      <formula>B$9&gt;=20/24</formula>
    </cfRule>
    <cfRule type="expression" dxfId="3262" priority="29">
      <formula>AND(B$9&gt;=14/24,B$9&lt;20/24)</formula>
    </cfRule>
    <cfRule type="expression" dxfId="3261" priority="30">
      <formula>AND(B$9&gt;=8/24,B$9&lt;14/24)</formula>
    </cfRule>
    <cfRule type="expression" dxfId="3260" priority="31">
      <formula>B$9&lt;8/24</formula>
    </cfRule>
  </conditionalFormatting>
  <conditionalFormatting sqref="B44">
    <cfRule type="expression" dxfId="3259" priority="27">
      <formula>B44&gt;$AG44</formula>
    </cfRule>
  </conditionalFormatting>
  <conditionalFormatting sqref="B99">
    <cfRule type="expression" dxfId="3258" priority="23">
      <formula>B$9&gt;=20/24</formula>
    </cfRule>
    <cfRule type="expression" dxfId="3257" priority="24">
      <formula>AND(B$9&gt;=14/24,B$9&lt;20/24)</formula>
    </cfRule>
    <cfRule type="expression" dxfId="3256" priority="25">
      <formula>AND(B$9&gt;=8/24,B$9&lt;14/24)</formula>
    </cfRule>
    <cfRule type="expression" dxfId="3255" priority="26">
      <formula>B$9&lt;8/24</formula>
    </cfRule>
  </conditionalFormatting>
  <conditionalFormatting sqref="B102">
    <cfRule type="expression" dxfId="3254" priority="11">
      <formula>B$9&gt;=20/24</formula>
    </cfRule>
    <cfRule type="expression" dxfId="3253" priority="12">
      <formula>AND(B$9&gt;=14/24,B$9&lt;20/24)</formula>
    </cfRule>
    <cfRule type="expression" dxfId="3252" priority="13">
      <formula>AND(B$9&gt;=8/24,B$9&lt;14/24)</formula>
    </cfRule>
    <cfRule type="expression" dxfId="3251" priority="14">
      <formula>B$9&lt;8/24</formula>
    </cfRule>
  </conditionalFormatting>
  <conditionalFormatting sqref="B17:L17">
    <cfRule type="expression" dxfId="3250" priority="10">
      <formula>B17&gt;$AG17</formula>
    </cfRule>
  </conditionalFormatting>
  <conditionalFormatting sqref="B17:L17">
    <cfRule type="expression" dxfId="3249" priority="6">
      <formula>B$9&gt;=20/24</formula>
    </cfRule>
    <cfRule type="expression" dxfId="3248" priority="7">
      <formula>AND(B$9&gt;=14/24,B$9&lt;20/24)</formula>
    </cfRule>
    <cfRule type="expression" dxfId="3247" priority="8">
      <formula>AND(B$9&gt;=8/24,B$9&lt;14/24)</formula>
    </cfRule>
    <cfRule type="expression" dxfId="3246" priority="9">
      <formula>B$9&lt;8/24</formula>
    </cfRule>
  </conditionalFormatting>
  <conditionalFormatting sqref="B30:W30">
    <cfRule type="expression" dxfId="3245" priority="2">
      <formula>B$9&gt;=20/24</formula>
    </cfRule>
    <cfRule type="expression" dxfId="3244" priority="3">
      <formula>AND(B$9&gt;=14/24,B$9&lt;20/24)</formula>
    </cfRule>
    <cfRule type="expression" dxfId="3243" priority="4">
      <formula>AND(B$9&gt;=8/24,B$9&lt;14/24)</formula>
    </cfRule>
    <cfRule type="expression" dxfId="3242" priority="5">
      <formula>B$9&lt;8/24</formula>
    </cfRule>
  </conditionalFormatting>
  <conditionalFormatting sqref="B30:W30">
    <cfRule type="expression" dxfId="3241" priority="1">
      <formula>B30&gt;$AG30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1" id="{3CBF2D5C-9CD1-4B91-922B-DC2CFF66904F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72" id="{B6B72A97-7EF8-4CD0-BCEF-0A9B36E1CC8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3" id="{ACEAF540-19EB-47F3-A9BE-DCC69EE453E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4" id="{BCE74F5C-33B7-497E-B268-0CCB3EB4188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C82:AF82</xm:sqref>
        </x14:conditionalFormatting>
        <x14:conditionalFormatting xmlns:xm="http://schemas.microsoft.com/office/excel/2006/main">
          <x14:cfRule type="expression" priority="164" id="{F98FB10C-DD99-45DD-880A-BE153FA76AE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65" id="{DBA9E90F-09FE-4F45-8CF9-FDF74AE36EE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6" id="{019625FE-7E38-4310-883D-522E7699F5BA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67" id="{4C1CDB15-62FA-4DB5-A917-7F3C6F87A07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19" id="{3F3947C3-A897-47AE-9404-7F26E6B2FB5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0" id="{F98FCFF9-3FE0-493D-AC99-9F7D21434A5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1" id="{5B5939E4-43EE-42F0-BA4E-C5DB4CB7566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2" id="{1E73509D-4831-4418-A78A-28B73CD8302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</xm:sqref>
        </x14:conditionalFormatting>
        <x14:conditionalFormatting xmlns:xm="http://schemas.microsoft.com/office/excel/2006/main">
          <x14:cfRule type="expression" priority="15" id="{CAAF282A-8E45-4584-9B1A-7AF1D978A36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6" id="{C2FA86F1-BC48-45A6-94B8-33271312C43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" id="{76DBF136-8AA5-466D-A85E-7D6957B65F8B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" id="{FB840141-B57A-408E-B618-CAF80AEA3E32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J270"/>
  <sheetViews>
    <sheetView zoomScale="90" zoomScaleNormal="90" workbookViewId="0">
      <pane xSplit="1" ySplit="10" topLeftCell="B83" activePane="bottomRight" state="frozen"/>
      <selection activeCell="AK109" sqref="AK109"/>
      <selection pane="topRight" activeCell="AK109" sqref="AK109"/>
      <selection pane="bottomLeft" activeCell="AK109" sqref="AK109"/>
      <selection pane="bottomRight" activeCell="AK109" sqref="AK10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2079/06/28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1682MW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Load=1210</v>
      </c>
      <c r="B7" s="35">
        <f t="shared" ref="B7:AF7" si="1">B81</f>
        <v>1260.3399999999999</v>
      </c>
      <c r="C7" s="35">
        <f t="shared" si="1"/>
        <v>1236.94</v>
      </c>
      <c r="D7" s="35">
        <f t="shared" si="1"/>
        <v>1217.3400000000001</v>
      </c>
      <c r="E7" s="35">
        <f t="shared" si="1"/>
        <v>1245.3400000000001</v>
      </c>
      <c r="F7" s="35">
        <f t="shared" si="1"/>
        <v>1235.04</v>
      </c>
      <c r="G7" s="35">
        <f t="shared" si="1"/>
        <v>1226.8399999999999</v>
      </c>
      <c r="H7" s="35">
        <f t="shared" si="1"/>
        <v>1341.94</v>
      </c>
      <c r="I7" s="35">
        <f t="shared" si="1"/>
        <v>1396.84</v>
      </c>
      <c r="J7" s="35">
        <f t="shared" si="1"/>
        <v>1493.2400000000002</v>
      </c>
      <c r="K7" s="35">
        <f t="shared" si="1"/>
        <v>1609.8400000000001</v>
      </c>
      <c r="L7" s="35">
        <f t="shared" si="1"/>
        <v>1681.64</v>
      </c>
      <c r="M7" s="35">
        <f t="shared" si="1"/>
        <v>1682.2399999999998</v>
      </c>
      <c r="N7" s="35">
        <f t="shared" si="1"/>
        <v>1518.9399999999998</v>
      </c>
      <c r="O7" s="35">
        <f t="shared" si="1"/>
        <v>1391.84</v>
      </c>
      <c r="P7" s="35">
        <f t="shared" si="1"/>
        <v>1380.04</v>
      </c>
      <c r="Q7" s="35">
        <f t="shared" si="1"/>
        <v>1360.04</v>
      </c>
      <c r="R7" s="35">
        <f t="shared" si="1"/>
        <v>1287.04</v>
      </c>
      <c r="S7" s="35">
        <f t="shared" si="1"/>
        <v>1267.94</v>
      </c>
      <c r="T7" s="35">
        <f t="shared" si="1"/>
        <v>1267.8399999999999</v>
      </c>
      <c r="U7" s="35">
        <f t="shared" si="1"/>
        <v>1308.8399999999999</v>
      </c>
      <c r="V7" s="35">
        <f t="shared" si="1"/>
        <v>1406.94</v>
      </c>
      <c r="W7" s="35">
        <f t="shared" si="1"/>
        <v>1528.44</v>
      </c>
      <c r="X7" s="35">
        <f t="shared" si="1"/>
        <v>1700.24</v>
      </c>
      <c r="Y7" s="35">
        <f t="shared" si="1"/>
        <v>1616.14</v>
      </c>
      <c r="Z7" s="35">
        <f t="shared" si="1"/>
        <v>1556.44</v>
      </c>
      <c r="AA7" s="35">
        <f t="shared" si="1"/>
        <v>1465.34</v>
      </c>
      <c r="AB7" s="35">
        <f t="shared" si="1"/>
        <v>1415.3400000000001</v>
      </c>
      <c r="AC7" s="35">
        <f t="shared" si="1"/>
        <v>1392.14</v>
      </c>
      <c r="AD7" s="35">
        <f t="shared" si="1"/>
        <v>1335.14</v>
      </c>
      <c r="AE7" s="35">
        <f t="shared" si="1"/>
        <v>1266.1400000000001</v>
      </c>
      <c r="AF7" s="35">
        <f t="shared" si="1"/>
        <v>1209.54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37.299999999999997</v>
      </c>
      <c r="C11" s="45">
        <v>37.299999999999997</v>
      </c>
      <c r="D11" s="45">
        <v>37.299999999999997</v>
      </c>
      <c r="E11" s="45">
        <v>39.700000000000003</v>
      </c>
      <c r="F11" s="45">
        <v>39.700000000000003</v>
      </c>
      <c r="G11" s="45">
        <v>39.700000000000003</v>
      </c>
      <c r="H11" s="45">
        <v>39.700000000000003</v>
      </c>
      <c r="I11" s="45">
        <v>41.3</v>
      </c>
      <c r="J11" s="45">
        <v>41.6</v>
      </c>
      <c r="K11" s="45">
        <v>41.6</v>
      </c>
      <c r="L11" s="45">
        <v>41.6</v>
      </c>
      <c r="M11" s="45">
        <v>41.1</v>
      </c>
      <c r="N11" s="45">
        <v>41.1</v>
      </c>
      <c r="O11" s="45">
        <v>40.799999999999997</v>
      </c>
      <c r="P11" s="45">
        <v>39</v>
      </c>
      <c r="Q11" s="45">
        <v>39</v>
      </c>
      <c r="R11" s="45">
        <v>39</v>
      </c>
      <c r="S11" s="45">
        <v>39</v>
      </c>
      <c r="T11" s="45">
        <v>38.200000000000003</v>
      </c>
      <c r="U11" s="45">
        <v>38.200000000000003</v>
      </c>
      <c r="V11" s="45">
        <v>38.200000000000003</v>
      </c>
      <c r="W11" s="45">
        <v>42.4</v>
      </c>
      <c r="X11" s="46">
        <v>42.4</v>
      </c>
      <c r="Y11" s="46">
        <v>42.3</v>
      </c>
      <c r="Z11" s="46">
        <v>42.3</v>
      </c>
      <c r="AA11" s="46">
        <v>42.3</v>
      </c>
      <c r="AB11" s="46">
        <v>42.3</v>
      </c>
      <c r="AC11" s="46">
        <v>42.3</v>
      </c>
      <c r="AD11" s="46">
        <v>42.3</v>
      </c>
      <c r="AE11" s="46">
        <v>39.4</v>
      </c>
      <c r="AF11" s="46">
        <v>39.4</v>
      </c>
      <c r="AG11" s="47">
        <v>52.4</v>
      </c>
      <c r="AH11" s="48">
        <f>MAX(B11:AF11)</f>
        <v>42.4</v>
      </c>
      <c r="AI11" s="49">
        <f>MIN(B11:AF11)</f>
        <v>37.299999999999997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50.5</v>
      </c>
      <c r="C12" s="45">
        <v>50.5</v>
      </c>
      <c r="D12" s="45">
        <v>50.5</v>
      </c>
      <c r="E12" s="45">
        <v>50.5</v>
      </c>
      <c r="F12" s="45">
        <v>50.5</v>
      </c>
      <c r="G12" s="45">
        <v>50.5</v>
      </c>
      <c r="H12" s="45">
        <v>50.5</v>
      </c>
      <c r="I12" s="45">
        <v>50.5</v>
      </c>
      <c r="J12" s="45">
        <v>50.3</v>
      </c>
      <c r="K12" s="45">
        <v>50.3</v>
      </c>
      <c r="L12" s="45">
        <v>50.3</v>
      </c>
      <c r="M12" s="45">
        <v>50.4</v>
      </c>
      <c r="N12" s="45">
        <v>50.4</v>
      </c>
      <c r="O12" s="45">
        <v>50.4</v>
      </c>
      <c r="P12" s="45">
        <v>50.5</v>
      </c>
      <c r="Q12" s="45">
        <v>50.5</v>
      </c>
      <c r="R12" s="45">
        <v>50.5</v>
      </c>
      <c r="S12" s="45">
        <v>50.5</v>
      </c>
      <c r="T12" s="45">
        <v>50.5</v>
      </c>
      <c r="U12" s="45">
        <v>50.5</v>
      </c>
      <c r="V12" s="45">
        <v>50.5</v>
      </c>
      <c r="W12" s="45">
        <v>50.3</v>
      </c>
      <c r="X12" s="45">
        <v>50.3</v>
      </c>
      <c r="Y12" s="45">
        <v>50.5</v>
      </c>
      <c r="Z12" s="45">
        <v>50.5</v>
      </c>
      <c r="AA12" s="45">
        <v>50.5</v>
      </c>
      <c r="AB12" s="45">
        <v>50.5</v>
      </c>
      <c r="AC12" s="45">
        <v>50.5</v>
      </c>
      <c r="AD12" s="45">
        <v>50.5</v>
      </c>
      <c r="AE12" s="45">
        <v>50.4</v>
      </c>
      <c r="AF12" s="45">
        <v>50.4</v>
      </c>
      <c r="AG12" s="51">
        <v>50</v>
      </c>
      <c r="AH12" s="48">
        <f t="shared" ref="AH12:AH75" si="2">MAX(B12:AF12)</f>
        <v>50.5</v>
      </c>
      <c r="AI12" s="49">
        <f t="shared" ref="AI12:AI75" si="3">MIN(B12:AF12)</f>
        <v>50.3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38.1</v>
      </c>
      <c r="C13" s="45">
        <v>38.1</v>
      </c>
      <c r="D13" s="45">
        <v>38.1</v>
      </c>
      <c r="E13" s="45">
        <v>38.1</v>
      </c>
      <c r="F13" s="45">
        <v>36</v>
      </c>
      <c r="G13" s="45">
        <v>35</v>
      </c>
      <c r="H13" s="45">
        <v>34.5</v>
      </c>
      <c r="I13" s="45">
        <v>34.6</v>
      </c>
      <c r="J13" s="45">
        <v>34.1</v>
      </c>
      <c r="K13" s="45">
        <v>34.1</v>
      </c>
      <c r="L13" s="45">
        <v>34.1</v>
      </c>
      <c r="M13" s="45">
        <v>35</v>
      </c>
      <c r="N13" s="45">
        <v>35</v>
      </c>
      <c r="O13" s="45">
        <v>34.299999999999997</v>
      </c>
      <c r="P13" s="45">
        <v>34.299999999999997</v>
      </c>
      <c r="Q13" s="45">
        <v>34.299999999999997</v>
      </c>
      <c r="R13" s="45">
        <v>34.299999999999997</v>
      </c>
      <c r="S13" s="45">
        <v>34.299999999999997</v>
      </c>
      <c r="T13" s="45">
        <v>35</v>
      </c>
      <c r="U13" s="45">
        <v>35</v>
      </c>
      <c r="V13" s="45">
        <v>35</v>
      </c>
      <c r="W13" s="45">
        <v>36.700000000000003</v>
      </c>
      <c r="X13" s="45">
        <v>37.299999999999997</v>
      </c>
      <c r="Y13" s="45">
        <v>37.200000000000003</v>
      </c>
      <c r="Z13" s="45">
        <v>37.200000000000003</v>
      </c>
      <c r="AA13" s="45">
        <v>36.1</v>
      </c>
      <c r="AB13" s="45">
        <v>36.1</v>
      </c>
      <c r="AC13" s="45">
        <v>36.1</v>
      </c>
      <c r="AD13" s="45">
        <v>36.1</v>
      </c>
      <c r="AE13" s="45">
        <v>37.1</v>
      </c>
      <c r="AF13" s="45">
        <v>37.1</v>
      </c>
      <c r="AG13" s="51">
        <v>45</v>
      </c>
      <c r="AH13" s="48">
        <f t="shared" si="2"/>
        <v>38.1</v>
      </c>
      <c r="AI13" s="49">
        <f t="shared" si="3"/>
        <v>34.1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19</v>
      </c>
      <c r="C14" s="45">
        <v>19</v>
      </c>
      <c r="D14" s="45">
        <v>19</v>
      </c>
      <c r="E14" s="45">
        <v>20.5</v>
      </c>
      <c r="F14" s="45">
        <v>20.5</v>
      </c>
      <c r="G14" s="45">
        <v>20.5</v>
      </c>
      <c r="H14" s="45">
        <v>20.5</v>
      </c>
      <c r="I14" s="45">
        <v>25.7</v>
      </c>
      <c r="J14" s="45">
        <v>27</v>
      </c>
      <c r="K14" s="45">
        <v>27</v>
      </c>
      <c r="L14" s="45">
        <v>27</v>
      </c>
      <c r="M14" s="45">
        <v>25</v>
      </c>
      <c r="N14" s="45">
        <v>23</v>
      </c>
      <c r="O14" s="45">
        <v>20</v>
      </c>
      <c r="P14" s="45">
        <v>20</v>
      </c>
      <c r="Q14" s="45">
        <v>20</v>
      </c>
      <c r="R14" s="45">
        <v>20</v>
      </c>
      <c r="S14" s="45">
        <v>20</v>
      </c>
      <c r="T14" s="45">
        <v>21</v>
      </c>
      <c r="U14" s="45">
        <v>21</v>
      </c>
      <c r="V14" s="45">
        <v>21</v>
      </c>
      <c r="W14" s="45">
        <v>23</v>
      </c>
      <c r="X14" s="45">
        <v>25</v>
      </c>
      <c r="Y14" s="45">
        <v>22</v>
      </c>
      <c r="Z14" s="45">
        <v>22</v>
      </c>
      <c r="AA14" s="45">
        <v>22</v>
      </c>
      <c r="AB14" s="45">
        <v>22</v>
      </c>
      <c r="AC14" s="45">
        <v>22</v>
      </c>
      <c r="AD14" s="45">
        <v>22</v>
      </c>
      <c r="AE14" s="45">
        <v>18</v>
      </c>
      <c r="AF14" s="45">
        <v>18</v>
      </c>
      <c r="AG14" s="51">
        <v>42</v>
      </c>
      <c r="AH14" s="48">
        <f t="shared" si="2"/>
        <v>27</v>
      </c>
      <c r="AI14" s="49">
        <f t="shared" si="3"/>
        <v>18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10</v>
      </c>
      <c r="J15" s="45">
        <v>29.5</v>
      </c>
      <c r="K15" s="45">
        <v>29.5</v>
      </c>
      <c r="L15" s="45">
        <v>29.5</v>
      </c>
      <c r="M15" s="45">
        <v>23.1</v>
      </c>
      <c r="N15" s="45">
        <v>21</v>
      </c>
      <c r="O15" s="45">
        <v>21</v>
      </c>
      <c r="P15" s="45">
        <v>21</v>
      </c>
      <c r="Q15" s="45">
        <v>21</v>
      </c>
      <c r="R15" s="45">
        <v>21</v>
      </c>
      <c r="S15" s="45">
        <v>21</v>
      </c>
      <c r="T15" s="45">
        <v>20</v>
      </c>
      <c r="U15" s="45">
        <v>20</v>
      </c>
      <c r="V15" s="45">
        <v>20</v>
      </c>
      <c r="W15" s="45">
        <v>21.8</v>
      </c>
      <c r="X15" s="45">
        <v>21.5</v>
      </c>
      <c r="Y15" s="45">
        <v>21.7</v>
      </c>
      <c r="Z15" s="45">
        <v>21.5</v>
      </c>
      <c r="AA15" s="45">
        <v>21.5</v>
      </c>
      <c r="AB15" s="45">
        <v>21.5</v>
      </c>
      <c r="AC15" s="45">
        <v>23</v>
      </c>
      <c r="AD15" s="45">
        <v>15</v>
      </c>
      <c r="AE15" s="45">
        <v>0</v>
      </c>
      <c r="AF15" s="45">
        <v>0</v>
      </c>
      <c r="AG15" s="52">
        <v>30</v>
      </c>
      <c r="AH15" s="48">
        <f t="shared" si="2"/>
        <v>29.5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18.600000000000001</v>
      </c>
      <c r="C16" s="45">
        <v>18.600000000000001</v>
      </c>
      <c r="D16" s="45">
        <v>18.600000000000001</v>
      </c>
      <c r="E16" s="45">
        <v>17</v>
      </c>
      <c r="F16" s="45">
        <v>17</v>
      </c>
      <c r="G16" s="45">
        <v>17</v>
      </c>
      <c r="H16" s="45">
        <v>17</v>
      </c>
      <c r="I16" s="45">
        <v>17</v>
      </c>
      <c r="J16" s="45">
        <v>17</v>
      </c>
      <c r="K16" s="45">
        <v>17</v>
      </c>
      <c r="L16" s="45">
        <v>17</v>
      </c>
      <c r="M16" s="45">
        <v>17</v>
      </c>
      <c r="N16" s="45">
        <v>17</v>
      </c>
      <c r="O16" s="45">
        <v>17</v>
      </c>
      <c r="P16" s="45">
        <v>17</v>
      </c>
      <c r="Q16" s="45">
        <v>17</v>
      </c>
      <c r="R16" s="45">
        <v>17</v>
      </c>
      <c r="S16" s="45">
        <v>17</v>
      </c>
      <c r="T16" s="45">
        <v>17</v>
      </c>
      <c r="U16" s="45">
        <v>17</v>
      </c>
      <c r="V16" s="45">
        <v>17</v>
      </c>
      <c r="W16" s="45">
        <v>17</v>
      </c>
      <c r="X16" s="45">
        <v>17</v>
      </c>
      <c r="Y16" s="45">
        <v>17</v>
      </c>
      <c r="Z16" s="45">
        <v>17</v>
      </c>
      <c r="AA16" s="45">
        <v>17</v>
      </c>
      <c r="AB16" s="45">
        <v>17</v>
      </c>
      <c r="AC16" s="45">
        <v>17</v>
      </c>
      <c r="AD16" s="45">
        <v>17</v>
      </c>
      <c r="AE16" s="45">
        <v>17</v>
      </c>
      <c r="AF16" s="45">
        <v>17</v>
      </c>
      <c r="AG16" s="51">
        <v>24.2</v>
      </c>
      <c r="AH16" s="48">
        <f t="shared" si="2"/>
        <v>18.600000000000001</v>
      </c>
      <c r="AI16" s="49">
        <f t="shared" si="3"/>
        <v>17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12</v>
      </c>
      <c r="K17" s="45">
        <v>27</v>
      </c>
      <c r="L17" s="45">
        <v>27</v>
      </c>
      <c r="M17" s="45">
        <v>27</v>
      </c>
      <c r="N17" s="45">
        <v>27</v>
      </c>
      <c r="O17" s="45">
        <v>9</v>
      </c>
      <c r="P17" s="45">
        <v>9</v>
      </c>
      <c r="Q17" s="45">
        <v>9</v>
      </c>
      <c r="R17" s="45">
        <v>9</v>
      </c>
      <c r="S17" s="45">
        <v>22</v>
      </c>
      <c r="T17" s="45">
        <v>22</v>
      </c>
      <c r="U17" s="45">
        <v>22</v>
      </c>
      <c r="V17" s="45">
        <v>22</v>
      </c>
      <c r="W17" s="45">
        <v>22</v>
      </c>
      <c r="X17" s="45">
        <v>22</v>
      </c>
      <c r="Y17" s="45">
        <v>22</v>
      </c>
      <c r="Z17" s="45">
        <v>22</v>
      </c>
      <c r="AA17" s="45">
        <v>22</v>
      </c>
      <c r="AB17" s="45">
        <v>22</v>
      </c>
      <c r="AC17" s="45">
        <v>22</v>
      </c>
      <c r="AD17" s="45">
        <v>15</v>
      </c>
      <c r="AE17" s="45">
        <v>0</v>
      </c>
      <c r="AF17" s="45">
        <v>0</v>
      </c>
      <c r="AG17" s="52">
        <v>30</v>
      </c>
      <c r="AH17" s="48">
        <f t="shared" si="2"/>
        <v>27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20.2</v>
      </c>
      <c r="C18" s="45">
        <v>20.2</v>
      </c>
      <c r="D18" s="45">
        <v>20.2</v>
      </c>
      <c r="E18" s="45">
        <v>20.2</v>
      </c>
      <c r="F18" s="45">
        <v>20.2</v>
      </c>
      <c r="G18" s="45">
        <v>20.2</v>
      </c>
      <c r="H18" s="45">
        <v>20.2</v>
      </c>
      <c r="I18" s="45">
        <v>20.2</v>
      </c>
      <c r="J18" s="45">
        <v>20.2</v>
      </c>
      <c r="K18" s="45">
        <v>20.2</v>
      </c>
      <c r="L18" s="45">
        <v>20.2</v>
      </c>
      <c r="M18" s="45">
        <v>20.2</v>
      </c>
      <c r="N18" s="45">
        <v>20.2</v>
      </c>
      <c r="O18" s="45">
        <v>20.2</v>
      </c>
      <c r="P18" s="45">
        <v>20.2</v>
      </c>
      <c r="Q18" s="45">
        <v>20.2</v>
      </c>
      <c r="R18" s="45">
        <v>20.2</v>
      </c>
      <c r="S18" s="45">
        <v>20.2</v>
      </c>
      <c r="T18" s="45">
        <v>20.2</v>
      </c>
      <c r="U18" s="45">
        <v>20.2</v>
      </c>
      <c r="V18" s="45">
        <v>20.2</v>
      </c>
      <c r="W18" s="45">
        <v>20.2</v>
      </c>
      <c r="X18" s="45">
        <v>20.100000000000001</v>
      </c>
      <c r="Y18" s="45">
        <v>20.100000000000001</v>
      </c>
      <c r="Z18" s="45">
        <v>20.100000000000001</v>
      </c>
      <c r="AA18" s="45">
        <v>20.100000000000001</v>
      </c>
      <c r="AB18" s="45">
        <v>20.100000000000001</v>
      </c>
      <c r="AC18" s="45">
        <v>20.100000000000001</v>
      </c>
      <c r="AD18" s="45">
        <v>20.100000000000001</v>
      </c>
      <c r="AE18" s="45">
        <v>20.100000000000001</v>
      </c>
      <c r="AF18" s="45">
        <v>20.100000000000001</v>
      </c>
      <c r="AG18" s="51">
        <v>25</v>
      </c>
      <c r="AH18" s="48">
        <f t="shared" si="2"/>
        <v>20.2</v>
      </c>
      <c r="AI18" s="49">
        <f t="shared" si="3"/>
        <v>20.100000000000001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21</v>
      </c>
      <c r="C19" s="45">
        <v>21</v>
      </c>
      <c r="D19" s="45">
        <v>21</v>
      </c>
      <c r="E19" s="45">
        <v>21</v>
      </c>
      <c r="F19" s="45">
        <v>21</v>
      </c>
      <c r="G19" s="45">
        <v>21</v>
      </c>
      <c r="H19" s="45">
        <v>21</v>
      </c>
      <c r="I19" s="45">
        <v>21</v>
      </c>
      <c r="J19" s="45">
        <v>21</v>
      </c>
      <c r="K19" s="45">
        <v>21</v>
      </c>
      <c r="L19" s="45">
        <v>21</v>
      </c>
      <c r="M19" s="45">
        <v>21</v>
      </c>
      <c r="N19" s="45">
        <v>21</v>
      </c>
      <c r="O19" s="45">
        <v>21</v>
      </c>
      <c r="P19" s="45">
        <v>21</v>
      </c>
      <c r="Q19" s="45">
        <v>21</v>
      </c>
      <c r="R19" s="45">
        <v>21</v>
      </c>
      <c r="S19" s="45">
        <v>21</v>
      </c>
      <c r="T19" s="45">
        <v>21</v>
      </c>
      <c r="U19" s="45">
        <v>21</v>
      </c>
      <c r="V19" s="45">
        <v>21</v>
      </c>
      <c r="W19" s="45">
        <v>21</v>
      </c>
      <c r="X19" s="45">
        <v>21</v>
      </c>
      <c r="Y19" s="45">
        <v>21</v>
      </c>
      <c r="Z19" s="45">
        <v>21</v>
      </c>
      <c r="AA19" s="45">
        <v>21</v>
      </c>
      <c r="AB19" s="45">
        <v>21</v>
      </c>
      <c r="AC19" s="45">
        <v>21</v>
      </c>
      <c r="AD19" s="45">
        <v>21</v>
      </c>
      <c r="AE19" s="45">
        <v>21</v>
      </c>
      <c r="AF19" s="45">
        <v>21</v>
      </c>
      <c r="AG19" s="51">
        <v>25</v>
      </c>
      <c r="AH19" s="48">
        <f t="shared" si="2"/>
        <v>21</v>
      </c>
      <c r="AI19" s="49">
        <f t="shared" si="3"/>
        <v>21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18</v>
      </c>
      <c r="C20" s="45">
        <v>18</v>
      </c>
      <c r="D20" s="45">
        <v>18</v>
      </c>
      <c r="E20" s="45">
        <v>18</v>
      </c>
      <c r="F20" s="45">
        <v>18</v>
      </c>
      <c r="G20" s="45">
        <v>18</v>
      </c>
      <c r="H20" s="45">
        <v>18</v>
      </c>
      <c r="I20" s="45">
        <v>18</v>
      </c>
      <c r="J20" s="45">
        <v>18</v>
      </c>
      <c r="K20" s="45">
        <v>18</v>
      </c>
      <c r="L20" s="45">
        <v>18</v>
      </c>
      <c r="M20" s="45">
        <v>18</v>
      </c>
      <c r="N20" s="45">
        <v>18</v>
      </c>
      <c r="O20" s="45">
        <v>18</v>
      </c>
      <c r="P20" s="45">
        <v>18</v>
      </c>
      <c r="Q20" s="45">
        <v>18</v>
      </c>
      <c r="R20" s="45">
        <v>18</v>
      </c>
      <c r="S20" s="45">
        <v>18</v>
      </c>
      <c r="T20" s="45">
        <v>18</v>
      </c>
      <c r="U20" s="45">
        <v>18</v>
      </c>
      <c r="V20" s="45">
        <v>18</v>
      </c>
      <c r="W20" s="45">
        <v>18</v>
      </c>
      <c r="X20" s="45">
        <v>18</v>
      </c>
      <c r="Y20" s="45">
        <v>18</v>
      </c>
      <c r="Z20" s="45">
        <v>18</v>
      </c>
      <c r="AA20" s="45">
        <v>18</v>
      </c>
      <c r="AB20" s="45">
        <v>18</v>
      </c>
      <c r="AC20" s="45">
        <v>18</v>
      </c>
      <c r="AD20" s="45">
        <v>18</v>
      </c>
      <c r="AE20" s="45">
        <v>18</v>
      </c>
      <c r="AF20" s="45">
        <v>18</v>
      </c>
      <c r="AG20" s="51">
        <v>25</v>
      </c>
      <c r="AH20" s="48">
        <f t="shared" si="2"/>
        <v>18</v>
      </c>
      <c r="AI20" s="49">
        <f t="shared" si="3"/>
        <v>18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17.7</v>
      </c>
      <c r="C21" s="45">
        <v>17.7</v>
      </c>
      <c r="D21" s="45">
        <v>17.7</v>
      </c>
      <c r="E21" s="45">
        <v>17.7</v>
      </c>
      <c r="F21" s="45">
        <v>17.7</v>
      </c>
      <c r="G21" s="45">
        <v>17.7</v>
      </c>
      <c r="H21" s="45">
        <v>17.7</v>
      </c>
      <c r="I21" s="45">
        <v>17.7</v>
      </c>
      <c r="J21" s="45">
        <v>17.7</v>
      </c>
      <c r="K21" s="45">
        <v>17.7</v>
      </c>
      <c r="L21" s="45">
        <v>17.7</v>
      </c>
      <c r="M21" s="45">
        <v>17.399999999999999</v>
      </c>
      <c r="N21" s="45">
        <v>17.399999999999999</v>
      </c>
      <c r="O21" s="45">
        <v>17.399999999999999</v>
      </c>
      <c r="P21" s="45">
        <v>17.100000000000001</v>
      </c>
      <c r="Q21" s="45">
        <v>17.100000000000001</v>
      </c>
      <c r="R21" s="45">
        <v>17.100000000000001</v>
      </c>
      <c r="S21" s="45">
        <v>16.100000000000001</v>
      </c>
      <c r="T21" s="45">
        <v>16.100000000000001</v>
      </c>
      <c r="U21" s="45">
        <v>16.100000000000001</v>
      </c>
      <c r="V21" s="45">
        <v>16.100000000000001</v>
      </c>
      <c r="W21" s="45">
        <v>16.100000000000001</v>
      </c>
      <c r="X21" s="45">
        <v>16.100000000000001</v>
      </c>
      <c r="Y21" s="45">
        <v>16.100000000000001</v>
      </c>
      <c r="Z21" s="45">
        <v>16.100000000000001</v>
      </c>
      <c r="AA21" s="45">
        <v>16.100000000000001</v>
      </c>
      <c r="AB21" s="45">
        <v>16.100000000000001</v>
      </c>
      <c r="AC21" s="45">
        <v>16.100000000000001</v>
      </c>
      <c r="AD21" s="45">
        <v>16.100000000000001</v>
      </c>
      <c r="AE21" s="45">
        <v>16.100000000000001</v>
      </c>
      <c r="AF21" s="45">
        <v>16.100000000000001</v>
      </c>
      <c r="AG21" s="51">
        <v>23.5</v>
      </c>
      <c r="AH21" s="48">
        <f t="shared" si="2"/>
        <v>17.7</v>
      </c>
      <c r="AI21" s="49">
        <f t="shared" si="3"/>
        <v>16.100000000000001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51">
        <v>22.2</v>
      </c>
      <c r="AH22" s="48">
        <f t="shared" si="2"/>
        <v>0</v>
      </c>
      <c r="AI22" s="49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18</v>
      </c>
      <c r="C23" s="45">
        <v>18</v>
      </c>
      <c r="D23" s="45">
        <v>18</v>
      </c>
      <c r="E23" s="45">
        <v>18</v>
      </c>
      <c r="F23" s="45">
        <v>18</v>
      </c>
      <c r="G23" s="45">
        <v>18</v>
      </c>
      <c r="H23" s="45">
        <v>18</v>
      </c>
      <c r="I23" s="45">
        <v>18</v>
      </c>
      <c r="J23" s="45">
        <v>18</v>
      </c>
      <c r="K23" s="45">
        <v>18</v>
      </c>
      <c r="L23" s="45">
        <v>18</v>
      </c>
      <c r="M23" s="45">
        <v>18</v>
      </c>
      <c r="N23" s="45">
        <v>18</v>
      </c>
      <c r="O23" s="45">
        <v>18</v>
      </c>
      <c r="P23" s="45">
        <v>18</v>
      </c>
      <c r="Q23" s="45">
        <v>18</v>
      </c>
      <c r="R23" s="45">
        <v>18</v>
      </c>
      <c r="S23" s="45">
        <v>18</v>
      </c>
      <c r="T23" s="45">
        <v>18</v>
      </c>
      <c r="U23" s="45">
        <v>18</v>
      </c>
      <c r="V23" s="45">
        <v>18</v>
      </c>
      <c r="W23" s="45">
        <v>18</v>
      </c>
      <c r="X23" s="45">
        <v>18</v>
      </c>
      <c r="Y23" s="45">
        <v>18</v>
      </c>
      <c r="Z23" s="45">
        <v>18</v>
      </c>
      <c r="AA23" s="45">
        <v>18</v>
      </c>
      <c r="AB23" s="45">
        <v>18</v>
      </c>
      <c r="AC23" s="45">
        <v>18</v>
      </c>
      <c r="AD23" s="45">
        <v>18</v>
      </c>
      <c r="AE23" s="45">
        <v>18</v>
      </c>
      <c r="AF23" s="45">
        <v>18</v>
      </c>
      <c r="AG23" s="51">
        <v>22.1</v>
      </c>
      <c r="AH23" s="48">
        <f t="shared" si="2"/>
        <v>18</v>
      </c>
      <c r="AI23" s="49">
        <f t="shared" si="3"/>
        <v>18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14</v>
      </c>
      <c r="C24" s="45">
        <v>14</v>
      </c>
      <c r="D24" s="45">
        <v>14</v>
      </c>
      <c r="E24" s="45">
        <v>14</v>
      </c>
      <c r="F24" s="45">
        <v>14</v>
      </c>
      <c r="G24" s="45">
        <v>14</v>
      </c>
      <c r="H24" s="45">
        <v>14</v>
      </c>
      <c r="I24" s="45">
        <v>14</v>
      </c>
      <c r="J24" s="45">
        <v>14</v>
      </c>
      <c r="K24" s="45">
        <v>14</v>
      </c>
      <c r="L24" s="45">
        <v>14</v>
      </c>
      <c r="M24" s="45">
        <v>14</v>
      </c>
      <c r="N24" s="45">
        <v>14</v>
      </c>
      <c r="O24" s="45">
        <v>14</v>
      </c>
      <c r="P24" s="45">
        <v>14</v>
      </c>
      <c r="Q24" s="45">
        <v>14</v>
      </c>
      <c r="R24" s="45">
        <v>14</v>
      </c>
      <c r="S24" s="45">
        <v>14</v>
      </c>
      <c r="T24" s="45">
        <v>14</v>
      </c>
      <c r="U24" s="45">
        <v>14</v>
      </c>
      <c r="V24" s="45">
        <v>14</v>
      </c>
      <c r="W24" s="45">
        <v>14</v>
      </c>
      <c r="X24" s="45">
        <v>14</v>
      </c>
      <c r="Y24" s="45">
        <v>14</v>
      </c>
      <c r="Z24" s="45">
        <v>14</v>
      </c>
      <c r="AA24" s="45">
        <v>14</v>
      </c>
      <c r="AB24" s="45">
        <v>14</v>
      </c>
      <c r="AC24" s="45">
        <v>14</v>
      </c>
      <c r="AD24" s="45">
        <v>14</v>
      </c>
      <c r="AE24" s="45">
        <v>14</v>
      </c>
      <c r="AF24" s="45">
        <v>14</v>
      </c>
      <c r="AG24" s="51">
        <v>22</v>
      </c>
      <c r="AH24" s="48">
        <f t="shared" si="2"/>
        <v>14</v>
      </c>
      <c r="AI24" s="49">
        <f t="shared" si="3"/>
        <v>14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14</v>
      </c>
      <c r="C25" s="45">
        <v>14</v>
      </c>
      <c r="D25" s="45">
        <v>14</v>
      </c>
      <c r="E25" s="45">
        <v>14</v>
      </c>
      <c r="F25" s="45">
        <v>14</v>
      </c>
      <c r="G25" s="45">
        <v>14</v>
      </c>
      <c r="H25" s="45">
        <v>14</v>
      </c>
      <c r="I25" s="45">
        <v>14</v>
      </c>
      <c r="J25" s="45">
        <v>14</v>
      </c>
      <c r="K25" s="45">
        <v>14</v>
      </c>
      <c r="L25" s="45">
        <v>14</v>
      </c>
      <c r="M25" s="45">
        <v>14</v>
      </c>
      <c r="N25" s="45">
        <v>14</v>
      </c>
      <c r="O25" s="45">
        <v>14</v>
      </c>
      <c r="P25" s="45">
        <v>14</v>
      </c>
      <c r="Q25" s="45">
        <v>14</v>
      </c>
      <c r="R25" s="45">
        <v>14</v>
      </c>
      <c r="S25" s="45">
        <v>14</v>
      </c>
      <c r="T25" s="45">
        <v>14</v>
      </c>
      <c r="U25" s="45">
        <v>14</v>
      </c>
      <c r="V25" s="45">
        <v>14</v>
      </c>
      <c r="W25" s="45">
        <v>14</v>
      </c>
      <c r="X25" s="45">
        <v>14</v>
      </c>
      <c r="Y25" s="45">
        <v>14</v>
      </c>
      <c r="Z25" s="45">
        <v>14</v>
      </c>
      <c r="AA25" s="45">
        <v>14</v>
      </c>
      <c r="AB25" s="45">
        <v>14</v>
      </c>
      <c r="AC25" s="45">
        <v>14</v>
      </c>
      <c r="AD25" s="45">
        <v>14</v>
      </c>
      <c r="AE25" s="45">
        <v>14</v>
      </c>
      <c r="AF25" s="45">
        <v>14</v>
      </c>
      <c r="AG25" s="51">
        <v>22</v>
      </c>
      <c r="AH25" s="48">
        <f t="shared" si="2"/>
        <v>14</v>
      </c>
      <c r="AI25" s="49">
        <f t="shared" si="3"/>
        <v>14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10</v>
      </c>
      <c r="J26" s="45">
        <v>10</v>
      </c>
      <c r="K26" s="45">
        <v>10</v>
      </c>
      <c r="L26" s="45">
        <v>10</v>
      </c>
      <c r="M26" s="45">
        <v>10</v>
      </c>
      <c r="N26" s="45">
        <v>10</v>
      </c>
      <c r="O26" s="45">
        <v>10</v>
      </c>
      <c r="P26" s="45">
        <v>10</v>
      </c>
      <c r="Q26" s="45">
        <v>10</v>
      </c>
      <c r="R26" s="45">
        <v>10</v>
      </c>
      <c r="S26" s="45">
        <v>10</v>
      </c>
      <c r="T26" s="45">
        <v>10</v>
      </c>
      <c r="U26" s="45">
        <v>10</v>
      </c>
      <c r="V26" s="45">
        <v>10</v>
      </c>
      <c r="W26" s="45">
        <v>10</v>
      </c>
      <c r="X26" s="45">
        <v>10</v>
      </c>
      <c r="Y26" s="45">
        <v>10</v>
      </c>
      <c r="Z26" s="45">
        <v>10</v>
      </c>
      <c r="AA26" s="45">
        <v>10</v>
      </c>
      <c r="AB26" s="45">
        <v>10</v>
      </c>
      <c r="AC26" s="45">
        <v>10</v>
      </c>
      <c r="AD26" s="45">
        <v>0</v>
      </c>
      <c r="AE26" s="45">
        <v>0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11</v>
      </c>
      <c r="C27" s="45">
        <v>11</v>
      </c>
      <c r="D27" s="45">
        <v>11</v>
      </c>
      <c r="E27" s="45">
        <v>11</v>
      </c>
      <c r="F27" s="45">
        <v>11</v>
      </c>
      <c r="G27" s="45">
        <v>11</v>
      </c>
      <c r="H27" s="45">
        <v>11</v>
      </c>
      <c r="I27" s="45">
        <v>11</v>
      </c>
      <c r="J27" s="45">
        <v>11</v>
      </c>
      <c r="K27" s="45">
        <v>11</v>
      </c>
      <c r="L27" s="45">
        <v>11</v>
      </c>
      <c r="M27" s="45">
        <v>11</v>
      </c>
      <c r="N27" s="45">
        <v>11</v>
      </c>
      <c r="O27" s="45">
        <v>11</v>
      </c>
      <c r="P27" s="45">
        <v>11</v>
      </c>
      <c r="Q27" s="45">
        <v>11</v>
      </c>
      <c r="R27" s="45">
        <v>11</v>
      </c>
      <c r="S27" s="45">
        <v>11</v>
      </c>
      <c r="T27" s="45">
        <v>11</v>
      </c>
      <c r="U27" s="45">
        <v>11</v>
      </c>
      <c r="V27" s="45">
        <v>11</v>
      </c>
      <c r="W27" s="45">
        <v>11</v>
      </c>
      <c r="X27" s="45">
        <v>11</v>
      </c>
      <c r="Y27" s="45">
        <v>11</v>
      </c>
      <c r="Z27" s="45">
        <v>11</v>
      </c>
      <c r="AA27" s="45">
        <v>11</v>
      </c>
      <c r="AB27" s="45">
        <v>11</v>
      </c>
      <c r="AC27" s="45">
        <v>11</v>
      </c>
      <c r="AD27" s="45">
        <v>11</v>
      </c>
      <c r="AE27" s="45">
        <v>11</v>
      </c>
      <c r="AF27" s="45">
        <v>11</v>
      </c>
      <c r="AG27" s="51">
        <v>14.9</v>
      </c>
      <c r="AH27" s="48">
        <f t="shared" si="2"/>
        <v>11</v>
      </c>
      <c r="AI27" s="49">
        <f t="shared" si="3"/>
        <v>11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3.5</v>
      </c>
      <c r="C28" s="45">
        <v>3.5</v>
      </c>
      <c r="D28" s="45">
        <v>3.5</v>
      </c>
      <c r="E28" s="45">
        <v>3.5</v>
      </c>
      <c r="F28" s="45">
        <v>3.5</v>
      </c>
      <c r="G28" s="45">
        <v>3.5</v>
      </c>
      <c r="H28" s="45">
        <v>3.5</v>
      </c>
      <c r="I28" s="45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>
        <v>3.5</v>
      </c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45">
        <v>3.5</v>
      </c>
      <c r="Y28" s="45">
        <v>3.5</v>
      </c>
      <c r="Z28" s="45">
        <v>3.5</v>
      </c>
      <c r="AA28" s="45">
        <v>3.5</v>
      </c>
      <c r="AB28" s="45">
        <v>3.5</v>
      </c>
      <c r="AC28" s="45">
        <v>3.5</v>
      </c>
      <c r="AD28" s="45">
        <v>3.5</v>
      </c>
      <c r="AE28" s="45">
        <v>3.5</v>
      </c>
      <c r="AF28" s="45">
        <v>3.5</v>
      </c>
      <c r="AG28" s="51">
        <v>13.6</v>
      </c>
      <c r="AH28" s="48">
        <f t="shared" si="2"/>
        <v>3.5</v>
      </c>
      <c r="AI28" s="49">
        <f t="shared" si="3"/>
        <v>3.5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9</v>
      </c>
      <c r="C29" s="45">
        <v>9</v>
      </c>
      <c r="D29" s="45">
        <v>9</v>
      </c>
      <c r="E29" s="45">
        <v>9</v>
      </c>
      <c r="F29" s="45">
        <v>9</v>
      </c>
      <c r="G29" s="45">
        <v>9</v>
      </c>
      <c r="H29" s="45">
        <v>9</v>
      </c>
      <c r="I29" s="45">
        <v>9</v>
      </c>
      <c r="J29" s="45">
        <v>9</v>
      </c>
      <c r="K29" s="45">
        <v>9</v>
      </c>
      <c r="L29" s="45">
        <v>9</v>
      </c>
      <c r="M29" s="45">
        <v>9</v>
      </c>
      <c r="N29" s="45">
        <v>9</v>
      </c>
      <c r="O29" s="45">
        <v>9</v>
      </c>
      <c r="P29" s="45">
        <v>9</v>
      </c>
      <c r="Q29" s="45">
        <v>9</v>
      </c>
      <c r="R29" s="45">
        <v>9</v>
      </c>
      <c r="S29" s="45">
        <v>9</v>
      </c>
      <c r="T29" s="45">
        <v>9</v>
      </c>
      <c r="U29" s="45">
        <v>9</v>
      </c>
      <c r="V29" s="45">
        <v>9</v>
      </c>
      <c r="W29" s="45">
        <v>9</v>
      </c>
      <c r="X29" s="45">
        <v>9</v>
      </c>
      <c r="Y29" s="45">
        <v>9</v>
      </c>
      <c r="Z29" s="45">
        <v>9</v>
      </c>
      <c r="AA29" s="45">
        <v>9</v>
      </c>
      <c r="AB29" s="45">
        <v>9</v>
      </c>
      <c r="AC29" s="45">
        <v>9</v>
      </c>
      <c r="AD29" s="45">
        <v>9</v>
      </c>
      <c r="AE29" s="45">
        <v>9</v>
      </c>
      <c r="AF29" s="45">
        <v>9</v>
      </c>
      <c r="AG29" s="51">
        <v>13</v>
      </c>
      <c r="AH29" s="48">
        <f t="shared" si="2"/>
        <v>9</v>
      </c>
      <c r="AI29" s="49">
        <f t="shared" si="3"/>
        <v>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9</v>
      </c>
      <c r="J30" s="45">
        <v>12</v>
      </c>
      <c r="K30" s="45">
        <v>12</v>
      </c>
      <c r="L30" s="45">
        <v>12</v>
      </c>
      <c r="M30" s="45">
        <v>9</v>
      </c>
      <c r="N30" s="45">
        <v>9</v>
      </c>
      <c r="O30" s="45">
        <v>9</v>
      </c>
      <c r="P30" s="45">
        <v>9</v>
      </c>
      <c r="Q30" s="45">
        <v>9</v>
      </c>
      <c r="R30" s="45">
        <v>9</v>
      </c>
      <c r="S30" s="45">
        <v>9</v>
      </c>
      <c r="T30" s="45">
        <v>9</v>
      </c>
      <c r="U30" s="45">
        <v>0</v>
      </c>
      <c r="V30" s="45">
        <v>0</v>
      </c>
      <c r="W30" s="45">
        <v>12</v>
      </c>
      <c r="X30" s="45">
        <v>10</v>
      </c>
      <c r="Y30" s="45">
        <v>10</v>
      </c>
      <c r="Z30" s="45">
        <v>10</v>
      </c>
      <c r="AA30" s="45">
        <v>10</v>
      </c>
      <c r="AB30" s="45">
        <v>10</v>
      </c>
      <c r="AC30" s="45">
        <v>10</v>
      </c>
      <c r="AD30" s="45">
        <v>0</v>
      </c>
      <c r="AE30" s="45">
        <v>0</v>
      </c>
      <c r="AF30" s="45">
        <v>0</v>
      </c>
      <c r="AG30" s="51">
        <v>12</v>
      </c>
      <c r="AH30" s="48">
        <f t="shared" si="2"/>
        <v>12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12</v>
      </c>
      <c r="C31" s="45">
        <v>12</v>
      </c>
      <c r="D31" s="45">
        <v>12</v>
      </c>
      <c r="E31" s="45">
        <v>12</v>
      </c>
      <c r="F31" s="45">
        <v>12</v>
      </c>
      <c r="G31" s="45">
        <v>12</v>
      </c>
      <c r="H31" s="45">
        <v>12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2"/>
        <v>12</v>
      </c>
      <c r="AI31" s="49">
        <f t="shared" si="3"/>
        <v>12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5</v>
      </c>
      <c r="N32" s="45">
        <v>5</v>
      </c>
      <c r="O32" s="45">
        <v>5</v>
      </c>
      <c r="P32" s="45">
        <v>5</v>
      </c>
      <c r="Q32" s="45">
        <v>5</v>
      </c>
      <c r="R32" s="45">
        <v>5</v>
      </c>
      <c r="S32" s="45">
        <v>5</v>
      </c>
      <c r="T32" s="45">
        <v>5</v>
      </c>
      <c r="U32" s="45">
        <v>5</v>
      </c>
      <c r="V32" s="45">
        <v>5</v>
      </c>
      <c r="W32" s="45">
        <v>5</v>
      </c>
      <c r="X32" s="45">
        <v>5</v>
      </c>
      <c r="Y32" s="45">
        <v>5</v>
      </c>
      <c r="Z32" s="45">
        <v>5</v>
      </c>
      <c r="AA32" s="45">
        <v>5</v>
      </c>
      <c r="AB32" s="45">
        <v>5</v>
      </c>
      <c r="AC32" s="45">
        <v>5</v>
      </c>
      <c r="AD32" s="45">
        <v>5</v>
      </c>
      <c r="AE32" s="45">
        <v>5</v>
      </c>
      <c r="AF32" s="45">
        <v>5</v>
      </c>
      <c r="AG32" s="51">
        <v>12</v>
      </c>
      <c r="AH32" s="48">
        <f t="shared" si="2"/>
        <v>5</v>
      </c>
      <c r="AI32" s="49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8</v>
      </c>
      <c r="C33" s="45">
        <v>8</v>
      </c>
      <c r="D33" s="45">
        <v>8</v>
      </c>
      <c r="E33" s="45">
        <v>8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3">
        <v>22</v>
      </c>
      <c r="AH33" s="48">
        <f t="shared" si="2"/>
        <v>8</v>
      </c>
      <c r="AI33" s="49">
        <f t="shared" si="3"/>
        <v>8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8.5</v>
      </c>
      <c r="C34" s="45">
        <v>8.5</v>
      </c>
      <c r="D34" s="45">
        <v>8.5</v>
      </c>
      <c r="E34" s="45">
        <v>8.5</v>
      </c>
      <c r="F34" s="45">
        <v>8.5</v>
      </c>
      <c r="G34" s="45">
        <v>8.5</v>
      </c>
      <c r="H34" s="45">
        <v>8.5</v>
      </c>
      <c r="I34" s="45">
        <v>8.5</v>
      </c>
      <c r="J34" s="45">
        <v>8.5</v>
      </c>
      <c r="K34" s="45">
        <v>8.5</v>
      </c>
      <c r="L34" s="45">
        <v>8.5</v>
      </c>
      <c r="M34" s="45">
        <v>8.5</v>
      </c>
      <c r="N34" s="45">
        <v>8.5</v>
      </c>
      <c r="O34" s="45">
        <v>8.5</v>
      </c>
      <c r="P34" s="45">
        <v>8.5</v>
      </c>
      <c r="Q34" s="45">
        <v>8.5</v>
      </c>
      <c r="R34" s="45">
        <v>8.5</v>
      </c>
      <c r="S34" s="45">
        <v>8.5</v>
      </c>
      <c r="T34" s="45">
        <v>8.5</v>
      </c>
      <c r="U34" s="45">
        <v>8.5</v>
      </c>
      <c r="V34" s="45">
        <v>8.5</v>
      </c>
      <c r="W34" s="45">
        <v>8.5</v>
      </c>
      <c r="X34" s="45">
        <v>8.5</v>
      </c>
      <c r="Y34" s="45">
        <v>8.5</v>
      </c>
      <c r="Z34" s="45">
        <v>8.5</v>
      </c>
      <c r="AA34" s="45">
        <v>8.5</v>
      </c>
      <c r="AB34" s="45">
        <v>8.5</v>
      </c>
      <c r="AC34" s="45">
        <v>8.5</v>
      </c>
      <c r="AD34" s="45">
        <v>8.5</v>
      </c>
      <c r="AE34" s="45">
        <v>8.5</v>
      </c>
      <c r="AF34" s="45">
        <v>8.5</v>
      </c>
      <c r="AG34" s="52">
        <v>11.88</v>
      </c>
      <c r="AH34" s="48">
        <f t="shared" si="2"/>
        <v>8.5</v>
      </c>
      <c r="AI34" s="49">
        <f t="shared" si="3"/>
        <v>8.5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9</v>
      </c>
      <c r="C35" s="45">
        <v>9</v>
      </c>
      <c r="D35" s="45">
        <v>9</v>
      </c>
      <c r="E35" s="45">
        <v>9</v>
      </c>
      <c r="F35" s="45">
        <v>9</v>
      </c>
      <c r="G35" s="45">
        <v>9</v>
      </c>
      <c r="H35" s="45">
        <v>9</v>
      </c>
      <c r="I35" s="45">
        <v>9</v>
      </c>
      <c r="J35" s="45">
        <v>9</v>
      </c>
      <c r="K35" s="45">
        <v>9</v>
      </c>
      <c r="L35" s="45">
        <v>9</v>
      </c>
      <c r="M35" s="45">
        <v>9</v>
      </c>
      <c r="N35" s="45">
        <v>9</v>
      </c>
      <c r="O35" s="45">
        <v>9</v>
      </c>
      <c r="P35" s="45">
        <v>9</v>
      </c>
      <c r="Q35" s="45">
        <v>9</v>
      </c>
      <c r="R35" s="45">
        <v>9</v>
      </c>
      <c r="S35" s="45">
        <v>9</v>
      </c>
      <c r="T35" s="45">
        <v>9</v>
      </c>
      <c r="U35" s="45">
        <v>9</v>
      </c>
      <c r="V35" s="45">
        <v>9</v>
      </c>
      <c r="W35" s="45">
        <v>9</v>
      </c>
      <c r="X35" s="45">
        <v>9</v>
      </c>
      <c r="Y35" s="45">
        <v>9</v>
      </c>
      <c r="Z35" s="45">
        <v>9</v>
      </c>
      <c r="AA35" s="45">
        <v>9</v>
      </c>
      <c r="AB35" s="45">
        <v>9</v>
      </c>
      <c r="AC35" s="45">
        <v>9</v>
      </c>
      <c r="AD35" s="45">
        <v>9</v>
      </c>
      <c r="AE35" s="45">
        <v>9</v>
      </c>
      <c r="AF35" s="45">
        <v>9</v>
      </c>
      <c r="AG35" s="55">
        <v>11</v>
      </c>
      <c r="AH35" s="48">
        <f t="shared" si="2"/>
        <v>9</v>
      </c>
      <c r="AI35" s="49">
        <f t="shared" si="3"/>
        <v>9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5">
        <v>10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2</v>
      </c>
      <c r="N37" s="45">
        <v>2</v>
      </c>
      <c r="O37" s="45">
        <v>2</v>
      </c>
      <c r="P37" s="45">
        <v>2</v>
      </c>
      <c r="Q37" s="45">
        <v>2</v>
      </c>
      <c r="R37" s="45">
        <v>2</v>
      </c>
      <c r="S37" s="45">
        <v>2</v>
      </c>
      <c r="T37" s="45">
        <v>2</v>
      </c>
      <c r="U37" s="45">
        <v>2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2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270</v>
      </c>
      <c r="C38" s="57">
        <v>270</v>
      </c>
      <c r="D38" s="57">
        <v>270</v>
      </c>
      <c r="E38" s="57">
        <v>270</v>
      </c>
      <c r="F38" s="57">
        <v>270</v>
      </c>
      <c r="G38" s="57">
        <v>270</v>
      </c>
      <c r="H38" s="57">
        <v>270</v>
      </c>
      <c r="I38" s="57">
        <v>270</v>
      </c>
      <c r="J38" s="57">
        <v>270</v>
      </c>
      <c r="K38" s="57">
        <v>270</v>
      </c>
      <c r="L38" s="57">
        <v>270</v>
      </c>
      <c r="M38" s="57">
        <v>270</v>
      </c>
      <c r="N38" s="57">
        <v>270</v>
      </c>
      <c r="O38" s="57">
        <v>270</v>
      </c>
      <c r="P38" s="57">
        <v>270</v>
      </c>
      <c r="Q38" s="57">
        <v>270</v>
      </c>
      <c r="R38" s="57">
        <v>270</v>
      </c>
      <c r="S38" s="57">
        <v>270</v>
      </c>
      <c r="T38" s="57">
        <v>270</v>
      </c>
      <c r="U38" s="57">
        <v>270</v>
      </c>
      <c r="V38" s="57">
        <v>270</v>
      </c>
      <c r="W38" s="57">
        <v>270</v>
      </c>
      <c r="X38" s="57">
        <v>300</v>
      </c>
      <c r="Y38" s="57">
        <v>270</v>
      </c>
      <c r="Z38" s="57">
        <v>270</v>
      </c>
      <c r="AA38" s="57">
        <v>270</v>
      </c>
      <c r="AB38" s="57">
        <v>270</v>
      </c>
      <c r="AC38" s="57">
        <v>270</v>
      </c>
      <c r="AD38" s="57">
        <v>270</v>
      </c>
      <c r="AE38" s="57">
        <v>270</v>
      </c>
      <c r="AF38" s="57">
        <v>270</v>
      </c>
      <c r="AG38" s="55">
        <v>85</v>
      </c>
      <c r="AH38" s="48">
        <f t="shared" si="2"/>
        <v>300</v>
      </c>
      <c r="AI38" s="49">
        <f t="shared" si="3"/>
        <v>270</v>
      </c>
      <c r="AK38" s="50"/>
    </row>
    <row r="39" spans="1:88" ht="15.75" thickBot="1" x14ac:dyDescent="0.3">
      <c r="A39" s="58" t="s">
        <v>47</v>
      </c>
      <c r="B39" s="59">
        <f>65.6+51.2</f>
        <v>116.8</v>
      </c>
      <c r="C39" s="59">
        <f>65.6+49.1</f>
        <v>114.69999999999999</v>
      </c>
      <c r="D39" s="59">
        <f t="shared" ref="D39:I39" si="4">66.1+49</f>
        <v>115.1</v>
      </c>
      <c r="E39" s="59">
        <f t="shared" si="4"/>
        <v>115.1</v>
      </c>
      <c r="F39" s="59">
        <f t="shared" si="4"/>
        <v>115.1</v>
      </c>
      <c r="G39" s="59">
        <f t="shared" si="4"/>
        <v>115.1</v>
      </c>
      <c r="H39" s="59">
        <f t="shared" si="4"/>
        <v>115.1</v>
      </c>
      <c r="I39" s="59">
        <f t="shared" si="4"/>
        <v>115.1</v>
      </c>
      <c r="J39" s="59">
        <v>116</v>
      </c>
      <c r="K39" s="59">
        <v>117</v>
      </c>
      <c r="L39" s="59">
        <v>118.8</v>
      </c>
      <c r="M39" s="59">
        <f>52.1+66.3</f>
        <v>118.4</v>
      </c>
      <c r="N39" s="59">
        <f t="shared" ref="N39" si="5">52.1+66.3</f>
        <v>118.4</v>
      </c>
      <c r="O39" s="59">
        <f>49.1+65.2</f>
        <v>114.30000000000001</v>
      </c>
      <c r="P39" s="59">
        <f>50+63.5</f>
        <v>113.5</v>
      </c>
      <c r="Q39" s="59">
        <f t="shared" ref="Q39:R39" si="6">50+63.5</f>
        <v>113.5</v>
      </c>
      <c r="R39" s="59">
        <f t="shared" si="6"/>
        <v>113.5</v>
      </c>
      <c r="S39" s="59">
        <v>120</v>
      </c>
      <c r="T39" s="59">
        <f>48.6+61.5</f>
        <v>110.1</v>
      </c>
      <c r="U39" s="59">
        <f>48.8+59.6</f>
        <v>108.4</v>
      </c>
      <c r="V39" s="59">
        <f>48.5+57.4</f>
        <v>105.9</v>
      </c>
      <c r="W39" s="59">
        <f>48.5+57.4</f>
        <v>105.9</v>
      </c>
      <c r="X39" s="59">
        <v>106.7</v>
      </c>
      <c r="Y39" s="59">
        <f>47.7+57.4</f>
        <v>105.1</v>
      </c>
      <c r="Z39" s="59">
        <f>47.9+59.3</f>
        <v>107.19999999999999</v>
      </c>
      <c r="AA39" s="59">
        <f>48+59.2</f>
        <v>107.2</v>
      </c>
      <c r="AB39" s="59">
        <f>59.1+47.9</f>
        <v>107</v>
      </c>
      <c r="AC39" s="59">
        <f>59.2+48.2</f>
        <v>107.4</v>
      </c>
      <c r="AD39" s="59">
        <f>58+46.8</f>
        <v>104.8</v>
      </c>
      <c r="AE39" s="59">
        <f>60.9+47.2</f>
        <v>108.1</v>
      </c>
      <c r="AF39" s="59">
        <f>63.1+48.7</f>
        <v>111.80000000000001</v>
      </c>
      <c r="AG39" s="55">
        <v>240</v>
      </c>
      <c r="AH39" s="48">
        <f t="shared" si="2"/>
        <v>120</v>
      </c>
      <c r="AI39" s="49">
        <f t="shared" si="3"/>
        <v>104.8</v>
      </c>
      <c r="AK39" s="50"/>
    </row>
    <row r="40" spans="1:88" ht="15.75" thickBot="1" x14ac:dyDescent="0.3">
      <c r="A40" s="60" t="s">
        <v>48</v>
      </c>
      <c r="B40" s="61">
        <f t="shared" ref="B40" si="7">SUM(B11:B38)</f>
        <v>624.4</v>
      </c>
      <c r="C40" s="61">
        <f t="shared" ref="C40:AG40" si="8">SUM(C11:C38)</f>
        <v>624.4</v>
      </c>
      <c r="D40" s="61">
        <f t="shared" si="8"/>
        <v>624.4</v>
      </c>
      <c r="E40" s="61">
        <f t="shared" si="8"/>
        <v>626.70000000000005</v>
      </c>
      <c r="F40" s="61">
        <f t="shared" si="8"/>
        <v>624.59999999999991</v>
      </c>
      <c r="G40" s="61">
        <f t="shared" si="8"/>
        <v>623.59999999999991</v>
      </c>
      <c r="H40" s="61">
        <f t="shared" si="8"/>
        <v>623.09999999999991</v>
      </c>
      <c r="I40" s="61">
        <f t="shared" si="8"/>
        <v>659</v>
      </c>
      <c r="J40" s="61">
        <f t="shared" si="8"/>
        <v>694.4</v>
      </c>
      <c r="K40" s="61">
        <f t="shared" si="8"/>
        <v>709.4</v>
      </c>
      <c r="L40" s="61">
        <f t="shared" si="8"/>
        <v>709.4</v>
      </c>
      <c r="M40" s="61">
        <f t="shared" si="8"/>
        <v>705.19999999999993</v>
      </c>
      <c r="N40" s="61">
        <f t="shared" si="8"/>
        <v>701.09999999999991</v>
      </c>
      <c r="O40" s="61">
        <f t="shared" si="8"/>
        <v>679.09999999999991</v>
      </c>
      <c r="P40" s="61">
        <f t="shared" si="8"/>
        <v>677.1</v>
      </c>
      <c r="Q40" s="61">
        <f t="shared" si="8"/>
        <v>677.1</v>
      </c>
      <c r="R40" s="61">
        <f t="shared" si="8"/>
        <v>677.1</v>
      </c>
      <c r="S40" s="61">
        <f t="shared" si="8"/>
        <v>689.1</v>
      </c>
      <c r="T40" s="61">
        <f t="shared" si="8"/>
        <v>689</v>
      </c>
      <c r="U40" s="61">
        <f t="shared" si="8"/>
        <v>680</v>
      </c>
      <c r="V40" s="61">
        <f t="shared" si="8"/>
        <v>678</v>
      </c>
      <c r="W40" s="61">
        <f t="shared" si="8"/>
        <v>699.5</v>
      </c>
      <c r="X40" s="61">
        <f t="shared" si="8"/>
        <v>729.7</v>
      </c>
      <c r="Y40" s="61">
        <f t="shared" si="8"/>
        <v>696.9</v>
      </c>
      <c r="Z40" s="61">
        <f t="shared" si="8"/>
        <v>696.7</v>
      </c>
      <c r="AA40" s="61">
        <f t="shared" si="8"/>
        <v>695.6</v>
      </c>
      <c r="AB40" s="61">
        <f t="shared" si="8"/>
        <v>695.6</v>
      </c>
      <c r="AC40" s="61">
        <f t="shared" si="8"/>
        <v>697.1</v>
      </c>
      <c r="AD40" s="61">
        <f t="shared" si="8"/>
        <v>662.1</v>
      </c>
      <c r="AE40" s="61">
        <f t="shared" si="8"/>
        <v>626.1</v>
      </c>
      <c r="AF40" s="61">
        <f t="shared" si="8"/>
        <v>626.1</v>
      </c>
      <c r="AG40" s="62">
        <f t="shared" si="8"/>
        <v>707.78000000000009</v>
      </c>
      <c r="AH40" s="48">
        <f t="shared" si="2"/>
        <v>729.7</v>
      </c>
      <c r="AI40" s="49">
        <f t="shared" si="3"/>
        <v>623.09999999999991</v>
      </c>
      <c r="AK40" s="50"/>
    </row>
    <row r="41" spans="1:88" x14ac:dyDescent="0.25">
      <c r="A41" s="63" t="s">
        <v>49</v>
      </c>
      <c r="B41" s="45">
        <v>190</v>
      </c>
      <c r="C41" s="45">
        <v>160</v>
      </c>
      <c r="D41" s="45">
        <v>160</v>
      </c>
      <c r="E41" s="45">
        <v>160</v>
      </c>
      <c r="F41" s="45">
        <v>160</v>
      </c>
      <c r="G41" s="45">
        <v>120</v>
      </c>
      <c r="H41" s="45">
        <v>200</v>
      </c>
      <c r="I41" s="45">
        <v>220</v>
      </c>
      <c r="J41" s="45">
        <v>280</v>
      </c>
      <c r="K41" s="45">
        <v>385</v>
      </c>
      <c r="L41" s="45">
        <v>456</v>
      </c>
      <c r="M41" s="45">
        <v>456</v>
      </c>
      <c r="N41" s="45">
        <v>300</v>
      </c>
      <c r="O41" s="45">
        <v>200</v>
      </c>
      <c r="P41" s="45">
        <v>190</v>
      </c>
      <c r="Q41" s="45">
        <v>170</v>
      </c>
      <c r="R41" s="45">
        <v>110</v>
      </c>
      <c r="S41" s="45">
        <v>80</v>
      </c>
      <c r="T41" s="45">
        <v>80</v>
      </c>
      <c r="U41" s="45">
        <v>130</v>
      </c>
      <c r="V41" s="45">
        <v>240</v>
      </c>
      <c r="W41" s="45">
        <v>340</v>
      </c>
      <c r="X41" s="45">
        <v>450</v>
      </c>
      <c r="Y41" s="45">
        <v>400</v>
      </c>
      <c r="Z41" s="45">
        <v>340</v>
      </c>
      <c r="AA41" s="45">
        <v>250</v>
      </c>
      <c r="AB41" s="45">
        <v>200</v>
      </c>
      <c r="AC41" s="45">
        <v>190</v>
      </c>
      <c r="AD41" s="45">
        <v>170</v>
      </c>
      <c r="AE41" s="45">
        <v>150</v>
      </c>
      <c r="AF41" s="45">
        <v>135</v>
      </c>
      <c r="AG41" s="52">
        <v>456</v>
      </c>
      <c r="AH41" s="48">
        <f t="shared" si="2"/>
        <v>456</v>
      </c>
      <c r="AI41" s="49">
        <f t="shared" si="3"/>
        <v>80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22</v>
      </c>
      <c r="C43" s="67">
        <v>22</v>
      </c>
      <c r="D43" s="67">
        <v>22</v>
      </c>
      <c r="E43" s="67">
        <v>22</v>
      </c>
      <c r="F43" s="67">
        <v>22</v>
      </c>
      <c r="G43" s="67">
        <v>22</v>
      </c>
      <c r="H43" s="67">
        <v>22</v>
      </c>
      <c r="I43" s="67">
        <v>22</v>
      </c>
      <c r="J43" s="67">
        <v>22</v>
      </c>
      <c r="K43" s="67">
        <v>22</v>
      </c>
      <c r="L43" s="67">
        <v>22</v>
      </c>
      <c r="M43" s="67">
        <v>22</v>
      </c>
      <c r="N43" s="67">
        <v>22</v>
      </c>
      <c r="O43" s="67">
        <v>22</v>
      </c>
      <c r="P43" s="67">
        <v>22</v>
      </c>
      <c r="Q43" s="67">
        <v>22</v>
      </c>
      <c r="R43" s="67">
        <v>22</v>
      </c>
      <c r="S43" s="67">
        <v>22</v>
      </c>
      <c r="T43" s="67">
        <v>22</v>
      </c>
      <c r="U43" s="67">
        <v>22</v>
      </c>
      <c r="V43" s="67">
        <v>22</v>
      </c>
      <c r="W43" s="67">
        <v>22</v>
      </c>
      <c r="X43" s="67">
        <v>22</v>
      </c>
      <c r="Y43" s="67">
        <v>22</v>
      </c>
      <c r="Z43" s="67">
        <v>22</v>
      </c>
      <c r="AA43" s="67">
        <v>22</v>
      </c>
      <c r="AB43" s="67">
        <v>22</v>
      </c>
      <c r="AC43" s="67">
        <v>22</v>
      </c>
      <c r="AD43" s="67">
        <v>22</v>
      </c>
      <c r="AE43" s="67">
        <v>22</v>
      </c>
      <c r="AF43" s="67">
        <v>22</v>
      </c>
      <c r="AG43" s="68">
        <v>22.1</v>
      </c>
      <c r="AH43" s="48">
        <f t="shared" si="2"/>
        <v>22</v>
      </c>
      <c r="AI43" s="49">
        <f t="shared" si="3"/>
        <v>22</v>
      </c>
      <c r="AK43" s="50"/>
    </row>
    <row r="44" spans="1:88" ht="15.75" thickBot="1" x14ac:dyDescent="0.3">
      <c r="A44" s="69" t="s">
        <v>52</v>
      </c>
      <c r="B44" s="61">
        <f t="shared" ref="B44" si="9">SUM(B41:B43)</f>
        <v>272</v>
      </c>
      <c r="C44" s="61">
        <f t="shared" ref="C44:AG44" si="10">SUM(C41:C43)</f>
        <v>242</v>
      </c>
      <c r="D44" s="61">
        <f t="shared" si="10"/>
        <v>242</v>
      </c>
      <c r="E44" s="61">
        <f t="shared" si="10"/>
        <v>242</v>
      </c>
      <c r="F44" s="61">
        <f t="shared" si="10"/>
        <v>242</v>
      </c>
      <c r="G44" s="61">
        <f t="shared" si="10"/>
        <v>202</v>
      </c>
      <c r="H44" s="61">
        <f t="shared" si="10"/>
        <v>282</v>
      </c>
      <c r="I44" s="61">
        <f t="shared" si="10"/>
        <v>302</v>
      </c>
      <c r="J44" s="61">
        <f t="shared" si="10"/>
        <v>362</v>
      </c>
      <c r="K44" s="61">
        <f t="shared" si="10"/>
        <v>467</v>
      </c>
      <c r="L44" s="61">
        <f t="shared" si="10"/>
        <v>538</v>
      </c>
      <c r="M44" s="61">
        <f t="shared" si="10"/>
        <v>538</v>
      </c>
      <c r="N44" s="61">
        <f t="shared" si="10"/>
        <v>382</v>
      </c>
      <c r="O44" s="61">
        <f t="shared" si="10"/>
        <v>282</v>
      </c>
      <c r="P44" s="61">
        <f t="shared" si="10"/>
        <v>272</v>
      </c>
      <c r="Q44" s="61">
        <f t="shared" si="10"/>
        <v>252</v>
      </c>
      <c r="R44" s="61">
        <f t="shared" si="10"/>
        <v>192</v>
      </c>
      <c r="S44" s="61">
        <f t="shared" si="10"/>
        <v>162</v>
      </c>
      <c r="T44" s="61">
        <f t="shared" si="10"/>
        <v>162</v>
      </c>
      <c r="U44" s="61">
        <f t="shared" si="10"/>
        <v>212</v>
      </c>
      <c r="V44" s="61">
        <f t="shared" si="10"/>
        <v>322</v>
      </c>
      <c r="W44" s="61">
        <f t="shared" si="10"/>
        <v>422</v>
      </c>
      <c r="X44" s="61">
        <f t="shared" si="10"/>
        <v>532</v>
      </c>
      <c r="Y44" s="61">
        <f t="shared" si="10"/>
        <v>482</v>
      </c>
      <c r="Z44" s="61">
        <f t="shared" si="10"/>
        <v>422</v>
      </c>
      <c r="AA44" s="61">
        <f t="shared" si="10"/>
        <v>332</v>
      </c>
      <c r="AB44" s="61">
        <f t="shared" si="10"/>
        <v>282</v>
      </c>
      <c r="AC44" s="61">
        <f t="shared" si="10"/>
        <v>272</v>
      </c>
      <c r="AD44" s="61">
        <f t="shared" si="10"/>
        <v>252</v>
      </c>
      <c r="AE44" s="61">
        <f t="shared" si="10"/>
        <v>232</v>
      </c>
      <c r="AF44" s="61">
        <f t="shared" si="10"/>
        <v>217</v>
      </c>
      <c r="AG44" s="62">
        <f t="shared" si="10"/>
        <v>538.1</v>
      </c>
      <c r="AH44" s="48">
        <f t="shared" si="2"/>
        <v>538</v>
      </c>
      <c r="AI44" s="49">
        <f t="shared" si="3"/>
        <v>162</v>
      </c>
      <c r="AK44" s="50"/>
    </row>
    <row r="45" spans="1:88" x14ac:dyDescent="0.25">
      <c r="A45" s="44" t="s">
        <v>53</v>
      </c>
      <c r="B45" s="45">
        <v>120.8</v>
      </c>
      <c r="C45" s="45">
        <v>120.8</v>
      </c>
      <c r="D45" s="45">
        <v>106.3</v>
      </c>
      <c r="E45" s="45">
        <v>111</v>
      </c>
      <c r="F45" s="45">
        <v>120</v>
      </c>
      <c r="G45" s="45">
        <v>143.4</v>
      </c>
      <c r="H45" s="45">
        <v>143.4</v>
      </c>
      <c r="I45" s="45">
        <v>143.19999999999999</v>
      </c>
      <c r="J45" s="45">
        <v>143.5</v>
      </c>
      <c r="K45" s="45">
        <v>143.4</v>
      </c>
      <c r="L45" s="45">
        <v>143.5</v>
      </c>
      <c r="M45" s="45">
        <v>143.4</v>
      </c>
      <c r="N45" s="45">
        <v>143.4</v>
      </c>
      <c r="O45" s="45">
        <v>143.6</v>
      </c>
      <c r="P45" s="45">
        <v>143.19999999999999</v>
      </c>
      <c r="Q45" s="45">
        <v>143.19999999999999</v>
      </c>
      <c r="R45" s="45">
        <v>143.19999999999999</v>
      </c>
      <c r="S45" s="45">
        <v>143</v>
      </c>
      <c r="T45" s="45">
        <v>143.5</v>
      </c>
      <c r="U45" s="45">
        <v>143.5</v>
      </c>
      <c r="V45" s="45">
        <v>143.5</v>
      </c>
      <c r="W45" s="45">
        <v>143.5</v>
      </c>
      <c r="X45" s="45">
        <v>143.5</v>
      </c>
      <c r="Y45" s="45">
        <v>144</v>
      </c>
      <c r="Z45" s="45">
        <v>143</v>
      </c>
      <c r="AA45" s="45">
        <v>143</v>
      </c>
      <c r="AB45" s="45">
        <v>143</v>
      </c>
      <c r="AC45" s="45">
        <v>143</v>
      </c>
      <c r="AD45" s="45">
        <v>143</v>
      </c>
      <c r="AE45" s="45">
        <v>143</v>
      </c>
      <c r="AF45" s="45">
        <v>120.3</v>
      </c>
      <c r="AG45" s="52">
        <v>144</v>
      </c>
      <c r="AH45" s="48">
        <f t="shared" si="2"/>
        <v>144</v>
      </c>
      <c r="AI45" s="49">
        <f t="shared" si="3"/>
        <v>106.3</v>
      </c>
      <c r="AK45" s="50"/>
    </row>
    <row r="46" spans="1:88" x14ac:dyDescent="0.25">
      <c r="A46" s="54" t="s">
        <v>54</v>
      </c>
      <c r="B46" s="65">
        <v>72.2</v>
      </c>
      <c r="C46" s="65">
        <v>72.2</v>
      </c>
      <c r="D46" s="65">
        <v>60.1</v>
      </c>
      <c r="E46" s="65">
        <v>61.3</v>
      </c>
      <c r="F46" s="65">
        <v>61</v>
      </c>
      <c r="G46" s="65">
        <v>62.5</v>
      </c>
      <c r="H46" s="65">
        <v>72.2</v>
      </c>
      <c r="I46" s="65">
        <v>72.2</v>
      </c>
      <c r="J46" s="65">
        <v>73.2</v>
      </c>
      <c r="K46" s="65">
        <v>69.7</v>
      </c>
      <c r="L46" s="65">
        <v>70.599999999999994</v>
      </c>
      <c r="M46" s="65">
        <v>69.900000000000006</v>
      </c>
      <c r="N46" s="65">
        <v>69.900000000000006</v>
      </c>
      <c r="O46" s="65">
        <v>70.900000000000006</v>
      </c>
      <c r="P46" s="45">
        <v>71.2</v>
      </c>
      <c r="Q46" s="45">
        <v>71.2</v>
      </c>
      <c r="R46" s="45">
        <v>71.2</v>
      </c>
      <c r="S46" s="65">
        <v>70.400000000000006</v>
      </c>
      <c r="T46" s="65">
        <v>72.599999999999994</v>
      </c>
      <c r="U46" s="65">
        <v>72.599999999999994</v>
      </c>
      <c r="V46" s="65">
        <v>72.599999999999994</v>
      </c>
      <c r="W46" s="65">
        <v>72.599999999999994</v>
      </c>
      <c r="X46" s="65">
        <v>72</v>
      </c>
      <c r="Y46" s="65">
        <v>71</v>
      </c>
      <c r="Z46" s="65">
        <v>71.5</v>
      </c>
      <c r="AA46" s="65">
        <v>71.5</v>
      </c>
      <c r="AB46" s="65">
        <v>71.5</v>
      </c>
      <c r="AC46" s="65">
        <v>71.5</v>
      </c>
      <c r="AD46" s="65">
        <v>71.5</v>
      </c>
      <c r="AE46" s="65">
        <v>71.5</v>
      </c>
      <c r="AF46" s="65">
        <v>62.1</v>
      </c>
      <c r="AG46" s="55">
        <v>70</v>
      </c>
      <c r="AH46" s="48">
        <f t="shared" si="2"/>
        <v>73.2</v>
      </c>
      <c r="AI46" s="49">
        <f t="shared" si="3"/>
        <v>60.1</v>
      </c>
      <c r="AK46" s="50"/>
    </row>
    <row r="47" spans="1:88" x14ac:dyDescent="0.25">
      <c r="A47" s="54" t="s">
        <v>55</v>
      </c>
      <c r="B47" s="65">
        <v>60.5</v>
      </c>
      <c r="C47" s="65">
        <v>66.7</v>
      </c>
      <c r="D47" s="65">
        <v>60.1</v>
      </c>
      <c r="E47" s="65">
        <v>71</v>
      </c>
      <c r="F47" s="65">
        <v>62</v>
      </c>
      <c r="G47" s="65">
        <v>71.5</v>
      </c>
      <c r="H47" s="65">
        <v>71.5</v>
      </c>
      <c r="I47" s="65">
        <v>70.7</v>
      </c>
      <c r="J47" s="65">
        <v>70.400000000000006</v>
      </c>
      <c r="K47" s="65">
        <v>70.3</v>
      </c>
      <c r="L47" s="65">
        <v>70.099999999999994</v>
      </c>
      <c r="M47" s="65">
        <v>70.599999999999994</v>
      </c>
      <c r="N47" s="65">
        <v>70.599999999999994</v>
      </c>
      <c r="O47" s="65">
        <v>71</v>
      </c>
      <c r="P47" s="45">
        <v>71</v>
      </c>
      <c r="Q47" s="45">
        <v>71</v>
      </c>
      <c r="R47" s="45">
        <v>71</v>
      </c>
      <c r="S47" s="65">
        <v>70.900000000000006</v>
      </c>
      <c r="T47" s="65">
        <v>70.8</v>
      </c>
      <c r="U47" s="65">
        <v>70.8</v>
      </c>
      <c r="V47" s="65">
        <v>70.8</v>
      </c>
      <c r="W47" s="65">
        <v>70.8</v>
      </c>
      <c r="X47" s="65">
        <v>70.5</v>
      </c>
      <c r="Y47" s="65">
        <v>70.2</v>
      </c>
      <c r="Z47" s="65">
        <v>70.599999999999994</v>
      </c>
      <c r="AA47" s="65">
        <v>70.599999999999994</v>
      </c>
      <c r="AB47" s="65">
        <v>70.599999999999994</v>
      </c>
      <c r="AC47" s="65">
        <v>70.599999999999994</v>
      </c>
      <c r="AD47" s="65">
        <v>70.599999999999994</v>
      </c>
      <c r="AE47" s="65">
        <v>70.599999999999994</v>
      </c>
      <c r="AF47" s="65">
        <v>70.599999999999994</v>
      </c>
      <c r="AG47" s="55">
        <v>69</v>
      </c>
      <c r="AH47" s="48">
        <f t="shared" si="2"/>
        <v>71.5</v>
      </c>
      <c r="AI47" s="49">
        <f t="shared" si="3"/>
        <v>60.1</v>
      </c>
      <c r="AK47" s="50"/>
    </row>
    <row r="48" spans="1:88" x14ac:dyDescent="0.25">
      <c r="A48" s="54" t="s">
        <v>56</v>
      </c>
      <c r="B48" s="57">
        <v>51.9</v>
      </c>
      <c r="C48" s="57">
        <v>52.4</v>
      </c>
      <c r="D48" s="57">
        <v>52.4</v>
      </c>
      <c r="E48" s="57">
        <v>60.9</v>
      </c>
      <c r="F48" s="57">
        <v>53</v>
      </c>
      <c r="G48" s="57">
        <v>51.4</v>
      </c>
      <c r="H48" s="57">
        <v>60.9</v>
      </c>
      <c r="I48" s="57">
        <v>60.9</v>
      </c>
      <c r="J48" s="57">
        <v>60.9</v>
      </c>
      <c r="K48" s="57">
        <v>61.2</v>
      </c>
      <c r="L48" s="57">
        <v>61.2</v>
      </c>
      <c r="M48" s="65">
        <v>60.9</v>
      </c>
      <c r="N48" s="65">
        <v>60.9</v>
      </c>
      <c r="O48" s="65">
        <v>61.2</v>
      </c>
      <c r="P48" s="45">
        <v>61.4</v>
      </c>
      <c r="Q48" s="45">
        <v>61.4</v>
      </c>
      <c r="R48" s="45">
        <v>61.4</v>
      </c>
      <c r="S48" s="45">
        <v>61.4</v>
      </c>
      <c r="T48" s="45">
        <v>61.4</v>
      </c>
      <c r="U48" s="45">
        <v>61.4</v>
      </c>
      <c r="V48" s="45">
        <v>61.4</v>
      </c>
      <c r="W48" s="45">
        <v>61.4</v>
      </c>
      <c r="X48" s="65">
        <v>61.4</v>
      </c>
      <c r="Y48" s="65">
        <v>61.4</v>
      </c>
      <c r="Z48" s="65">
        <v>61.4</v>
      </c>
      <c r="AA48" s="65">
        <v>61.4</v>
      </c>
      <c r="AB48" s="65">
        <v>61.4</v>
      </c>
      <c r="AC48" s="65">
        <v>61.4</v>
      </c>
      <c r="AD48" s="65">
        <v>61.4</v>
      </c>
      <c r="AE48" s="65">
        <v>61.4</v>
      </c>
      <c r="AF48" s="65">
        <v>51.9</v>
      </c>
      <c r="AG48" s="55">
        <v>60</v>
      </c>
      <c r="AH48" s="48">
        <f t="shared" si="2"/>
        <v>61.4</v>
      </c>
      <c r="AI48" s="49">
        <f t="shared" si="3"/>
        <v>51.4</v>
      </c>
      <c r="AK48" s="50"/>
    </row>
    <row r="49" spans="1:41" x14ac:dyDescent="0.25">
      <c r="A49" s="54" t="s">
        <v>57</v>
      </c>
      <c r="B49" s="57">
        <v>0</v>
      </c>
      <c r="C49" s="57">
        <v>0</v>
      </c>
      <c r="D49" s="57">
        <v>13.6</v>
      </c>
      <c r="E49" s="57">
        <v>13.6</v>
      </c>
      <c r="F49" s="57">
        <v>13.6</v>
      </c>
      <c r="G49" s="57">
        <v>13.6</v>
      </c>
      <c r="H49" s="57">
        <v>30</v>
      </c>
      <c r="I49" s="57">
        <v>30</v>
      </c>
      <c r="J49" s="57">
        <v>30</v>
      </c>
      <c r="K49" s="57">
        <v>30</v>
      </c>
      <c r="L49" s="57">
        <v>30</v>
      </c>
      <c r="M49" s="65">
        <v>29.2</v>
      </c>
      <c r="N49" s="65">
        <v>24</v>
      </c>
      <c r="O49" s="65">
        <v>13</v>
      </c>
      <c r="P49" s="45">
        <v>13</v>
      </c>
      <c r="Q49" s="45">
        <v>13</v>
      </c>
      <c r="R49" s="45">
        <v>0</v>
      </c>
      <c r="S49" s="45">
        <v>0</v>
      </c>
      <c r="T49" s="45">
        <v>0</v>
      </c>
      <c r="U49" s="45">
        <v>0</v>
      </c>
      <c r="V49" s="45">
        <v>0</v>
      </c>
      <c r="W49" s="45">
        <v>0</v>
      </c>
      <c r="X49" s="65">
        <v>30</v>
      </c>
      <c r="Y49" s="65">
        <v>29.5</v>
      </c>
      <c r="Z49" s="65">
        <v>29.7</v>
      </c>
      <c r="AA49" s="65">
        <v>29.7</v>
      </c>
      <c r="AB49" s="65">
        <v>29.7</v>
      </c>
      <c r="AC49" s="65">
        <v>15</v>
      </c>
      <c r="AD49" s="65">
        <v>13</v>
      </c>
      <c r="AE49" s="65">
        <v>0</v>
      </c>
      <c r="AF49" s="65">
        <v>0</v>
      </c>
      <c r="AG49" s="55">
        <v>30</v>
      </c>
      <c r="AH49" s="48">
        <f t="shared" si="2"/>
        <v>30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6</v>
      </c>
      <c r="N50" s="65">
        <v>8</v>
      </c>
      <c r="O50" s="65">
        <v>10</v>
      </c>
      <c r="P50" s="65">
        <v>10</v>
      </c>
      <c r="Q50" s="65">
        <v>10</v>
      </c>
      <c r="R50" s="65">
        <v>10</v>
      </c>
      <c r="S50" s="65">
        <v>10</v>
      </c>
      <c r="T50" s="45">
        <v>10</v>
      </c>
      <c r="U50" s="45">
        <v>10</v>
      </c>
      <c r="V50" s="45">
        <v>0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45">
        <v>0</v>
      </c>
      <c r="AC50" s="45">
        <v>0</v>
      </c>
      <c r="AD50" s="45">
        <v>0</v>
      </c>
      <c r="AE50" s="45">
        <v>0</v>
      </c>
      <c r="AF50" s="45">
        <v>0</v>
      </c>
      <c r="AG50" s="55">
        <v>25</v>
      </c>
      <c r="AH50" s="48">
        <f t="shared" si="2"/>
        <v>10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17</v>
      </c>
      <c r="C51" s="65">
        <v>17</v>
      </c>
      <c r="D51" s="65">
        <v>17</v>
      </c>
      <c r="E51" s="65">
        <v>17</v>
      </c>
      <c r="F51" s="65">
        <v>17</v>
      </c>
      <c r="G51" s="65">
        <v>17</v>
      </c>
      <c r="H51" s="65">
        <v>17</v>
      </c>
      <c r="I51" s="65">
        <v>17</v>
      </c>
      <c r="J51" s="65">
        <v>17</v>
      </c>
      <c r="K51" s="65">
        <v>17</v>
      </c>
      <c r="L51" s="65">
        <v>17</v>
      </c>
      <c r="M51" s="65">
        <v>17</v>
      </c>
      <c r="N51" s="65">
        <v>17</v>
      </c>
      <c r="O51" s="65">
        <v>17</v>
      </c>
      <c r="P51" s="65">
        <v>17</v>
      </c>
      <c r="Q51" s="65">
        <v>17</v>
      </c>
      <c r="R51" s="65">
        <v>17</v>
      </c>
      <c r="S51" s="65">
        <v>17</v>
      </c>
      <c r="T51" s="45">
        <v>17.399999999999999</v>
      </c>
      <c r="U51" s="45">
        <v>17.399999999999999</v>
      </c>
      <c r="V51" s="45">
        <v>17.399999999999999</v>
      </c>
      <c r="W51" s="45">
        <v>17.399999999999999</v>
      </c>
      <c r="X51" s="45">
        <v>17.399999999999999</v>
      </c>
      <c r="Y51" s="45">
        <v>17.399999999999999</v>
      </c>
      <c r="Z51" s="45">
        <v>17.399999999999999</v>
      </c>
      <c r="AA51" s="45">
        <v>17.399999999999999</v>
      </c>
      <c r="AB51" s="45">
        <v>17.399999999999999</v>
      </c>
      <c r="AC51" s="45">
        <v>17.399999999999999</v>
      </c>
      <c r="AD51" s="45">
        <v>17.399999999999999</v>
      </c>
      <c r="AE51" s="45">
        <v>17.399999999999999</v>
      </c>
      <c r="AF51" s="45">
        <v>17.399999999999999</v>
      </c>
      <c r="AG51" s="55">
        <v>24</v>
      </c>
      <c r="AH51" s="48">
        <f t="shared" si="2"/>
        <v>17.399999999999999</v>
      </c>
      <c r="AI51" s="49">
        <f t="shared" si="3"/>
        <v>17</v>
      </c>
      <c r="AK51" s="50"/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45">
        <v>0</v>
      </c>
      <c r="U52" s="45">
        <v>0</v>
      </c>
      <c r="V52" s="45">
        <v>0</v>
      </c>
      <c r="W52" s="4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10.7</v>
      </c>
      <c r="C53" s="65">
        <v>10.6</v>
      </c>
      <c r="D53" s="65">
        <v>10.6</v>
      </c>
      <c r="E53" s="65">
        <v>11</v>
      </c>
      <c r="F53" s="65">
        <v>11</v>
      </c>
      <c r="G53" s="65">
        <v>11</v>
      </c>
      <c r="H53" s="65">
        <v>11</v>
      </c>
      <c r="I53" s="65">
        <v>11</v>
      </c>
      <c r="J53" s="65">
        <v>11</v>
      </c>
      <c r="K53" s="65">
        <v>11</v>
      </c>
      <c r="L53" s="65">
        <v>11</v>
      </c>
      <c r="M53" s="65">
        <v>11.4</v>
      </c>
      <c r="N53" s="65">
        <v>11.4</v>
      </c>
      <c r="O53" s="65">
        <v>14.9</v>
      </c>
      <c r="P53" s="65">
        <v>15.1</v>
      </c>
      <c r="Q53" s="65">
        <v>15.1</v>
      </c>
      <c r="R53" s="65">
        <v>15.1</v>
      </c>
      <c r="S53" s="65">
        <v>15.1</v>
      </c>
      <c r="T53" s="45">
        <v>14.5</v>
      </c>
      <c r="U53" s="45">
        <v>14.5</v>
      </c>
      <c r="V53" s="45">
        <v>14.5</v>
      </c>
      <c r="W53" s="45">
        <v>14.5</v>
      </c>
      <c r="X53" s="65">
        <v>13.7</v>
      </c>
      <c r="Y53" s="65">
        <v>13.7</v>
      </c>
      <c r="Z53" s="65">
        <v>14.1</v>
      </c>
      <c r="AA53" s="65">
        <v>14.1</v>
      </c>
      <c r="AB53" s="65">
        <v>14.1</v>
      </c>
      <c r="AC53" s="65">
        <v>14.1</v>
      </c>
      <c r="AD53" s="65">
        <v>14.1</v>
      </c>
      <c r="AE53" s="65">
        <v>14.1</v>
      </c>
      <c r="AF53" s="65">
        <v>14.1</v>
      </c>
      <c r="AG53" s="55">
        <v>14.1</v>
      </c>
      <c r="AH53" s="48">
        <f t="shared" si="2"/>
        <v>15.1</v>
      </c>
      <c r="AI53" s="49">
        <f t="shared" si="3"/>
        <v>10.6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11.6</v>
      </c>
      <c r="C54" s="65">
        <v>11.6</v>
      </c>
      <c r="D54" s="65">
        <v>11.6</v>
      </c>
      <c r="E54" s="65">
        <v>11.6</v>
      </c>
      <c r="F54" s="65">
        <v>11.6</v>
      </c>
      <c r="G54" s="65">
        <v>11.6</v>
      </c>
      <c r="H54" s="65">
        <v>11.6</v>
      </c>
      <c r="I54" s="65">
        <v>11.6</v>
      </c>
      <c r="J54" s="65">
        <v>11.6</v>
      </c>
      <c r="K54" s="65">
        <v>11.6</v>
      </c>
      <c r="L54" s="65">
        <v>11.6</v>
      </c>
      <c r="M54" s="65">
        <v>11.4</v>
      </c>
      <c r="N54" s="65">
        <v>11.4</v>
      </c>
      <c r="O54" s="65">
        <v>9.9</v>
      </c>
      <c r="P54" s="65">
        <v>9.8000000000000007</v>
      </c>
      <c r="Q54" s="65">
        <v>9.8000000000000007</v>
      </c>
      <c r="R54" s="65">
        <v>9.8000000000000007</v>
      </c>
      <c r="S54" s="65">
        <v>9.8000000000000007</v>
      </c>
      <c r="T54" s="45">
        <v>7.9</v>
      </c>
      <c r="U54" s="45">
        <v>7.9</v>
      </c>
      <c r="V54" s="45">
        <v>10.1</v>
      </c>
      <c r="W54" s="45">
        <v>10.1</v>
      </c>
      <c r="X54" s="65">
        <v>11.3</v>
      </c>
      <c r="Y54" s="65">
        <v>11.3</v>
      </c>
      <c r="Z54" s="65">
        <v>11.3</v>
      </c>
      <c r="AA54" s="65">
        <v>11.3</v>
      </c>
      <c r="AB54" s="65">
        <v>11.3</v>
      </c>
      <c r="AC54" s="65">
        <v>11.3</v>
      </c>
      <c r="AD54" s="65">
        <v>11.3</v>
      </c>
      <c r="AE54" s="65">
        <v>11.3</v>
      </c>
      <c r="AF54" s="65">
        <v>11.3</v>
      </c>
      <c r="AG54" s="55">
        <v>14</v>
      </c>
      <c r="AH54" s="48">
        <f t="shared" si="2"/>
        <v>11.6</v>
      </c>
      <c r="AI54" s="49">
        <f t="shared" si="3"/>
        <v>7.9</v>
      </c>
      <c r="AK54" s="50"/>
    </row>
    <row r="55" spans="1:41" x14ac:dyDescent="0.25">
      <c r="A55" s="54" t="s">
        <v>63</v>
      </c>
      <c r="B55" s="65">
        <v>9.5</v>
      </c>
      <c r="C55" s="65">
        <v>9.5</v>
      </c>
      <c r="D55" s="65">
        <v>9.5</v>
      </c>
      <c r="E55" s="65">
        <v>9.5</v>
      </c>
      <c r="F55" s="65">
        <v>9.5</v>
      </c>
      <c r="G55" s="65">
        <v>9.5</v>
      </c>
      <c r="H55" s="65">
        <v>9.5</v>
      </c>
      <c r="I55" s="65">
        <v>9.5</v>
      </c>
      <c r="J55" s="65">
        <v>9.5</v>
      </c>
      <c r="K55" s="65">
        <v>9.5</v>
      </c>
      <c r="L55" s="65">
        <v>9.5</v>
      </c>
      <c r="M55" s="65">
        <v>9.5</v>
      </c>
      <c r="N55" s="65">
        <v>9.5</v>
      </c>
      <c r="O55" s="65">
        <v>9.5</v>
      </c>
      <c r="P55" s="65">
        <v>9.5</v>
      </c>
      <c r="Q55" s="65">
        <v>9.5</v>
      </c>
      <c r="R55" s="65">
        <v>9.5</v>
      </c>
      <c r="S55" s="65">
        <v>9.5</v>
      </c>
      <c r="T55" s="45">
        <v>9</v>
      </c>
      <c r="U55" s="45">
        <v>9</v>
      </c>
      <c r="V55" s="45">
        <v>6.9</v>
      </c>
      <c r="W55" s="45">
        <v>6.9</v>
      </c>
      <c r="X55" s="65">
        <v>9</v>
      </c>
      <c r="Y55" s="65">
        <v>9</v>
      </c>
      <c r="Z55" s="65">
        <v>9</v>
      </c>
      <c r="AA55" s="65">
        <v>9</v>
      </c>
      <c r="AB55" s="65">
        <v>9</v>
      </c>
      <c r="AC55" s="65">
        <v>9</v>
      </c>
      <c r="AD55" s="65">
        <v>9</v>
      </c>
      <c r="AE55" s="65">
        <v>9</v>
      </c>
      <c r="AF55" s="65">
        <v>9</v>
      </c>
      <c r="AG55" s="55">
        <v>10.050000000000001</v>
      </c>
      <c r="AH55" s="48">
        <f t="shared" si="2"/>
        <v>9.5</v>
      </c>
      <c r="AI55" s="49">
        <f t="shared" si="3"/>
        <v>6.9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45">
        <v>6.2</v>
      </c>
      <c r="U56" s="45">
        <v>6.2</v>
      </c>
      <c r="V56" s="45">
        <v>6.2</v>
      </c>
      <c r="W56" s="4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" si="11">SUM(B45:B57)</f>
        <v>363.94</v>
      </c>
      <c r="C58" s="61">
        <f t="shared" ref="C58:AG58" si="12">SUM(C45:C57)</f>
        <v>370.54</v>
      </c>
      <c r="D58" s="61">
        <f t="shared" si="12"/>
        <v>350.94000000000005</v>
      </c>
      <c r="E58" s="61">
        <f t="shared" si="12"/>
        <v>376.64000000000004</v>
      </c>
      <c r="F58" s="61">
        <f t="shared" si="12"/>
        <v>368.44000000000005</v>
      </c>
      <c r="G58" s="61">
        <f t="shared" si="12"/>
        <v>401.24</v>
      </c>
      <c r="H58" s="61">
        <f t="shared" si="12"/>
        <v>436.84000000000003</v>
      </c>
      <c r="I58" s="61">
        <f t="shared" si="12"/>
        <v>435.84</v>
      </c>
      <c r="J58" s="61">
        <f t="shared" si="12"/>
        <v>436.84000000000003</v>
      </c>
      <c r="K58" s="61">
        <f t="shared" si="12"/>
        <v>433.44000000000005</v>
      </c>
      <c r="L58" s="61">
        <f t="shared" si="12"/>
        <v>434.24</v>
      </c>
      <c r="M58" s="61">
        <f t="shared" si="12"/>
        <v>439.03999999999991</v>
      </c>
      <c r="N58" s="61">
        <f t="shared" si="12"/>
        <v>435.83999999999992</v>
      </c>
      <c r="O58" s="61">
        <f t="shared" si="12"/>
        <v>430.73999999999995</v>
      </c>
      <c r="P58" s="61">
        <f t="shared" si="12"/>
        <v>430.94</v>
      </c>
      <c r="Q58" s="61">
        <f t="shared" si="12"/>
        <v>430.94</v>
      </c>
      <c r="R58" s="61">
        <f t="shared" si="12"/>
        <v>417.94</v>
      </c>
      <c r="S58" s="61">
        <f t="shared" si="12"/>
        <v>416.84000000000003</v>
      </c>
      <c r="T58" s="61">
        <f t="shared" si="12"/>
        <v>416.83999999999992</v>
      </c>
      <c r="U58" s="61">
        <f t="shared" si="12"/>
        <v>416.83999999999992</v>
      </c>
      <c r="V58" s="61">
        <f t="shared" si="12"/>
        <v>406.93999999999994</v>
      </c>
      <c r="W58" s="61">
        <f t="shared" si="12"/>
        <v>406.93999999999994</v>
      </c>
      <c r="X58" s="61">
        <f t="shared" si="12"/>
        <v>438.53999999999996</v>
      </c>
      <c r="Y58" s="61">
        <f t="shared" si="12"/>
        <v>437.23999999999995</v>
      </c>
      <c r="Z58" s="61">
        <f t="shared" si="12"/>
        <v>437.74</v>
      </c>
      <c r="AA58" s="61">
        <f t="shared" si="12"/>
        <v>437.74</v>
      </c>
      <c r="AB58" s="61">
        <f t="shared" si="12"/>
        <v>437.74</v>
      </c>
      <c r="AC58" s="61">
        <f t="shared" si="12"/>
        <v>423.04</v>
      </c>
      <c r="AD58" s="61">
        <f t="shared" si="12"/>
        <v>421.04</v>
      </c>
      <c r="AE58" s="61">
        <f t="shared" si="12"/>
        <v>408.04</v>
      </c>
      <c r="AF58" s="61">
        <f t="shared" si="12"/>
        <v>366.44</v>
      </c>
      <c r="AG58" s="62">
        <f t="shared" si="12"/>
        <v>489.91</v>
      </c>
      <c r="AH58" s="48">
        <f t="shared" si="2"/>
        <v>439.03999999999991</v>
      </c>
      <c r="AI58" s="49">
        <f t="shared" si="3"/>
        <v>350.94000000000005</v>
      </c>
      <c r="AK58" s="50"/>
    </row>
    <row r="59" spans="1:41" x14ac:dyDescent="0.25">
      <c r="A59" s="44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67">
        <v>0</v>
      </c>
      <c r="AB61" s="67">
        <v>0</v>
      </c>
      <c r="AC61" s="67">
        <v>0</v>
      </c>
      <c r="AD61" s="67">
        <v>0</v>
      </c>
      <c r="AE61" s="67">
        <v>0</v>
      </c>
      <c r="AF61" s="67">
        <v>0</v>
      </c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" si="13">SUM(B59:B61)</f>
        <v>0</v>
      </c>
      <c r="C62" s="61">
        <f t="shared" ref="C62:AG62" si="14">SUM(C59:C61)</f>
        <v>0</v>
      </c>
      <c r="D62" s="61">
        <f t="shared" si="14"/>
        <v>0</v>
      </c>
      <c r="E62" s="61">
        <f t="shared" si="14"/>
        <v>0</v>
      </c>
      <c r="F62" s="61">
        <f t="shared" si="14"/>
        <v>0</v>
      </c>
      <c r="G62" s="61">
        <f t="shared" si="14"/>
        <v>0</v>
      </c>
      <c r="H62" s="61">
        <f t="shared" si="14"/>
        <v>0</v>
      </c>
      <c r="I62" s="61">
        <f t="shared" si="14"/>
        <v>0</v>
      </c>
      <c r="J62" s="61">
        <f t="shared" si="14"/>
        <v>0</v>
      </c>
      <c r="K62" s="61">
        <f t="shared" si="14"/>
        <v>0</v>
      </c>
      <c r="L62" s="61">
        <f t="shared" si="14"/>
        <v>0</v>
      </c>
      <c r="M62" s="61">
        <f t="shared" si="14"/>
        <v>0</v>
      </c>
      <c r="N62" s="61">
        <f t="shared" si="14"/>
        <v>0</v>
      </c>
      <c r="O62" s="61">
        <f t="shared" si="14"/>
        <v>0</v>
      </c>
      <c r="P62" s="61">
        <f t="shared" si="14"/>
        <v>0</v>
      </c>
      <c r="Q62" s="61">
        <f t="shared" si="14"/>
        <v>0</v>
      </c>
      <c r="R62" s="61">
        <f t="shared" si="14"/>
        <v>0</v>
      </c>
      <c r="S62" s="61">
        <f t="shared" si="14"/>
        <v>0</v>
      </c>
      <c r="T62" s="61">
        <f t="shared" si="14"/>
        <v>0</v>
      </c>
      <c r="U62" s="61">
        <f t="shared" si="14"/>
        <v>0</v>
      </c>
      <c r="V62" s="61">
        <f t="shared" si="14"/>
        <v>0</v>
      </c>
      <c r="W62" s="61">
        <f t="shared" si="14"/>
        <v>0</v>
      </c>
      <c r="X62" s="61">
        <f t="shared" si="14"/>
        <v>0</v>
      </c>
      <c r="Y62" s="61">
        <f t="shared" si="14"/>
        <v>0</v>
      </c>
      <c r="Z62" s="61">
        <f t="shared" si="14"/>
        <v>0</v>
      </c>
      <c r="AA62" s="61">
        <f t="shared" si="14"/>
        <v>0</v>
      </c>
      <c r="AB62" s="61">
        <f t="shared" si="14"/>
        <v>0</v>
      </c>
      <c r="AC62" s="61">
        <f t="shared" si="14"/>
        <v>0</v>
      </c>
      <c r="AD62" s="61">
        <f t="shared" si="14"/>
        <v>0</v>
      </c>
      <c r="AE62" s="61">
        <f t="shared" si="14"/>
        <v>0</v>
      </c>
      <c r="AF62" s="61">
        <f t="shared" si="14"/>
        <v>0</v>
      </c>
      <c r="AG62" s="62">
        <f t="shared" si="14"/>
        <v>106</v>
      </c>
      <c r="AH62" s="48">
        <f t="shared" si="2"/>
        <v>0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-305</v>
      </c>
      <c r="C65" s="65">
        <v>-290</v>
      </c>
      <c r="D65" s="65">
        <v>-294.39999999999998</v>
      </c>
      <c r="E65" s="65">
        <v>-302</v>
      </c>
      <c r="F65" s="65">
        <v>-298</v>
      </c>
      <c r="G65" s="65">
        <v>-252</v>
      </c>
      <c r="H65" s="65">
        <v>-281</v>
      </c>
      <c r="I65" s="65">
        <v>-301.60000000000002</v>
      </c>
      <c r="J65" s="65">
        <v>-305</v>
      </c>
      <c r="K65" s="65">
        <v>-322</v>
      </c>
      <c r="L65" s="65">
        <v>-320.7</v>
      </c>
      <c r="M65" s="65">
        <v>-343.4</v>
      </c>
      <c r="N65" s="65">
        <v>-244</v>
      </c>
      <c r="O65" s="65">
        <v>-228.6</v>
      </c>
      <c r="P65" s="65">
        <v>-245</v>
      </c>
      <c r="Q65" s="65">
        <v>-220</v>
      </c>
      <c r="R65" s="65">
        <v>-213</v>
      </c>
      <c r="S65" s="65">
        <v>-170</v>
      </c>
      <c r="T65" s="65">
        <v>-135.1</v>
      </c>
      <c r="U65" s="65">
        <v>-120.9</v>
      </c>
      <c r="V65" s="65">
        <v>-171</v>
      </c>
      <c r="W65" s="65">
        <v>-197</v>
      </c>
      <c r="X65" s="65">
        <v>-246.6</v>
      </c>
      <c r="Y65" s="65">
        <v>-263.39999999999998</v>
      </c>
      <c r="Z65" s="65">
        <v>-304.60000000000002</v>
      </c>
      <c r="AA65" s="65">
        <v>-254</v>
      </c>
      <c r="AB65" s="65">
        <v>-271.89999999999998</v>
      </c>
      <c r="AC65" s="65">
        <v>-304.89999999999998</v>
      </c>
      <c r="AD65" s="65">
        <v>-307</v>
      </c>
      <c r="AE65" s="65">
        <v>-312.60000000000002</v>
      </c>
      <c r="AF65" s="65">
        <v>-295</v>
      </c>
      <c r="AG65" s="75"/>
      <c r="AH65" s="48">
        <f t="shared" si="2"/>
        <v>-120.9</v>
      </c>
      <c r="AI65" s="49">
        <f t="shared" si="3"/>
        <v>-343.4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>
        <v>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9">
        <v>0</v>
      </c>
      <c r="C72" s="79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6">
        <v>0</v>
      </c>
      <c r="N72" s="76">
        <v>0</v>
      </c>
      <c r="O72" s="76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9">
        <v>0</v>
      </c>
      <c r="C73" s="79">
        <v>0</v>
      </c>
      <c r="D73" s="79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6">
        <v>0</v>
      </c>
      <c r="N73" s="76">
        <v>0</v>
      </c>
      <c r="O73" s="76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" si="15">SUMIF(B63:B73,"&gt;0")</f>
        <v>0</v>
      </c>
      <c r="C74" s="61">
        <f t="shared" ref="C74:AF74" si="16">SUMIF(C63:C73,"&gt;0")</f>
        <v>0</v>
      </c>
      <c r="D74" s="61">
        <f t="shared" si="16"/>
        <v>0</v>
      </c>
      <c r="E74" s="61">
        <f t="shared" si="16"/>
        <v>0</v>
      </c>
      <c r="F74" s="61">
        <f t="shared" si="16"/>
        <v>0</v>
      </c>
      <c r="G74" s="61">
        <f t="shared" si="16"/>
        <v>0</v>
      </c>
      <c r="H74" s="61">
        <f t="shared" si="16"/>
        <v>0</v>
      </c>
      <c r="I74" s="61">
        <f t="shared" si="16"/>
        <v>0</v>
      </c>
      <c r="J74" s="61">
        <f t="shared" si="16"/>
        <v>0</v>
      </c>
      <c r="K74" s="61">
        <f t="shared" si="16"/>
        <v>0</v>
      </c>
      <c r="L74" s="61">
        <f t="shared" si="16"/>
        <v>0</v>
      </c>
      <c r="M74" s="61">
        <f t="shared" si="16"/>
        <v>0</v>
      </c>
      <c r="N74" s="61">
        <f t="shared" si="16"/>
        <v>0</v>
      </c>
      <c r="O74" s="61">
        <f t="shared" si="16"/>
        <v>0</v>
      </c>
      <c r="P74" s="61">
        <f t="shared" si="16"/>
        <v>0</v>
      </c>
      <c r="Q74" s="61">
        <f t="shared" si="16"/>
        <v>0</v>
      </c>
      <c r="R74" s="61">
        <f t="shared" si="16"/>
        <v>0</v>
      </c>
      <c r="S74" s="61">
        <f t="shared" si="16"/>
        <v>0</v>
      </c>
      <c r="T74" s="61">
        <f t="shared" si="16"/>
        <v>0</v>
      </c>
      <c r="U74" s="61">
        <f t="shared" si="16"/>
        <v>0</v>
      </c>
      <c r="V74" s="61">
        <f t="shared" si="16"/>
        <v>0</v>
      </c>
      <c r="W74" s="61">
        <f t="shared" si="16"/>
        <v>0</v>
      </c>
      <c r="X74" s="61">
        <f t="shared" si="16"/>
        <v>0</v>
      </c>
      <c r="Y74" s="61">
        <f t="shared" si="16"/>
        <v>0</v>
      </c>
      <c r="Z74" s="61">
        <f t="shared" si="16"/>
        <v>0</v>
      </c>
      <c r="AA74" s="61">
        <f t="shared" si="16"/>
        <v>0</v>
      </c>
      <c r="AB74" s="61">
        <f t="shared" si="16"/>
        <v>0</v>
      </c>
      <c r="AC74" s="61">
        <f t="shared" si="16"/>
        <v>0</v>
      </c>
      <c r="AD74" s="61">
        <f t="shared" si="16"/>
        <v>0</v>
      </c>
      <c r="AE74" s="61">
        <f t="shared" si="16"/>
        <v>0</v>
      </c>
      <c r="AF74" s="61">
        <f t="shared" si="16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44" t="s">
        <v>83</v>
      </c>
      <c r="B75" s="76">
        <v>0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>
        <v>0</v>
      </c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75">
        <v>14.4</v>
      </c>
      <c r="AH76" s="48">
        <f t="shared" ref="AH76:AH109" si="17">MAX(B76:AF76)</f>
        <v>0</v>
      </c>
      <c r="AI76" s="49">
        <f t="shared" ref="AI76:AI109" si="18">MIN(B76:AF76)</f>
        <v>0</v>
      </c>
      <c r="AK76" s="50"/>
    </row>
    <row r="77" spans="1:37" ht="15.75" thickBot="1" x14ac:dyDescent="0.3">
      <c r="A77" s="78" t="s">
        <v>85</v>
      </c>
      <c r="B77" s="79">
        <v>0</v>
      </c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79">
        <v>0</v>
      </c>
      <c r="AC77" s="79">
        <v>0</v>
      </c>
      <c r="AD77" s="79">
        <v>0</v>
      </c>
      <c r="AE77" s="79">
        <v>0</v>
      </c>
      <c r="AF77" s="79">
        <v>0</v>
      </c>
      <c r="AG77" s="80">
        <v>2</v>
      </c>
      <c r="AH77" s="48">
        <f t="shared" si="17"/>
        <v>0</v>
      </c>
      <c r="AI77" s="49">
        <f t="shared" si="18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17"/>
        <v>0</v>
      </c>
      <c r="AI78" s="49">
        <f t="shared" si="18"/>
        <v>0</v>
      </c>
    </row>
    <row r="79" spans="1:37" ht="15.75" thickBot="1" x14ac:dyDescent="0.3">
      <c r="A79" s="74" t="s">
        <v>87</v>
      </c>
      <c r="B79" s="83">
        <f t="shared" ref="B79:AG79" si="19">B40+B44+B62+B58+B74+B78</f>
        <v>1260.3399999999999</v>
      </c>
      <c r="C79" s="83">
        <f t="shared" si="19"/>
        <v>1236.94</v>
      </c>
      <c r="D79" s="83">
        <f t="shared" si="19"/>
        <v>1217.3400000000001</v>
      </c>
      <c r="E79" s="83">
        <f t="shared" si="19"/>
        <v>1245.3400000000001</v>
      </c>
      <c r="F79" s="83">
        <f t="shared" si="19"/>
        <v>1235.04</v>
      </c>
      <c r="G79" s="83">
        <f t="shared" si="19"/>
        <v>1226.8399999999999</v>
      </c>
      <c r="H79" s="83">
        <f t="shared" si="19"/>
        <v>1341.94</v>
      </c>
      <c r="I79" s="83">
        <f t="shared" si="19"/>
        <v>1396.84</v>
      </c>
      <c r="J79" s="83">
        <f t="shared" si="19"/>
        <v>1493.2400000000002</v>
      </c>
      <c r="K79" s="83">
        <f t="shared" si="19"/>
        <v>1609.8400000000001</v>
      </c>
      <c r="L79" s="83">
        <f t="shared" si="19"/>
        <v>1681.64</v>
      </c>
      <c r="M79" s="83">
        <f t="shared" si="19"/>
        <v>1682.2399999999998</v>
      </c>
      <c r="N79" s="83">
        <f t="shared" si="19"/>
        <v>1518.9399999999998</v>
      </c>
      <c r="O79" s="83">
        <f t="shared" si="19"/>
        <v>1391.84</v>
      </c>
      <c r="P79" s="83">
        <f t="shared" si="19"/>
        <v>1380.04</v>
      </c>
      <c r="Q79" s="83">
        <f t="shared" si="19"/>
        <v>1360.04</v>
      </c>
      <c r="R79" s="83">
        <f t="shared" si="19"/>
        <v>1287.04</v>
      </c>
      <c r="S79" s="83">
        <f t="shared" si="19"/>
        <v>1267.94</v>
      </c>
      <c r="T79" s="83">
        <f t="shared" si="19"/>
        <v>1267.8399999999999</v>
      </c>
      <c r="U79" s="83">
        <f t="shared" si="19"/>
        <v>1308.8399999999999</v>
      </c>
      <c r="V79" s="83">
        <f t="shared" si="19"/>
        <v>1406.94</v>
      </c>
      <c r="W79" s="83">
        <f t="shared" si="19"/>
        <v>1528.44</v>
      </c>
      <c r="X79" s="83">
        <f t="shared" si="19"/>
        <v>1700.24</v>
      </c>
      <c r="Y79" s="83">
        <f t="shared" si="19"/>
        <v>1616.14</v>
      </c>
      <c r="Z79" s="83">
        <f t="shared" si="19"/>
        <v>1556.44</v>
      </c>
      <c r="AA79" s="83">
        <f t="shared" si="19"/>
        <v>1465.34</v>
      </c>
      <c r="AB79" s="83">
        <f t="shared" si="19"/>
        <v>1415.3400000000001</v>
      </c>
      <c r="AC79" s="83">
        <f t="shared" si="19"/>
        <v>1392.14</v>
      </c>
      <c r="AD79" s="83">
        <f t="shared" si="19"/>
        <v>1335.14</v>
      </c>
      <c r="AE79" s="83">
        <f t="shared" si="19"/>
        <v>1266.1400000000001</v>
      </c>
      <c r="AF79" s="83">
        <f t="shared" si="19"/>
        <v>1209.54</v>
      </c>
      <c r="AG79" s="62">
        <f t="shared" si="19"/>
        <v>1897.1900000000003</v>
      </c>
      <c r="AH79" s="48">
        <f t="shared" si="17"/>
        <v>1700.24</v>
      </c>
      <c r="AI79" s="49">
        <f t="shared" si="18"/>
        <v>1209.54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17"/>
        <v>0</v>
      </c>
      <c r="AI80" s="49">
        <f t="shared" si="18"/>
        <v>0</v>
      </c>
    </row>
    <row r="81" spans="1:37" ht="15.75" thickBot="1" x14ac:dyDescent="0.3">
      <c r="A81" s="74" t="s">
        <v>89</v>
      </c>
      <c r="B81" s="83">
        <f t="shared" ref="B81:AF81" si="20">B79+B80</f>
        <v>1260.3399999999999</v>
      </c>
      <c r="C81" s="83">
        <f t="shared" si="20"/>
        <v>1236.94</v>
      </c>
      <c r="D81" s="83">
        <f t="shared" si="20"/>
        <v>1217.3400000000001</v>
      </c>
      <c r="E81" s="83">
        <f t="shared" si="20"/>
        <v>1245.3400000000001</v>
      </c>
      <c r="F81" s="83">
        <f t="shared" si="20"/>
        <v>1235.04</v>
      </c>
      <c r="G81" s="83">
        <f t="shared" si="20"/>
        <v>1226.8399999999999</v>
      </c>
      <c r="H81" s="83">
        <f t="shared" si="20"/>
        <v>1341.94</v>
      </c>
      <c r="I81" s="83">
        <f t="shared" si="20"/>
        <v>1396.84</v>
      </c>
      <c r="J81" s="83">
        <f t="shared" si="20"/>
        <v>1493.2400000000002</v>
      </c>
      <c r="K81" s="83">
        <f t="shared" si="20"/>
        <v>1609.8400000000001</v>
      </c>
      <c r="L81" s="83">
        <f t="shared" si="20"/>
        <v>1681.64</v>
      </c>
      <c r="M81" s="83">
        <f t="shared" si="20"/>
        <v>1682.2399999999998</v>
      </c>
      <c r="N81" s="83">
        <f t="shared" si="20"/>
        <v>1518.9399999999998</v>
      </c>
      <c r="O81" s="83">
        <f t="shared" si="20"/>
        <v>1391.84</v>
      </c>
      <c r="P81" s="83">
        <f t="shared" si="20"/>
        <v>1380.04</v>
      </c>
      <c r="Q81" s="83">
        <f t="shared" si="20"/>
        <v>1360.04</v>
      </c>
      <c r="R81" s="83">
        <f t="shared" si="20"/>
        <v>1287.04</v>
      </c>
      <c r="S81" s="83">
        <f t="shared" si="20"/>
        <v>1267.94</v>
      </c>
      <c r="T81" s="83">
        <f t="shared" si="20"/>
        <v>1267.8399999999999</v>
      </c>
      <c r="U81" s="83">
        <f t="shared" si="20"/>
        <v>1308.8399999999999</v>
      </c>
      <c r="V81" s="83">
        <f t="shared" si="20"/>
        <v>1406.94</v>
      </c>
      <c r="W81" s="83">
        <f t="shared" si="20"/>
        <v>1528.44</v>
      </c>
      <c r="X81" s="83">
        <f t="shared" si="20"/>
        <v>1700.24</v>
      </c>
      <c r="Y81" s="83">
        <f t="shared" si="20"/>
        <v>1616.14</v>
      </c>
      <c r="Z81" s="83">
        <f t="shared" si="20"/>
        <v>1556.44</v>
      </c>
      <c r="AA81" s="83">
        <f t="shared" si="20"/>
        <v>1465.34</v>
      </c>
      <c r="AB81" s="83">
        <f t="shared" si="20"/>
        <v>1415.3400000000001</v>
      </c>
      <c r="AC81" s="83">
        <f t="shared" si="20"/>
        <v>1392.14</v>
      </c>
      <c r="AD81" s="83">
        <f t="shared" si="20"/>
        <v>1335.14</v>
      </c>
      <c r="AE81" s="83">
        <f t="shared" si="20"/>
        <v>1266.1400000000001</v>
      </c>
      <c r="AF81" s="83">
        <f t="shared" si="20"/>
        <v>1209.54</v>
      </c>
      <c r="AG81" s="81">
        <f>AG78+AG74+AG62+AG58+AG40+AG80</f>
        <v>1359.0900000000001</v>
      </c>
      <c r="AH81" s="48">
        <f t="shared" si="17"/>
        <v>1700.24</v>
      </c>
      <c r="AI81" s="49">
        <f t="shared" si="18"/>
        <v>1209.54</v>
      </c>
    </row>
    <row r="82" spans="1:37" ht="15.75" thickBot="1" x14ac:dyDescent="0.3">
      <c r="A82" s="74" t="s">
        <v>90</v>
      </c>
      <c r="B82" s="83">
        <f t="shared" ref="B82:AF82" si="21">B81-B89</f>
        <v>955.33999999999992</v>
      </c>
      <c r="C82" s="83">
        <f t="shared" si="21"/>
        <v>946.94</v>
      </c>
      <c r="D82" s="83">
        <f t="shared" si="21"/>
        <v>922.94000000000017</v>
      </c>
      <c r="E82" s="83">
        <f t="shared" si="21"/>
        <v>943.34000000000015</v>
      </c>
      <c r="F82" s="83">
        <f t="shared" si="21"/>
        <v>937.04</v>
      </c>
      <c r="G82" s="83">
        <f t="shared" si="21"/>
        <v>974.83999999999992</v>
      </c>
      <c r="H82" s="83">
        <f t="shared" si="21"/>
        <v>1060.94</v>
      </c>
      <c r="I82" s="83">
        <f t="shared" si="21"/>
        <v>1095.2399999999998</v>
      </c>
      <c r="J82" s="83">
        <f t="shared" si="21"/>
        <v>1188.2400000000002</v>
      </c>
      <c r="K82" s="83">
        <f t="shared" si="21"/>
        <v>1287.8400000000001</v>
      </c>
      <c r="L82" s="83">
        <f t="shared" si="21"/>
        <v>1360.94</v>
      </c>
      <c r="M82" s="83">
        <f t="shared" si="21"/>
        <v>1338.8399999999997</v>
      </c>
      <c r="N82" s="83">
        <f t="shared" si="21"/>
        <v>1274.9399999999998</v>
      </c>
      <c r="O82" s="83">
        <f t="shared" si="21"/>
        <v>1163.24</v>
      </c>
      <c r="P82" s="83">
        <f t="shared" si="21"/>
        <v>1135.04</v>
      </c>
      <c r="Q82" s="83">
        <f t="shared" si="21"/>
        <v>1140.04</v>
      </c>
      <c r="R82" s="83">
        <f t="shared" si="21"/>
        <v>1074.04</v>
      </c>
      <c r="S82" s="83">
        <f t="shared" si="21"/>
        <v>1097.94</v>
      </c>
      <c r="T82" s="83">
        <f t="shared" si="21"/>
        <v>1132.74</v>
      </c>
      <c r="U82" s="83">
        <f t="shared" si="21"/>
        <v>1187.9399999999998</v>
      </c>
      <c r="V82" s="83">
        <f t="shared" si="21"/>
        <v>1235.94</v>
      </c>
      <c r="W82" s="83">
        <f t="shared" si="21"/>
        <v>1331.44</v>
      </c>
      <c r="X82" s="83">
        <f t="shared" si="21"/>
        <v>1453.64</v>
      </c>
      <c r="Y82" s="83">
        <f t="shared" si="21"/>
        <v>1352.7400000000002</v>
      </c>
      <c r="Z82" s="83">
        <f t="shared" si="21"/>
        <v>1251.8400000000001</v>
      </c>
      <c r="AA82" s="83">
        <f t="shared" si="21"/>
        <v>1211.3399999999999</v>
      </c>
      <c r="AB82" s="83">
        <f t="shared" si="21"/>
        <v>1143.44</v>
      </c>
      <c r="AC82" s="83">
        <f t="shared" si="21"/>
        <v>1087.2400000000002</v>
      </c>
      <c r="AD82" s="83">
        <f t="shared" si="21"/>
        <v>1028.1400000000001</v>
      </c>
      <c r="AE82" s="83">
        <f t="shared" si="21"/>
        <v>953.54000000000008</v>
      </c>
      <c r="AF82" s="83">
        <f t="shared" si="21"/>
        <v>914.54</v>
      </c>
      <c r="AG82" s="81"/>
      <c r="AH82" s="48">
        <f t="shared" si="17"/>
        <v>1453.64</v>
      </c>
      <c r="AI82" s="49">
        <f t="shared" si="18"/>
        <v>914.54</v>
      </c>
    </row>
    <row r="83" spans="1:37" x14ac:dyDescent="0.25">
      <c r="A83" s="44" t="s">
        <v>74</v>
      </c>
      <c r="B83" s="76">
        <f t="shared" ref="B83:AF83" si="22">IF(B66&lt;0,B66*-1,0)</f>
        <v>0</v>
      </c>
      <c r="C83" s="76">
        <f t="shared" si="22"/>
        <v>0</v>
      </c>
      <c r="D83" s="76">
        <f t="shared" si="22"/>
        <v>0</v>
      </c>
      <c r="E83" s="76">
        <f t="shared" si="22"/>
        <v>0</v>
      </c>
      <c r="F83" s="76">
        <f t="shared" si="22"/>
        <v>0</v>
      </c>
      <c r="G83" s="76">
        <f t="shared" si="22"/>
        <v>0</v>
      </c>
      <c r="H83" s="76">
        <f t="shared" si="22"/>
        <v>0</v>
      </c>
      <c r="I83" s="76">
        <f t="shared" si="22"/>
        <v>0</v>
      </c>
      <c r="J83" s="76">
        <f t="shared" si="22"/>
        <v>0</v>
      </c>
      <c r="K83" s="76">
        <f t="shared" si="22"/>
        <v>0</v>
      </c>
      <c r="L83" s="76">
        <f t="shared" si="22"/>
        <v>0</v>
      </c>
      <c r="M83" s="76">
        <f t="shared" si="22"/>
        <v>0</v>
      </c>
      <c r="N83" s="76">
        <f t="shared" si="22"/>
        <v>0</v>
      </c>
      <c r="O83" s="76">
        <f t="shared" si="22"/>
        <v>0</v>
      </c>
      <c r="P83" s="76">
        <f t="shared" si="22"/>
        <v>0</v>
      </c>
      <c r="Q83" s="76">
        <f t="shared" si="22"/>
        <v>0</v>
      </c>
      <c r="R83" s="76">
        <f t="shared" si="22"/>
        <v>0</v>
      </c>
      <c r="S83" s="76">
        <f t="shared" si="22"/>
        <v>0</v>
      </c>
      <c r="T83" s="76">
        <f t="shared" si="22"/>
        <v>0</v>
      </c>
      <c r="U83" s="76">
        <f t="shared" si="22"/>
        <v>0</v>
      </c>
      <c r="V83" s="76">
        <f t="shared" si="22"/>
        <v>0</v>
      </c>
      <c r="W83" s="76">
        <f t="shared" si="22"/>
        <v>0</v>
      </c>
      <c r="X83" s="76">
        <f t="shared" si="22"/>
        <v>0</v>
      </c>
      <c r="Y83" s="76">
        <f t="shared" si="22"/>
        <v>0</v>
      </c>
      <c r="Z83" s="76">
        <f t="shared" si="22"/>
        <v>0</v>
      </c>
      <c r="AA83" s="76">
        <f t="shared" si="22"/>
        <v>0</v>
      </c>
      <c r="AB83" s="76">
        <f t="shared" si="22"/>
        <v>0</v>
      </c>
      <c r="AC83" s="76">
        <f t="shared" si="22"/>
        <v>0</v>
      </c>
      <c r="AD83" s="76">
        <f t="shared" si="22"/>
        <v>0</v>
      </c>
      <c r="AE83" s="76">
        <f t="shared" si="22"/>
        <v>0</v>
      </c>
      <c r="AF83" s="76">
        <f t="shared" si="22"/>
        <v>0</v>
      </c>
      <c r="AG83" s="52"/>
      <c r="AH83" s="48">
        <f t="shared" si="17"/>
        <v>0</v>
      </c>
      <c r="AI83" s="49">
        <f t="shared" si="18"/>
        <v>0</v>
      </c>
    </row>
    <row r="84" spans="1:37" x14ac:dyDescent="0.25">
      <c r="A84" s="54" t="s">
        <v>72</v>
      </c>
      <c r="B84" s="76">
        <f t="shared" ref="B84:AF84" si="23">IF(B64&lt;0,B64*-1,0)</f>
        <v>0</v>
      </c>
      <c r="C84" s="76">
        <f t="shared" si="23"/>
        <v>0</v>
      </c>
      <c r="D84" s="76">
        <f t="shared" si="23"/>
        <v>0</v>
      </c>
      <c r="E84" s="76">
        <f t="shared" si="23"/>
        <v>0</v>
      </c>
      <c r="F84" s="76">
        <f t="shared" si="23"/>
        <v>0</v>
      </c>
      <c r="G84" s="76">
        <f t="shared" si="23"/>
        <v>0</v>
      </c>
      <c r="H84" s="76">
        <f t="shared" si="23"/>
        <v>0</v>
      </c>
      <c r="I84" s="76">
        <f t="shared" si="23"/>
        <v>0</v>
      </c>
      <c r="J84" s="76">
        <f t="shared" si="23"/>
        <v>0</v>
      </c>
      <c r="K84" s="76">
        <f t="shared" si="23"/>
        <v>0</v>
      </c>
      <c r="L84" s="76">
        <f t="shared" si="23"/>
        <v>0</v>
      </c>
      <c r="M84" s="76">
        <f t="shared" si="23"/>
        <v>0</v>
      </c>
      <c r="N84" s="76">
        <f t="shared" si="23"/>
        <v>0</v>
      </c>
      <c r="O84" s="76">
        <f t="shared" si="23"/>
        <v>0</v>
      </c>
      <c r="P84" s="76">
        <f t="shared" si="23"/>
        <v>0</v>
      </c>
      <c r="Q84" s="76">
        <f t="shared" si="23"/>
        <v>0</v>
      </c>
      <c r="R84" s="76">
        <f t="shared" si="23"/>
        <v>0</v>
      </c>
      <c r="S84" s="76">
        <f t="shared" si="23"/>
        <v>0</v>
      </c>
      <c r="T84" s="76">
        <f t="shared" si="23"/>
        <v>0</v>
      </c>
      <c r="U84" s="76">
        <f t="shared" si="23"/>
        <v>0</v>
      </c>
      <c r="V84" s="76">
        <f t="shared" si="23"/>
        <v>0</v>
      </c>
      <c r="W84" s="76">
        <f t="shared" si="23"/>
        <v>0</v>
      </c>
      <c r="X84" s="76">
        <f t="shared" si="23"/>
        <v>0</v>
      </c>
      <c r="Y84" s="76">
        <f t="shared" si="23"/>
        <v>0</v>
      </c>
      <c r="Z84" s="76">
        <f t="shared" si="23"/>
        <v>0</v>
      </c>
      <c r="AA84" s="76">
        <f t="shared" si="23"/>
        <v>0</v>
      </c>
      <c r="AB84" s="76">
        <f t="shared" si="23"/>
        <v>0</v>
      </c>
      <c r="AC84" s="76">
        <f t="shared" si="23"/>
        <v>0</v>
      </c>
      <c r="AD84" s="76">
        <f t="shared" si="23"/>
        <v>0</v>
      </c>
      <c r="AE84" s="76">
        <f t="shared" si="23"/>
        <v>0</v>
      </c>
      <c r="AF84" s="76">
        <f t="shared" si="23"/>
        <v>0</v>
      </c>
      <c r="AG84" s="55"/>
      <c r="AH84" s="48">
        <f t="shared" si="17"/>
        <v>0</v>
      </c>
      <c r="AI84" s="49">
        <f t="shared" si="18"/>
        <v>0</v>
      </c>
    </row>
    <row r="85" spans="1:37" x14ac:dyDescent="0.25">
      <c r="A85" s="78" t="s">
        <v>91</v>
      </c>
      <c r="B85" s="76">
        <f t="shared" ref="B85:AF85" si="24">IF(B67&lt;0,B67*-1,0)</f>
        <v>0</v>
      </c>
      <c r="C85" s="76">
        <f t="shared" si="24"/>
        <v>0</v>
      </c>
      <c r="D85" s="76">
        <f t="shared" si="24"/>
        <v>0</v>
      </c>
      <c r="E85" s="76">
        <f t="shared" si="24"/>
        <v>0</v>
      </c>
      <c r="F85" s="76">
        <f t="shared" si="24"/>
        <v>0</v>
      </c>
      <c r="G85" s="76">
        <f t="shared" si="24"/>
        <v>0</v>
      </c>
      <c r="H85" s="76">
        <f t="shared" si="24"/>
        <v>0</v>
      </c>
      <c r="I85" s="76">
        <f t="shared" si="24"/>
        <v>0</v>
      </c>
      <c r="J85" s="76">
        <f t="shared" si="24"/>
        <v>0</v>
      </c>
      <c r="K85" s="76">
        <f t="shared" si="24"/>
        <v>0</v>
      </c>
      <c r="L85" s="76">
        <f t="shared" si="24"/>
        <v>0</v>
      </c>
      <c r="M85" s="76">
        <f t="shared" si="24"/>
        <v>0</v>
      </c>
      <c r="N85" s="76">
        <f t="shared" si="24"/>
        <v>0</v>
      </c>
      <c r="O85" s="76">
        <f t="shared" si="24"/>
        <v>0</v>
      </c>
      <c r="P85" s="76">
        <f t="shared" si="24"/>
        <v>0</v>
      </c>
      <c r="Q85" s="76">
        <f t="shared" si="24"/>
        <v>0</v>
      </c>
      <c r="R85" s="76">
        <f t="shared" si="24"/>
        <v>0</v>
      </c>
      <c r="S85" s="76">
        <f t="shared" si="24"/>
        <v>0</v>
      </c>
      <c r="T85" s="76">
        <f t="shared" si="24"/>
        <v>0</v>
      </c>
      <c r="U85" s="76">
        <f t="shared" si="24"/>
        <v>0</v>
      </c>
      <c r="V85" s="76">
        <f t="shared" si="24"/>
        <v>0</v>
      </c>
      <c r="W85" s="76">
        <f t="shared" si="24"/>
        <v>0</v>
      </c>
      <c r="X85" s="76">
        <f t="shared" si="24"/>
        <v>0</v>
      </c>
      <c r="Y85" s="76">
        <f t="shared" si="24"/>
        <v>0</v>
      </c>
      <c r="Z85" s="76">
        <f t="shared" si="24"/>
        <v>0</v>
      </c>
      <c r="AA85" s="76">
        <f t="shared" si="24"/>
        <v>0</v>
      </c>
      <c r="AB85" s="76">
        <f t="shared" si="24"/>
        <v>0</v>
      </c>
      <c r="AC85" s="76">
        <f t="shared" si="24"/>
        <v>0</v>
      </c>
      <c r="AD85" s="76">
        <f t="shared" si="24"/>
        <v>0</v>
      </c>
      <c r="AE85" s="76">
        <f t="shared" si="24"/>
        <v>0</v>
      </c>
      <c r="AF85" s="76">
        <f t="shared" si="24"/>
        <v>0</v>
      </c>
      <c r="AG85" s="86"/>
      <c r="AH85" s="48">
        <f t="shared" si="17"/>
        <v>0</v>
      </c>
      <c r="AI85" s="49">
        <f t="shared" si="18"/>
        <v>0</v>
      </c>
    </row>
    <row r="86" spans="1:37" x14ac:dyDescent="0.25">
      <c r="A86" s="78" t="s">
        <v>92</v>
      </c>
      <c r="B86" s="76">
        <f t="shared" ref="B86:AF86" si="25">IF(B65&lt;0,B65*-1,0)</f>
        <v>305</v>
      </c>
      <c r="C86" s="76">
        <f t="shared" si="25"/>
        <v>290</v>
      </c>
      <c r="D86" s="76">
        <f t="shared" si="25"/>
        <v>294.39999999999998</v>
      </c>
      <c r="E86" s="76">
        <f t="shared" si="25"/>
        <v>302</v>
      </c>
      <c r="F86" s="76">
        <f t="shared" si="25"/>
        <v>298</v>
      </c>
      <c r="G86" s="76">
        <f t="shared" si="25"/>
        <v>252</v>
      </c>
      <c r="H86" s="76">
        <f t="shared" si="25"/>
        <v>281</v>
      </c>
      <c r="I86" s="76">
        <f t="shared" si="25"/>
        <v>301.60000000000002</v>
      </c>
      <c r="J86" s="76">
        <f t="shared" si="25"/>
        <v>305</v>
      </c>
      <c r="K86" s="76">
        <f t="shared" si="25"/>
        <v>322</v>
      </c>
      <c r="L86" s="76">
        <f t="shared" si="25"/>
        <v>320.7</v>
      </c>
      <c r="M86" s="76">
        <f t="shared" si="25"/>
        <v>343.4</v>
      </c>
      <c r="N86" s="76">
        <f t="shared" si="25"/>
        <v>244</v>
      </c>
      <c r="O86" s="76">
        <f t="shared" si="25"/>
        <v>228.6</v>
      </c>
      <c r="P86" s="76">
        <f t="shared" si="25"/>
        <v>245</v>
      </c>
      <c r="Q86" s="76">
        <f t="shared" si="25"/>
        <v>220</v>
      </c>
      <c r="R86" s="76">
        <f t="shared" si="25"/>
        <v>213</v>
      </c>
      <c r="S86" s="76">
        <f t="shared" si="25"/>
        <v>170</v>
      </c>
      <c r="T86" s="76">
        <f t="shared" si="25"/>
        <v>135.1</v>
      </c>
      <c r="U86" s="76">
        <f t="shared" si="25"/>
        <v>120.9</v>
      </c>
      <c r="V86" s="76">
        <f t="shared" si="25"/>
        <v>171</v>
      </c>
      <c r="W86" s="76">
        <f t="shared" si="25"/>
        <v>197</v>
      </c>
      <c r="X86" s="76">
        <f t="shared" si="25"/>
        <v>246.6</v>
      </c>
      <c r="Y86" s="76">
        <f t="shared" si="25"/>
        <v>263.39999999999998</v>
      </c>
      <c r="Z86" s="76">
        <f t="shared" si="25"/>
        <v>304.60000000000002</v>
      </c>
      <c r="AA86" s="76">
        <f t="shared" si="25"/>
        <v>254</v>
      </c>
      <c r="AB86" s="76">
        <f t="shared" si="25"/>
        <v>271.89999999999998</v>
      </c>
      <c r="AC86" s="76">
        <f t="shared" si="25"/>
        <v>304.89999999999998</v>
      </c>
      <c r="AD86" s="76">
        <f t="shared" si="25"/>
        <v>307</v>
      </c>
      <c r="AE86" s="76">
        <f t="shared" si="25"/>
        <v>312.60000000000002</v>
      </c>
      <c r="AF86" s="76">
        <f t="shared" si="25"/>
        <v>295</v>
      </c>
      <c r="AG86" s="86"/>
      <c r="AH86" s="48">
        <f t="shared" si="17"/>
        <v>343.4</v>
      </c>
      <c r="AI86" s="49">
        <f t="shared" si="18"/>
        <v>120.9</v>
      </c>
    </row>
    <row r="87" spans="1:37" x14ac:dyDescent="0.25">
      <c r="A87" s="78" t="s">
        <v>71</v>
      </c>
      <c r="B87" s="76">
        <f t="shared" ref="B87:AF87" si="26">IF(B63&lt;0,B63*-1,0)</f>
        <v>0</v>
      </c>
      <c r="C87" s="76">
        <f t="shared" si="26"/>
        <v>0</v>
      </c>
      <c r="D87" s="76">
        <f t="shared" si="26"/>
        <v>0</v>
      </c>
      <c r="E87" s="76">
        <f t="shared" si="26"/>
        <v>0</v>
      </c>
      <c r="F87" s="76">
        <f t="shared" si="26"/>
        <v>0</v>
      </c>
      <c r="G87" s="76">
        <f t="shared" si="26"/>
        <v>0</v>
      </c>
      <c r="H87" s="76">
        <f t="shared" si="26"/>
        <v>0</v>
      </c>
      <c r="I87" s="76">
        <f t="shared" si="26"/>
        <v>0</v>
      </c>
      <c r="J87" s="76">
        <f t="shared" si="26"/>
        <v>0</v>
      </c>
      <c r="K87" s="76">
        <f t="shared" si="26"/>
        <v>0</v>
      </c>
      <c r="L87" s="76">
        <f t="shared" si="26"/>
        <v>0</v>
      </c>
      <c r="M87" s="76">
        <f t="shared" si="26"/>
        <v>0</v>
      </c>
      <c r="N87" s="76">
        <f t="shared" si="26"/>
        <v>0</v>
      </c>
      <c r="O87" s="76">
        <f t="shared" si="26"/>
        <v>0</v>
      </c>
      <c r="P87" s="76">
        <f t="shared" si="26"/>
        <v>0</v>
      </c>
      <c r="Q87" s="76">
        <f t="shared" si="26"/>
        <v>0</v>
      </c>
      <c r="R87" s="76">
        <f t="shared" si="26"/>
        <v>0</v>
      </c>
      <c r="S87" s="76">
        <f t="shared" si="26"/>
        <v>0</v>
      </c>
      <c r="T87" s="76">
        <f t="shared" si="26"/>
        <v>0</v>
      </c>
      <c r="U87" s="76">
        <f t="shared" si="26"/>
        <v>0</v>
      </c>
      <c r="V87" s="76">
        <f t="shared" si="26"/>
        <v>0</v>
      </c>
      <c r="W87" s="76">
        <f t="shared" si="26"/>
        <v>0</v>
      </c>
      <c r="X87" s="76">
        <f t="shared" si="26"/>
        <v>0</v>
      </c>
      <c r="Y87" s="76">
        <f t="shared" si="26"/>
        <v>0</v>
      </c>
      <c r="Z87" s="76">
        <f t="shared" si="26"/>
        <v>0</v>
      </c>
      <c r="AA87" s="76">
        <f t="shared" si="26"/>
        <v>0</v>
      </c>
      <c r="AB87" s="76">
        <f t="shared" si="26"/>
        <v>0</v>
      </c>
      <c r="AC87" s="76">
        <f t="shared" si="26"/>
        <v>0</v>
      </c>
      <c r="AD87" s="76">
        <f t="shared" si="26"/>
        <v>0</v>
      </c>
      <c r="AE87" s="76">
        <f t="shared" si="26"/>
        <v>0</v>
      </c>
      <c r="AF87" s="76">
        <f t="shared" si="26"/>
        <v>0</v>
      </c>
      <c r="AG87" s="86"/>
      <c r="AH87" s="48">
        <f t="shared" si="17"/>
        <v>0</v>
      </c>
      <c r="AI87" s="49">
        <f t="shared" si="18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17"/>
        <v>0</v>
      </c>
      <c r="AI88" s="49">
        <f t="shared" si="18"/>
        <v>0</v>
      </c>
    </row>
    <row r="89" spans="1:37" ht="15.75" thickBot="1" x14ac:dyDescent="0.3">
      <c r="A89" s="87" t="s">
        <v>94</v>
      </c>
      <c r="B89" s="61">
        <f t="shared" ref="B89:AF89" si="27">SUM(B83:B88)</f>
        <v>305</v>
      </c>
      <c r="C89" s="61">
        <f t="shared" si="27"/>
        <v>290</v>
      </c>
      <c r="D89" s="61">
        <f t="shared" si="27"/>
        <v>294.39999999999998</v>
      </c>
      <c r="E89" s="61">
        <f t="shared" si="27"/>
        <v>302</v>
      </c>
      <c r="F89" s="61">
        <f t="shared" si="27"/>
        <v>298</v>
      </c>
      <c r="G89" s="61">
        <f t="shared" si="27"/>
        <v>252</v>
      </c>
      <c r="H89" s="61">
        <f t="shared" si="27"/>
        <v>281</v>
      </c>
      <c r="I89" s="61">
        <f t="shared" si="27"/>
        <v>301.60000000000002</v>
      </c>
      <c r="J89" s="61">
        <f t="shared" si="27"/>
        <v>305</v>
      </c>
      <c r="K89" s="61">
        <f t="shared" si="27"/>
        <v>322</v>
      </c>
      <c r="L89" s="61">
        <f t="shared" si="27"/>
        <v>320.7</v>
      </c>
      <c r="M89" s="61">
        <f t="shared" si="27"/>
        <v>343.4</v>
      </c>
      <c r="N89" s="61">
        <f t="shared" si="27"/>
        <v>244</v>
      </c>
      <c r="O89" s="61">
        <f t="shared" si="27"/>
        <v>228.6</v>
      </c>
      <c r="P89" s="61">
        <f t="shared" si="27"/>
        <v>245</v>
      </c>
      <c r="Q89" s="61">
        <f t="shared" si="27"/>
        <v>220</v>
      </c>
      <c r="R89" s="61">
        <f t="shared" si="27"/>
        <v>213</v>
      </c>
      <c r="S89" s="61">
        <f t="shared" si="27"/>
        <v>170</v>
      </c>
      <c r="T89" s="61">
        <f t="shared" si="27"/>
        <v>135.1</v>
      </c>
      <c r="U89" s="61">
        <f t="shared" si="27"/>
        <v>120.9</v>
      </c>
      <c r="V89" s="61">
        <f t="shared" si="27"/>
        <v>171</v>
      </c>
      <c r="W89" s="61">
        <f t="shared" si="27"/>
        <v>197</v>
      </c>
      <c r="X89" s="61">
        <f t="shared" si="27"/>
        <v>246.6</v>
      </c>
      <c r="Y89" s="61">
        <f t="shared" si="27"/>
        <v>263.39999999999998</v>
      </c>
      <c r="Z89" s="61">
        <f t="shared" si="27"/>
        <v>304.60000000000002</v>
      </c>
      <c r="AA89" s="61">
        <f t="shared" si="27"/>
        <v>254</v>
      </c>
      <c r="AB89" s="61">
        <f t="shared" si="27"/>
        <v>271.89999999999998</v>
      </c>
      <c r="AC89" s="61">
        <f t="shared" si="27"/>
        <v>304.89999999999998</v>
      </c>
      <c r="AD89" s="61">
        <f t="shared" si="27"/>
        <v>307</v>
      </c>
      <c r="AE89" s="61">
        <f t="shared" si="27"/>
        <v>312.60000000000002</v>
      </c>
      <c r="AF89" s="61">
        <f t="shared" si="27"/>
        <v>295</v>
      </c>
      <c r="AG89" s="81"/>
      <c r="AH89" s="48">
        <f t="shared" si="17"/>
        <v>343.4</v>
      </c>
      <c r="AI89" s="49">
        <f t="shared" si="18"/>
        <v>120.9</v>
      </c>
      <c r="AK89" s="50"/>
    </row>
    <row r="90" spans="1:37" ht="15.75" thickBot="1" x14ac:dyDescent="0.3">
      <c r="A90" s="74" t="s">
        <v>95</v>
      </c>
      <c r="B90" s="61">
        <f t="shared" ref="B90:AF90" si="28">B74-B89</f>
        <v>-305</v>
      </c>
      <c r="C90" s="61">
        <f t="shared" si="28"/>
        <v>-290</v>
      </c>
      <c r="D90" s="61">
        <f t="shared" si="28"/>
        <v>-294.39999999999998</v>
      </c>
      <c r="E90" s="61">
        <f t="shared" si="28"/>
        <v>-302</v>
      </c>
      <c r="F90" s="61">
        <f t="shared" si="28"/>
        <v>-298</v>
      </c>
      <c r="G90" s="61">
        <f t="shared" si="28"/>
        <v>-252</v>
      </c>
      <c r="H90" s="61">
        <f t="shared" si="28"/>
        <v>-281</v>
      </c>
      <c r="I90" s="61">
        <f t="shared" si="28"/>
        <v>-301.60000000000002</v>
      </c>
      <c r="J90" s="61">
        <f t="shared" si="28"/>
        <v>-305</v>
      </c>
      <c r="K90" s="61">
        <f t="shared" si="28"/>
        <v>-322</v>
      </c>
      <c r="L90" s="61">
        <f t="shared" si="28"/>
        <v>-320.7</v>
      </c>
      <c r="M90" s="61">
        <f t="shared" si="28"/>
        <v>-343.4</v>
      </c>
      <c r="N90" s="61">
        <f t="shared" si="28"/>
        <v>-244</v>
      </c>
      <c r="O90" s="61">
        <f t="shared" si="28"/>
        <v>-228.6</v>
      </c>
      <c r="P90" s="61">
        <f t="shared" si="28"/>
        <v>-245</v>
      </c>
      <c r="Q90" s="61">
        <f t="shared" si="28"/>
        <v>-220</v>
      </c>
      <c r="R90" s="61">
        <f t="shared" si="28"/>
        <v>-213</v>
      </c>
      <c r="S90" s="61">
        <f t="shared" si="28"/>
        <v>-170</v>
      </c>
      <c r="T90" s="61">
        <f t="shared" si="28"/>
        <v>-135.1</v>
      </c>
      <c r="U90" s="61">
        <f t="shared" si="28"/>
        <v>-120.9</v>
      </c>
      <c r="V90" s="61">
        <f t="shared" si="28"/>
        <v>-171</v>
      </c>
      <c r="W90" s="61">
        <f t="shared" si="28"/>
        <v>-197</v>
      </c>
      <c r="X90" s="61">
        <f t="shared" si="28"/>
        <v>-246.6</v>
      </c>
      <c r="Y90" s="61">
        <f t="shared" si="28"/>
        <v>-263.39999999999998</v>
      </c>
      <c r="Z90" s="61">
        <f t="shared" si="28"/>
        <v>-304.60000000000002</v>
      </c>
      <c r="AA90" s="61">
        <f t="shared" si="28"/>
        <v>-254</v>
      </c>
      <c r="AB90" s="61">
        <f t="shared" si="28"/>
        <v>-271.89999999999998</v>
      </c>
      <c r="AC90" s="61">
        <f t="shared" si="28"/>
        <v>-304.89999999999998</v>
      </c>
      <c r="AD90" s="61">
        <f t="shared" si="28"/>
        <v>-307</v>
      </c>
      <c r="AE90" s="61">
        <f t="shared" si="28"/>
        <v>-312.60000000000002</v>
      </c>
      <c r="AF90" s="61">
        <f t="shared" si="28"/>
        <v>-295</v>
      </c>
      <c r="AG90" s="81"/>
      <c r="AH90" s="48">
        <f t="shared" si="17"/>
        <v>-120.9</v>
      </c>
      <c r="AI90" s="49">
        <f t="shared" si="18"/>
        <v>-343.4</v>
      </c>
    </row>
    <row r="91" spans="1:37" x14ac:dyDescent="0.25">
      <c r="A91" s="88" t="s">
        <v>96</v>
      </c>
      <c r="B91" s="89">
        <v>50.026000000000003</v>
      </c>
      <c r="C91" s="89">
        <v>49.987000000000002</v>
      </c>
      <c r="D91" s="89">
        <v>50.034999999999997</v>
      </c>
      <c r="E91" s="89">
        <v>49.994999999999997</v>
      </c>
      <c r="F91" s="89">
        <v>50.048999999999999</v>
      </c>
      <c r="G91" s="89">
        <v>50.04</v>
      </c>
      <c r="H91" s="89">
        <v>50.084000000000003</v>
      </c>
      <c r="I91" s="89">
        <v>50.072000000000003</v>
      </c>
      <c r="J91" s="89">
        <v>50.021999999999998</v>
      </c>
      <c r="K91" s="89">
        <v>50.02</v>
      </c>
      <c r="L91" s="89">
        <v>49.996000000000002</v>
      </c>
      <c r="M91" s="89">
        <v>50.05</v>
      </c>
      <c r="N91" s="89">
        <v>50.05</v>
      </c>
      <c r="O91" s="89">
        <v>50.01</v>
      </c>
      <c r="P91" s="89">
        <v>50.02</v>
      </c>
      <c r="Q91" s="89">
        <v>50.02</v>
      </c>
      <c r="R91" s="89">
        <v>50.02</v>
      </c>
      <c r="S91" s="89">
        <v>50.037999999999997</v>
      </c>
      <c r="T91" s="89">
        <v>49.895000000000003</v>
      </c>
      <c r="U91" s="89">
        <v>49.906999999999996</v>
      </c>
      <c r="V91" s="89">
        <v>49.929000000000002</v>
      </c>
      <c r="W91" s="89">
        <v>49.93</v>
      </c>
      <c r="X91" s="89">
        <v>50.070999999999998</v>
      </c>
      <c r="Y91" s="89">
        <v>50.058</v>
      </c>
      <c r="Z91" s="89">
        <v>50.015999999999998</v>
      </c>
      <c r="AA91" s="89">
        <v>50.048000000000002</v>
      </c>
      <c r="AB91" s="89">
        <v>50.003</v>
      </c>
      <c r="AC91" s="89">
        <v>50.103000000000002</v>
      </c>
      <c r="AD91" s="89">
        <v>50.031999999999996</v>
      </c>
      <c r="AE91" s="89">
        <v>50.042000000000002</v>
      </c>
      <c r="AF91" s="89">
        <v>49.976999999999997</v>
      </c>
      <c r="AG91" s="90"/>
      <c r="AH91" s="48">
        <f t="shared" si="17"/>
        <v>50.103000000000002</v>
      </c>
      <c r="AI91" s="49">
        <f t="shared" si="18"/>
        <v>49.895000000000003</v>
      </c>
    </row>
    <row r="92" spans="1:37" x14ac:dyDescent="0.25">
      <c r="A92" s="91" t="s">
        <v>97</v>
      </c>
      <c r="B92" s="65">
        <v>127.6</v>
      </c>
      <c r="C92" s="65">
        <v>127.7</v>
      </c>
      <c r="D92" s="65">
        <v>128.30000000000001</v>
      </c>
      <c r="E92" s="65">
        <v>128.30000000000001</v>
      </c>
      <c r="F92" s="65">
        <v>128.30000000000001</v>
      </c>
      <c r="G92" s="65">
        <v>127</v>
      </c>
      <c r="H92" s="65">
        <v>127</v>
      </c>
      <c r="I92" s="65">
        <v>126</v>
      </c>
      <c r="J92" s="65">
        <v>125</v>
      </c>
      <c r="K92" s="65">
        <v>124.4</v>
      </c>
      <c r="L92" s="65">
        <v>123.8</v>
      </c>
      <c r="M92" s="65">
        <v>124.8</v>
      </c>
      <c r="N92" s="65">
        <v>124.8</v>
      </c>
      <c r="O92" s="65">
        <v>124.3</v>
      </c>
      <c r="P92" s="65">
        <v>124.1</v>
      </c>
      <c r="Q92" s="65">
        <v>124.1</v>
      </c>
      <c r="R92" s="65">
        <v>124.1</v>
      </c>
      <c r="S92" s="65">
        <v>123.5</v>
      </c>
      <c r="T92" s="65">
        <v>123.8</v>
      </c>
      <c r="U92" s="65">
        <v>123</v>
      </c>
      <c r="V92" s="65">
        <v>126.3</v>
      </c>
      <c r="W92" s="65">
        <v>125</v>
      </c>
      <c r="X92" s="65">
        <v>125.8</v>
      </c>
      <c r="Y92" s="65">
        <v>126.8</v>
      </c>
      <c r="Z92" s="65">
        <v>127.6</v>
      </c>
      <c r="AA92" s="65">
        <v>127.5</v>
      </c>
      <c r="AB92" s="65">
        <v>127.3</v>
      </c>
      <c r="AC92" s="65">
        <v>127.1</v>
      </c>
      <c r="AD92" s="65">
        <v>127.5</v>
      </c>
      <c r="AE92" s="65">
        <v>128.80000000000001</v>
      </c>
      <c r="AF92" s="65">
        <v>128.19999999999999</v>
      </c>
      <c r="AG92" s="92"/>
      <c r="AH92" s="48">
        <f t="shared" si="17"/>
        <v>128.80000000000001</v>
      </c>
      <c r="AI92" s="49">
        <f t="shared" si="18"/>
        <v>123</v>
      </c>
    </row>
    <row r="93" spans="1:37" x14ac:dyDescent="0.25">
      <c r="A93" s="91" t="s">
        <v>98</v>
      </c>
      <c r="B93" s="65">
        <v>131.69999999999999</v>
      </c>
      <c r="C93" s="65">
        <v>131.80000000000001</v>
      </c>
      <c r="D93" s="65">
        <v>132</v>
      </c>
      <c r="E93" s="65">
        <v>132</v>
      </c>
      <c r="F93" s="65">
        <v>132</v>
      </c>
      <c r="G93" s="65">
        <v>131</v>
      </c>
      <c r="H93" s="65">
        <v>131</v>
      </c>
      <c r="I93" s="65">
        <v>129.6</v>
      </c>
      <c r="J93" s="65">
        <v>128.69999999999999</v>
      </c>
      <c r="K93" s="65">
        <v>127.5</v>
      </c>
      <c r="L93" s="65">
        <v>127</v>
      </c>
      <c r="M93" s="65">
        <v>127.6</v>
      </c>
      <c r="N93" s="65">
        <v>127.6</v>
      </c>
      <c r="O93" s="65">
        <v>127.6</v>
      </c>
      <c r="P93" s="65">
        <v>127.6</v>
      </c>
      <c r="Q93" s="65">
        <v>127.6</v>
      </c>
      <c r="R93" s="65">
        <v>127.6</v>
      </c>
      <c r="S93" s="65">
        <v>127</v>
      </c>
      <c r="T93" s="65">
        <v>127.7</v>
      </c>
      <c r="U93" s="65">
        <v>128.9</v>
      </c>
      <c r="V93" s="65">
        <v>129</v>
      </c>
      <c r="W93" s="65">
        <v>128</v>
      </c>
      <c r="X93" s="65">
        <v>128.30000000000001</v>
      </c>
      <c r="Y93" s="65">
        <v>129.19999999999999</v>
      </c>
      <c r="Z93" s="65">
        <v>129.9</v>
      </c>
      <c r="AA93" s="65">
        <v>129.69999999999999</v>
      </c>
      <c r="AB93" s="65">
        <v>129.80000000000001</v>
      </c>
      <c r="AC93" s="65">
        <v>130</v>
      </c>
      <c r="AD93" s="65">
        <v>130.4</v>
      </c>
      <c r="AE93" s="65">
        <v>131.9</v>
      </c>
      <c r="AF93" s="65">
        <v>131.9</v>
      </c>
      <c r="AG93" s="92"/>
      <c r="AH93" s="48">
        <f t="shared" si="17"/>
        <v>132</v>
      </c>
      <c r="AI93" s="49">
        <f t="shared" si="18"/>
        <v>127</v>
      </c>
    </row>
    <row r="94" spans="1:37" x14ac:dyDescent="0.25">
      <c r="A94" s="91" t="s">
        <v>99</v>
      </c>
      <c r="B94" s="65">
        <v>131</v>
      </c>
      <c r="C94" s="65">
        <v>130.9</v>
      </c>
      <c r="D94" s="65">
        <v>131.4</v>
      </c>
      <c r="E94" s="65">
        <v>131.4</v>
      </c>
      <c r="F94" s="65">
        <v>131.4</v>
      </c>
      <c r="G94" s="65">
        <v>129.69999999999999</v>
      </c>
      <c r="H94" s="65">
        <v>129.69999999999999</v>
      </c>
      <c r="I94" s="65">
        <v>130</v>
      </c>
      <c r="J94" s="65">
        <v>128</v>
      </c>
      <c r="K94" s="65">
        <v>127.4</v>
      </c>
      <c r="L94" s="65">
        <v>128</v>
      </c>
      <c r="M94" s="65">
        <v>129.6</v>
      </c>
      <c r="N94" s="65">
        <v>129.6</v>
      </c>
      <c r="O94" s="65">
        <v>131.19999999999999</v>
      </c>
      <c r="P94" s="65">
        <v>130.9</v>
      </c>
      <c r="Q94" s="65">
        <v>130.9</v>
      </c>
      <c r="R94" s="65">
        <v>130.9</v>
      </c>
      <c r="S94" s="65">
        <v>130</v>
      </c>
      <c r="T94" s="65">
        <v>129.80000000000001</v>
      </c>
      <c r="U94" s="65">
        <v>129.5</v>
      </c>
      <c r="V94" s="65">
        <v>132.30000000000001</v>
      </c>
      <c r="W94" s="65">
        <v>127</v>
      </c>
      <c r="X94" s="65">
        <v>130.30000000000001</v>
      </c>
      <c r="Y94" s="65">
        <v>132.4</v>
      </c>
      <c r="Z94" s="65">
        <v>132.30000000000001</v>
      </c>
      <c r="AA94" s="65">
        <v>133.19999999999999</v>
      </c>
      <c r="AB94" s="65">
        <v>132.69999999999999</v>
      </c>
      <c r="AC94" s="65">
        <v>131.5</v>
      </c>
      <c r="AD94" s="65">
        <v>131</v>
      </c>
      <c r="AE94" s="65">
        <v>132.9</v>
      </c>
      <c r="AF94" s="65">
        <v>131.4</v>
      </c>
      <c r="AG94" s="92"/>
      <c r="AH94" s="48">
        <f t="shared" si="17"/>
        <v>133.19999999999999</v>
      </c>
      <c r="AI94" s="49">
        <f t="shared" si="18"/>
        <v>127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17"/>
        <v>0</v>
      </c>
      <c r="AI95" s="49">
        <f t="shared" si="18"/>
        <v>0</v>
      </c>
    </row>
    <row r="96" spans="1:37" x14ac:dyDescent="0.25">
      <c r="A96" s="93" t="s">
        <v>101</v>
      </c>
      <c r="B96" s="94">
        <v>135</v>
      </c>
      <c r="C96" s="94">
        <v>133.80000000000001</v>
      </c>
      <c r="D96" s="94">
        <v>132.6</v>
      </c>
      <c r="E96" s="94">
        <v>132.6</v>
      </c>
      <c r="F96" s="94">
        <v>132.6</v>
      </c>
      <c r="G96" s="94">
        <v>135</v>
      </c>
      <c r="H96" s="94">
        <v>135</v>
      </c>
      <c r="I96" s="94">
        <v>131.69999999999999</v>
      </c>
      <c r="J96" s="94">
        <v>130.6</v>
      </c>
      <c r="K96" s="94">
        <v>131.4</v>
      </c>
      <c r="L96" s="94">
        <v>132</v>
      </c>
      <c r="M96" s="94">
        <v>132.9</v>
      </c>
      <c r="N96" s="94">
        <v>132.9</v>
      </c>
      <c r="O96" s="94">
        <v>133.9</v>
      </c>
      <c r="P96" s="94">
        <v>134.30000000000001</v>
      </c>
      <c r="Q96" s="94">
        <v>134.30000000000001</v>
      </c>
      <c r="R96" s="94">
        <v>134.30000000000001</v>
      </c>
      <c r="S96" s="94">
        <v>132.80000000000001</v>
      </c>
      <c r="T96" s="94">
        <v>133.19999999999999</v>
      </c>
      <c r="U96" s="94">
        <v>135.1</v>
      </c>
      <c r="V96" s="94">
        <v>131.5</v>
      </c>
      <c r="W96" s="94">
        <v>133.80000000000001</v>
      </c>
      <c r="X96" s="94">
        <v>134.9</v>
      </c>
      <c r="Y96" s="94">
        <v>134.30000000000001</v>
      </c>
      <c r="Z96" s="94">
        <v>134.6</v>
      </c>
      <c r="AA96" s="94">
        <v>134.5</v>
      </c>
      <c r="AB96" s="94">
        <v>135.4</v>
      </c>
      <c r="AC96" s="94">
        <v>133.4</v>
      </c>
      <c r="AD96" s="94">
        <v>134.1</v>
      </c>
      <c r="AE96" s="94">
        <v>135.6</v>
      </c>
      <c r="AF96" s="94">
        <v>136.1</v>
      </c>
      <c r="AG96" s="95"/>
      <c r="AH96" s="48">
        <f t="shared" si="17"/>
        <v>136.1</v>
      </c>
      <c r="AI96" s="49">
        <f t="shared" si="18"/>
        <v>130.6</v>
      </c>
    </row>
    <row r="97" spans="1:37" x14ac:dyDescent="0.25">
      <c r="A97" s="91" t="s">
        <v>102</v>
      </c>
      <c r="B97" s="65">
        <v>133.5</v>
      </c>
      <c r="C97" s="65">
        <v>133</v>
      </c>
      <c r="D97" s="65">
        <v>132.9</v>
      </c>
      <c r="E97" s="65">
        <v>132.9</v>
      </c>
      <c r="F97" s="65">
        <v>132.9</v>
      </c>
      <c r="G97" s="65">
        <v>133</v>
      </c>
      <c r="H97" s="65">
        <v>133</v>
      </c>
      <c r="I97" s="65">
        <v>127.6</v>
      </c>
      <c r="J97" s="65">
        <v>128</v>
      </c>
      <c r="K97" s="65">
        <v>130.9</v>
      </c>
      <c r="L97" s="65">
        <v>128</v>
      </c>
      <c r="M97" s="65">
        <v>132.80000000000001</v>
      </c>
      <c r="N97" s="65">
        <v>132.80000000000001</v>
      </c>
      <c r="O97" s="65">
        <v>132</v>
      </c>
      <c r="P97" s="65">
        <v>132.80000000000001</v>
      </c>
      <c r="Q97" s="65">
        <v>132.80000000000001</v>
      </c>
      <c r="R97" s="65">
        <v>132.80000000000001</v>
      </c>
      <c r="S97" s="65">
        <v>130.4</v>
      </c>
      <c r="T97" s="65">
        <v>128</v>
      </c>
      <c r="U97" s="65">
        <v>133.1</v>
      </c>
      <c r="V97" s="65">
        <v>127.5</v>
      </c>
      <c r="W97" s="65">
        <v>131</v>
      </c>
      <c r="X97" s="65">
        <v>131.9</v>
      </c>
      <c r="Y97" s="65">
        <v>131.6</v>
      </c>
      <c r="Z97" s="65">
        <v>132.4</v>
      </c>
      <c r="AA97" s="65">
        <v>133.80000000000001</v>
      </c>
      <c r="AB97" s="65">
        <v>133.30000000000001</v>
      </c>
      <c r="AC97" s="65">
        <v>132</v>
      </c>
      <c r="AD97" s="65">
        <v>132.69999999999999</v>
      </c>
      <c r="AE97" s="65">
        <v>133</v>
      </c>
      <c r="AF97" s="65">
        <v>133.6</v>
      </c>
      <c r="AG97" s="92"/>
      <c r="AH97" s="48">
        <f t="shared" si="17"/>
        <v>133.80000000000001</v>
      </c>
      <c r="AI97" s="49">
        <f t="shared" si="18"/>
        <v>127.5</v>
      </c>
    </row>
    <row r="98" spans="1:37" ht="15.75" thickBot="1" x14ac:dyDescent="0.3">
      <c r="A98" s="91" t="s">
        <v>103</v>
      </c>
      <c r="B98" s="96">
        <v>66</v>
      </c>
      <c r="C98" s="96">
        <v>66</v>
      </c>
      <c r="D98" s="96">
        <v>66</v>
      </c>
      <c r="E98" s="96">
        <v>66</v>
      </c>
      <c r="F98" s="96">
        <v>66</v>
      </c>
      <c r="G98" s="96">
        <v>65.599999999999994</v>
      </c>
      <c r="H98" s="96">
        <v>65.599999999999994</v>
      </c>
      <c r="I98" s="96">
        <v>64.7</v>
      </c>
      <c r="J98" s="96">
        <v>64.8</v>
      </c>
      <c r="K98" s="96">
        <v>63.8</v>
      </c>
      <c r="L98" s="96">
        <v>63.6</v>
      </c>
      <c r="M98" s="96">
        <v>64</v>
      </c>
      <c r="N98" s="96">
        <v>64</v>
      </c>
      <c r="O98" s="96">
        <v>63.9</v>
      </c>
      <c r="P98" s="96">
        <v>64</v>
      </c>
      <c r="Q98" s="96">
        <v>64</v>
      </c>
      <c r="R98" s="96">
        <v>64</v>
      </c>
      <c r="S98" s="96">
        <v>63.5</v>
      </c>
      <c r="T98" s="96">
        <v>64.2</v>
      </c>
      <c r="U98" s="96">
        <v>64.8</v>
      </c>
      <c r="V98" s="96">
        <v>64.900000000000006</v>
      </c>
      <c r="W98" s="96">
        <v>64.3</v>
      </c>
      <c r="X98" s="96">
        <v>64.8</v>
      </c>
      <c r="Y98" s="96">
        <v>65</v>
      </c>
      <c r="Z98" s="96">
        <v>65.3</v>
      </c>
      <c r="AA98" s="96">
        <v>65.2</v>
      </c>
      <c r="AB98" s="96">
        <v>65.2</v>
      </c>
      <c r="AC98" s="96">
        <v>65.400000000000006</v>
      </c>
      <c r="AD98" s="96">
        <v>65.7</v>
      </c>
      <c r="AE98" s="96">
        <v>66.599999999999994</v>
      </c>
      <c r="AF98" s="96">
        <v>66.5</v>
      </c>
      <c r="AG98" s="97"/>
      <c r="AH98" s="48">
        <f t="shared" si="17"/>
        <v>66.599999999999994</v>
      </c>
      <c r="AI98" s="49">
        <f t="shared" si="18"/>
        <v>63.5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17"/>
        <v>0</v>
      </c>
      <c r="AI99" s="49">
        <f t="shared" si="18"/>
        <v>0</v>
      </c>
    </row>
    <row r="100" spans="1:37" ht="15.75" thickBot="1" x14ac:dyDescent="0.3">
      <c r="A100" s="99" t="s">
        <v>104</v>
      </c>
      <c r="B100" s="100">
        <f t="shared" ref="B100:AF100" si="29">SUM(B15,B20,B22:B23,B48,B50:B51,B53,B55,B101:B105,B127,B133,B139,B148,B150,B162,B169,B172:B173,B180,B182,B184,B188:B190,B192:B194,B199,B205:B206,B208:B210,B218,B223)</f>
        <v>62.000000000000021</v>
      </c>
      <c r="C100" s="100">
        <f t="shared" si="29"/>
        <v>56.939999999999976</v>
      </c>
      <c r="D100" s="100">
        <f t="shared" si="29"/>
        <v>51.64</v>
      </c>
      <c r="E100" s="100">
        <f t="shared" si="29"/>
        <v>55.440000000000005</v>
      </c>
      <c r="F100" s="100">
        <f t="shared" si="29"/>
        <v>58.44</v>
      </c>
      <c r="G100" s="100">
        <f t="shared" si="29"/>
        <v>82.24</v>
      </c>
      <c r="H100" s="100">
        <f t="shared" si="29"/>
        <v>111.43999999999998</v>
      </c>
      <c r="I100" s="100">
        <f t="shared" si="29"/>
        <v>132.54000000000002</v>
      </c>
      <c r="J100" s="100">
        <f t="shared" si="29"/>
        <v>195.74</v>
      </c>
      <c r="K100" s="100">
        <f t="shared" si="29"/>
        <v>241.14</v>
      </c>
      <c r="L100" s="100">
        <f t="shared" si="29"/>
        <v>258.54000000000002</v>
      </c>
      <c r="M100" s="100">
        <f t="shared" si="29"/>
        <v>260.54000000000002</v>
      </c>
      <c r="N100" s="100">
        <f t="shared" si="29"/>
        <v>220.54000000000002</v>
      </c>
      <c r="O100" s="100">
        <f t="shared" si="29"/>
        <v>214.23999999999998</v>
      </c>
      <c r="P100" s="100">
        <f t="shared" si="29"/>
        <v>188.84</v>
      </c>
      <c r="Q100" s="100">
        <f t="shared" si="29"/>
        <v>187.9</v>
      </c>
      <c r="R100" s="100">
        <f t="shared" si="29"/>
        <v>176.9</v>
      </c>
      <c r="S100" s="100">
        <f t="shared" si="29"/>
        <v>156.89999999999998</v>
      </c>
      <c r="T100" s="100">
        <f t="shared" si="29"/>
        <v>180.7</v>
      </c>
      <c r="U100" s="100">
        <f t="shared" si="29"/>
        <v>190.3</v>
      </c>
      <c r="V100" s="100">
        <f t="shared" si="29"/>
        <v>211.60000000000002</v>
      </c>
      <c r="W100" s="100">
        <f t="shared" si="29"/>
        <v>272.39999999999998</v>
      </c>
      <c r="X100" s="100">
        <f t="shared" si="29"/>
        <v>282.10000000000002</v>
      </c>
      <c r="Y100" s="100">
        <f t="shared" si="29"/>
        <v>279.2</v>
      </c>
      <c r="Z100" s="100">
        <f t="shared" si="29"/>
        <v>259.7</v>
      </c>
      <c r="AA100" s="100">
        <f t="shared" si="29"/>
        <v>237.9</v>
      </c>
      <c r="AB100" s="100">
        <f t="shared" si="29"/>
        <v>217.10000000000002</v>
      </c>
      <c r="AC100" s="100">
        <f t="shared" si="29"/>
        <v>186.70000000000002</v>
      </c>
      <c r="AD100" s="100">
        <f t="shared" si="29"/>
        <v>152.29999999999998</v>
      </c>
      <c r="AE100" s="100">
        <f>SUM(AE15,AE20,AE22:AE23,AE48,AE50:AE51,AE53,AE55,AE101:AE105,AE127,AE133,AE139,AE148,AE150,AE162,AE169,AE172:AE173,AE180,AE182,AE184,AE188:AE190,AE192:AE194,AE199,AE205:AE206,AE208:AE210,AE218,AE223)</f>
        <v>113.59999999999998</v>
      </c>
      <c r="AF100" s="100">
        <f t="shared" si="29"/>
        <v>75.800000000000011</v>
      </c>
      <c r="AG100" s="101"/>
      <c r="AH100" s="48">
        <f t="shared" si="17"/>
        <v>282.10000000000002</v>
      </c>
      <c r="AI100" s="49">
        <f t="shared" si="18"/>
        <v>51.64</v>
      </c>
    </row>
    <row r="101" spans="1:37" x14ac:dyDescent="0.25">
      <c r="A101" s="88" t="s">
        <v>105</v>
      </c>
      <c r="B101" s="102">
        <v>29.6</v>
      </c>
      <c r="C101" s="102">
        <v>31.2</v>
      </c>
      <c r="D101" s="102">
        <v>29.3</v>
      </c>
      <c r="E101" s="102">
        <v>33.5</v>
      </c>
      <c r="F101" s="102">
        <v>32</v>
      </c>
      <c r="G101" s="102">
        <v>41.6</v>
      </c>
      <c r="H101" s="102">
        <v>40.299999999999997</v>
      </c>
      <c r="I101" s="102">
        <v>41.2</v>
      </c>
      <c r="J101" s="102">
        <v>49</v>
      </c>
      <c r="K101" s="102">
        <v>47.3</v>
      </c>
      <c r="L101" s="102">
        <v>43</v>
      </c>
      <c r="M101" s="102">
        <v>45.4</v>
      </c>
      <c r="N101" s="102">
        <v>48</v>
      </c>
      <c r="O101" s="102">
        <v>52.4</v>
      </c>
      <c r="P101" s="102">
        <v>54.9</v>
      </c>
      <c r="Q101" s="102">
        <v>54.9</v>
      </c>
      <c r="R101" s="102">
        <v>55</v>
      </c>
      <c r="S101" s="102">
        <v>51.4</v>
      </c>
      <c r="T101" s="102">
        <v>49.7</v>
      </c>
      <c r="U101" s="102">
        <v>36.1</v>
      </c>
      <c r="V101" s="102">
        <v>34.6</v>
      </c>
      <c r="W101" s="102">
        <v>43</v>
      </c>
      <c r="X101" s="102">
        <v>46.3</v>
      </c>
      <c r="Y101" s="102">
        <v>47.4</v>
      </c>
      <c r="Z101" s="102">
        <v>54.4</v>
      </c>
      <c r="AA101" s="102">
        <v>56.2</v>
      </c>
      <c r="AB101" s="102">
        <v>61.3</v>
      </c>
      <c r="AC101" s="102">
        <v>58.7</v>
      </c>
      <c r="AD101" s="102">
        <v>51.8</v>
      </c>
      <c r="AE101" s="102">
        <v>45.5</v>
      </c>
      <c r="AF101" s="102">
        <v>37.1</v>
      </c>
      <c r="AG101" s="103">
        <v>75</v>
      </c>
      <c r="AH101" s="48">
        <f t="shared" si="17"/>
        <v>61.3</v>
      </c>
      <c r="AI101" s="49">
        <f t="shared" si="18"/>
        <v>29.3</v>
      </c>
    </row>
    <row r="102" spans="1:37" x14ac:dyDescent="0.25">
      <c r="A102" s="91" t="s">
        <v>106</v>
      </c>
      <c r="B102" s="104">
        <v>49.4</v>
      </c>
      <c r="C102" s="104">
        <v>52.7</v>
      </c>
      <c r="D102" s="104">
        <v>48.1</v>
      </c>
      <c r="E102" s="104">
        <v>53.5</v>
      </c>
      <c r="F102" s="104">
        <v>52</v>
      </c>
      <c r="G102" s="104">
        <v>64.5</v>
      </c>
      <c r="H102" s="104">
        <v>62.1</v>
      </c>
      <c r="I102" s="104">
        <v>62.5</v>
      </c>
      <c r="J102" s="104">
        <v>76.099999999999994</v>
      </c>
      <c r="K102" s="104">
        <v>72.2</v>
      </c>
      <c r="L102" s="104">
        <v>65.900000000000006</v>
      </c>
      <c r="M102" s="104">
        <v>66.8</v>
      </c>
      <c r="N102" s="104">
        <v>73</v>
      </c>
      <c r="O102" s="104">
        <v>80</v>
      </c>
      <c r="P102" s="104">
        <v>86.3</v>
      </c>
      <c r="Q102" s="104">
        <v>86.3</v>
      </c>
      <c r="R102" s="104">
        <v>86</v>
      </c>
      <c r="S102" s="104">
        <v>80</v>
      </c>
      <c r="T102" s="104">
        <v>77.400000000000006</v>
      </c>
      <c r="U102" s="104">
        <v>54.7</v>
      </c>
      <c r="V102" s="104">
        <v>53</v>
      </c>
      <c r="W102" s="104">
        <v>61.4</v>
      </c>
      <c r="X102" s="104">
        <v>66.5</v>
      </c>
      <c r="Y102" s="104">
        <v>67.7</v>
      </c>
      <c r="Z102" s="104">
        <v>79</v>
      </c>
      <c r="AA102" s="104">
        <v>81.7</v>
      </c>
      <c r="AB102" s="104">
        <v>90.3</v>
      </c>
      <c r="AC102" s="104">
        <v>87.7</v>
      </c>
      <c r="AD102" s="104">
        <v>76.7</v>
      </c>
      <c r="AE102" s="104">
        <v>65.8</v>
      </c>
      <c r="AF102" s="104">
        <v>57.8</v>
      </c>
      <c r="AG102" s="103">
        <v>240</v>
      </c>
      <c r="AH102" s="48">
        <f t="shared" si="17"/>
        <v>90.3</v>
      </c>
      <c r="AI102" s="49">
        <f t="shared" si="18"/>
        <v>48.1</v>
      </c>
    </row>
    <row r="103" spans="1:37" x14ac:dyDescent="0.25">
      <c r="A103" s="91" t="s">
        <v>107</v>
      </c>
      <c r="B103" s="104">
        <f>-64-69</f>
        <v>-133</v>
      </c>
      <c r="C103" s="104">
        <f>-69-74</f>
        <v>-143</v>
      </c>
      <c r="D103" s="104">
        <f>-68-72</f>
        <v>-140</v>
      </c>
      <c r="E103" s="104">
        <v>-154</v>
      </c>
      <c r="F103" s="104">
        <v>-141</v>
      </c>
      <c r="G103" s="104">
        <v>-141</v>
      </c>
      <c r="H103" s="104">
        <v>-120</v>
      </c>
      <c r="I103" s="104">
        <v>-111</v>
      </c>
      <c r="J103" s="104">
        <v>-92</v>
      </c>
      <c r="K103" s="104">
        <v>-51</v>
      </c>
      <c r="L103" s="104">
        <v>-24</v>
      </c>
      <c r="M103" s="104">
        <f>-12.4-14.1</f>
        <v>-26.5</v>
      </c>
      <c r="N103" s="104">
        <v>-69</v>
      </c>
      <c r="O103" s="104">
        <f>-42.4-44.9</f>
        <v>-87.3</v>
      </c>
      <c r="P103" s="104">
        <f>-58.1-61.1</f>
        <v>-119.2</v>
      </c>
      <c r="Q103" s="104">
        <f t="shared" ref="Q103" si="30">-58.1-61.1</f>
        <v>-119.2</v>
      </c>
      <c r="R103" s="104">
        <v>-130</v>
      </c>
      <c r="S103" s="104">
        <v>-140</v>
      </c>
      <c r="T103" s="104">
        <v>-111</v>
      </c>
      <c r="U103" s="104">
        <v>-70</v>
      </c>
      <c r="V103" s="104">
        <f>-20-21</f>
        <v>-41</v>
      </c>
      <c r="W103" s="104">
        <v>-8</v>
      </c>
      <c r="X103" s="104">
        <v>-9</v>
      </c>
      <c r="Y103" s="104">
        <v>-13.1</v>
      </c>
      <c r="Z103" s="104">
        <v>-48</v>
      </c>
      <c r="AA103" s="104">
        <v>-72</v>
      </c>
      <c r="AB103" s="104">
        <f>-49.8-53.4</f>
        <v>-103.19999999999999</v>
      </c>
      <c r="AC103" s="104">
        <f>-60-65</f>
        <v>-125</v>
      </c>
      <c r="AD103" s="104">
        <f>-63-68</f>
        <v>-131</v>
      </c>
      <c r="AE103" s="104">
        <f>-64-68.3</f>
        <v>-132.30000000000001</v>
      </c>
      <c r="AF103" s="104">
        <f>-67.6-72</f>
        <v>-139.6</v>
      </c>
      <c r="AG103" s="103">
        <v>240</v>
      </c>
      <c r="AH103" s="48">
        <f t="shared" si="17"/>
        <v>-8</v>
      </c>
      <c r="AI103" s="49">
        <f t="shared" si="18"/>
        <v>-154</v>
      </c>
    </row>
    <row r="104" spans="1:37" x14ac:dyDescent="0.25">
      <c r="A104" s="91" t="s">
        <v>108</v>
      </c>
      <c r="B104" s="104">
        <v>-9.1</v>
      </c>
      <c r="C104" s="104">
        <v>-10.4</v>
      </c>
      <c r="D104" s="104">
        <v>-12.2</v>
      </c>
      <c r="E104" s="104">
        <v>-12.9</v>
      </c>
      <c r="F104" s="104">
        <v>-12</v>
      </c>
      <c r="G104" s="104">
        <v>-8.6999999999999993</v>
      </c>
      <c r="H104" s="104">
        <v>-6.3</v>
      </c>
      <c r="I104" s="104">
        <v>-5.5</v>
      </c>
      <c r="J104" s="104">
        <v>-2.2000000000000002</v>
      </c>
      <c r="K104" s="104">
        <v>7.5</v>
      </c>
      <c r="L104" s="104">
        <v>8.5</v>
      </c>
      <c r="M104" s="104">
        <v>10</v>
      </c>
      <c r="N104" s="104">
        <v>3.8</v>
      </c>
      <c r="O104" s="104">
        <v>-1.4</v>
      </c>
      <c r="P104" s="104">
        <v>-4.0999999999999996</v>
      </c>
      <c r="Q104" s="104">
        <v>-4.0999999999999996</v>
      </c>
      <c r="R104" s="104">
        <v>-4.0999999999999996</v>
      </c>
      <c r="S104" s="104">
        <v>-4.5</v>
      </c>
      <c r="T104" s="104">
        <v>-3.7</v>
      </c>
      <c r="U104" s="104">
        <v>1.2</v>
      </c>
      <c r="V104" s="104">
        <v>8.8000000000000007</v>
      </c>
      <c r="W104" s="104">
        <v>18</v>
      </c>
      <c r="X104" s="104">
        <v>19.3</v>
      </c>
      <c r="Y104" s="104">
        <v>18</v>
      </c>
      <c r="Z104" s="104">
        <v>14.9</v>
      </c>
      <c r="AA104" s="104">
        <v>12.6</v>
      </c>
      <c r="AB104" s="104">
        <v>9.3000000000000007</v>
      </c>
      <c r="AC104" s="104">
        <v>4.4000000000000004</v>
      </c>
      <c r="AD104" s="104">
        <v>1.9</v>
      </c>
      <c r="AE104" s="104">
        <v>-3.3</v>
      </c>
      <c r="AF104" s="104">
        <v>-7.9</v>
      </c>
      <c r="AG104" s="103">
        <v>60</v>
      </c>
      <c r="AH104" s="48">
        <f t="shared" si="17"/>
        <v>19.3</v>
      </c>
      <c r="AI104" s="49">
        <f t="shared" si="18"/>
        <v>-12.9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0</v>
      </c>
      <c r="Y105" s="106">
        <v>0</v>
      </c>
      <c r="Z105" s="106">
        <v>0</v>
      </c>
      <c r="AA105" s="106">
        <v>0</v>
      </c>
      <c r="AB105" s="106">
        <v>0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17"/>
        <v>0</v>
      </c>
      <c r="AI105" s="49">
        <f t="shared" si="18"/>
        <v>0</v>
      </c>
    </row>
    <row r="106" spans="1:37" x14ac:dyDescent="0.25">
      <c r="A106" s="105" t="s">
        <v>110</v>
      </c>
      <c r="B106" s="106">
        <v>-10</v>
      </c>
      <c r="C106" s="106">
        <v>-20.9</v>
      </c>
      <c r="D106" s="106">
        <v>-23.6</v>
      </c>
      <c r="E106" s="106">
        <v>-28.4</v>
      </c>
      <c r="F106" s="106">
        <v>-20</v>
      </c>
      <c r="G106" s="106">
        <v>-26.4</v>
      </c>
      <c r="H106" s="106">
        <v>-13.5</v>
      </c>
      <c r="I106" s="106">
        <v>-2.2000000000000002</v>
      </c>
      <c r="J106" s="106">
        <v>9.1999999999999993</v>
      </c>
      <c r="K106" s="106">
        <v>46.7</v>
      </c>
      <c r="L106" s="106">
        <v>77.7</v>
      </c>
      <c r="M106" s="106">
        <v>59</v>
      </c>
      <c r="N106" s="106">
        <v>33</v>
      </c>
      <c r="O106" s="106">
        <v>17</v>
      </c>
      <c r="P106" s="106">
        <v>12</v>
      </c>
      <c r="Q106" s="106">
        <v>12</v>
      </c>
      <c r="R106" s="106">
        <v>-17</v>
      </c>
      <c r="S106" s="106">
        <v>-15</v>
      </c>
      <c r="T106" s="106">
        <v>6.5</v>
      </c>
      <c r="U106" s="106">
        <v>34.700000000000003</v>
      </c>
      <c r="V106" s="106">
        <v>50.8</v>
      </c>
      <c r="W106" s="106">
        <v>80</v>
      </c>
      <c r="X106" s="106">
        <v>92</v>
      </c>
      <c r="Y106" s="106">
        <v>66.400000000000006</v>
      </c>
      <c r="Z106" s="106">
        <v>25</v>
      </c>
      <c r="AA106" s="106">
        <v>4.2</v>
      </c>
      <c r="AB106" s="106">
        <v>-23.6</v>
      </c>
      <c r="AC106" s="106">
        <v>-37.700000000000003</v>
      </c>
      <c r="AD106" s="106">
        <v>-41.6</v>
      </c>
      <c r="AE106" s="106">
        <v>-42.8</v>
      </c>
      <c r="AF106" s="106">
        <v>-26.9</v>
      </c>
      <c r="AG106" s="107"/>
      <c r="AH106" s="48">
        <f t="shared" si="17"/>
        <v>92</v>
      </c>
      <c r="AI106" s="49">
        <f t="shared" si="18"/>
        <v>-42.8</v>
      </c>
    </row>
    <row r="107" spans="1:37" x14ac:dyDescent="0.25">
      <c r="A107" s="105" t="s">
        <v>111</v>
      </c>
      <c r="B107" s="106">
        <v>17.2</v>
      </c>
      <c r="C107" s="106">
        <v>13.6</v>
      </c>
      <c r="D107" s="106">
        <v>12.7</v>
      </c>
      <c r="E107" s="106">
        <v>8.1999999999999993</v>
      </c>
      <c r="F107" s="106">
        <v>3.3</v>
      </c>
      <c r="G107" s="106">
        <v>-12</v>
      </c>
      <c r="H107" s="106">
        <v>-7.4</v>
      </c>
      <c r="I107" s="106">
        <v>-0.1</v>
      </c>
      <c r="J107" s="106">
        <v>10.1</v>
      </c>
      <c r="K107" s="106">
        <v>29</v>
      </c>
      <c r="L107" s="106">
        <v>40.4</v>
      </c>
      <c r="M107" s="106">
        <v>19</v>
      </c>
      <c r="N107" s="106">
        <v>12</v>
      </c>
      <c r="O107" s="106">
        <v>8.9</v>
      </c>
      <c r="P107" s="106">
        <v>5</v>
      </c>
      <c r="Q107" s="106">
        <v>5</v>
      </c>
      <c r="R107" s="106">
        <v>-5</v>
      </c>
      <c r="S107" s="106">
        <v>2</v>
      </c>
      <c r="T107" s="106">
        <v>9.6</v>
      </c>
      <c r="U107" s="106">
        <v>19.100000000000001</v>
      </c>
      <c r="V107" s="106">
        <v>40</v>
      </c>
      <c r="W107" s="106">
        <v>40</v>
      </c>
      <c r="X107" s="106">
        <v>47</v>
      </c>
      <c r="Y107" s="106">
        <v>36.5</v>
      </c>
      <c r="Z107" s="106">
        <v>17.600000000000001</v>
      </c>
      <c r="AA107" s="106">
        <v>6.5</v>
      </c>
      <c r="AB107" s="106">
        <v>-6.6</v>
      </c>
      <c r="AC107" s="106">
        <v>-4.0999999999999996</v>
      </c>
      <c r="AD107" s="106">
        <v>-11.3</v>
      </c>
      <c r="AE107" s="106">
        <v>-7.1</v>
      </c>
      <c r="AF107" s="106">
        <v>-3.4</v>
      </c>
      <c r="AG107" s="108"/>
      <c r="AH107" s="48">
        <f t="shared" si="17"/>
        <v>47</v>
      </c>
      <c r="AI107" s="49">
        <f t="shared" si="18"/>
        <v>-12</v>
      </c>
    </row>
    <row r="108" spans="1:37" x14ac:dyDescent="0.25">
      <c r="A108" s="109" t="s">
        <v>112</v>
      </c>
      <c r="B108" s="94">
        <v>84.4</v>
      </c>
      <c r="C108" s="94">
        <v>82.1</v>
      </c>
      <c r="D108" s="94">
        <v>84.6</v>
      </c>
      <c r="E108" s="94">
        <v>86.3</v>
      </c>
      <c r="F108" s="94">
        <v>87.1</v>
      </c>
      <c r="G108" s="94">
        <v>85</v>
      </c>
      <c r="H108" s="94">
        <v>84.5</v>
      </c>
      <c r="I108" s="94">
        <v>78.400000000000006</v>
      </c>
      <c r="J108" s="94">
        <v>75</v>
      </c>
      <c r="K108" s="94">
        <v>71.900000000000006</v>
      </c>
      <c r="L108" s="94">
        <v>66.8</v>
      </c>
      <c r="M108" s="94">
        <v>65.599999999999994</v>
      </c>
      <c r="N108" s="94">
        <v>70</v>
      </c>
      <c r="O108" s="94">
        <v>67.7</v>
      </c>
      <c r="P108" s="94">
        <v>68.8</v>
      </c>
      <c r="Q108" s="94">
        <v>68.8</v>
      </c>
      <c r="R108" s="94">
        <v>70</v>
      </c>
      <c r="S108" s="94">
        <v>67</v>
      </c>
      <c r="T108" s="94">
        <v>69</v>
      </c>
      <c r="U108" s="94">
        <v>59.2</v>
      </c>
      <c r="V108" s="94">
        <v>50.8</v>
      </c>
      <c r="W108" s="94">
        <v>37</v>
      </c>
      <c r="X108" s="94">
        <v>47</v>
      </c>
      <c r="Y108" s="94">
        <v>50.8</v>
      </c>
      <c r="Z108" s="94">
        <v>58.6</v>
      </c>
      <c r="AA108" s="94">
        <v>59.2</v>
      </c>
      <c r="AB108" s="94">
        <v>61.6</v>
      </c>
      <c r="AC108" s="94">
        <v>66.7</v>
      </c>
      <c r="AD108" s="94">
        <v>58.4</v>
      </c>
      <c r="AE108" s="94">
        <v>74.8</v>
      </c>
      <c r="AF108" s="94">
        <v>78.400000000000006</v>
      </c>
      <c r="AG108" s="108"/>
      <c r="AH108" s="48">
        <f t="shared" si="17"/>
        <v>87.1</v>
      </c>
      <c r="AI108" s="49">
        <f t="shared" si="18"/>
        <v>37</v>
      </c>
    </row>
    <row r="109" spans="1:37" ht="15.75" thickBot="1" x14ac:dyDescent="0.3">
      <c r="A109" s="109" t="s">
        <v>113</v>
      </c>
      <c r="B109" s="94">
        <v>98</v>
      </c>
      <c r="C109" s="94">
        <v>100.1</v>
      </c>
      <c r="D109" s="94">
        <v>93.5</v>
      </c>
      <c r="E109" s="94">
        <v>110</v>
      </c>
      <c r="F109" s="94">
        <v>101</v>
      </c>
      <c r="G109" s="94">
        <v>103</v>
      </c>
      <c r="H109" s="94">
        <v>87.7</v>
      </c>
      <c r="I109" s="94">
        <v>76.8</v>
      </c>
      <c r="J109" s="94">
        <v>65.400000000000006</v>
      </c>
      <c r="K109" s="94">
        <v>37.6</v>
      </c>
      <c r="L109" s="94">
        <v>14.2</v>
      </c>
      <c r="M109" s="94">
        <v>25.2</v>
      </c>
      <c r="N109" s="94">
        <v>50</v>
      </c>
      <c r="O109" s="94">
        <v>65.2</v>
      </c>
      <c r="P109" s="94">
        <v>80.2</v>
      </c>
      <c r="Q109" s="94">
        <v>80.2</v>
      </c>
      <c r="R109" s="94">
        <v>94</v>
      </c>
      <c r="S109" s="94">
        <v>98</v>
      </c>
      <c r="T109" s="94">
        <v>78.2</v>
      </c>
      <c r="U109" s="94">
        <v>45</v>
      </c>
      <c r="V109" s="94">
        <v>22.9</v>
      </c>
      <c r="W109" s="94">
        <v>3</v>
      </c>
      <c r="X109" s="94">
        <v>4.8</v>
      </c>
      <c r="Y109" s="94">
        <v>11</v>
      </c>
      <c r="Z109" s="94">
        <v>38.700000000000003</v>
      </c>
      <c r="AA109" s="94">
        <v>59.3</v>
      </c>
      <c r="AB109" s="94">
        <v>84.2</v>
      </c>
      <c r="AC109" s="94">
        <v>94.5</v>
      </c>
      <c r="AD109" s="94">
        <v>104</v>
      </c>
      <c r="AE109" s="94">
        <v>100.8</v>
      </c>
      <c r="AF109" s="94">
        <v>102.8</v>
      </c>
      <c r="AG109" s="108"/>
      <c r="AH109" s="48">
        <f t="shared" si="17"/>
        <v>110</v>
      </c>
      <c r="AI109" s="49">
        <f t="shared" si="18"/>
        <v>3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31">SUM(B111:B215)</f>
        <v>0</v>
      </c>
      <c r="C216" s="125">
        <f t="shared" si="31"/>
        <v>0</v>
      </c>
      <c r="D216" s="125">
        <f t="shared" si="31"/>
        <v>0</v>
      </c>
      <c r="E216" s="125">
        <f t="shared" si="31"/>
        <v>0</v>
      </c>
      <c r="F216" s="125">
        <f t="shared" si="31"/>
        <v>0</v>
      </c>
      <c r="G216" s="125">
        <f t="shared" si="31"/>
        <v>0</v>
      </c>
      <c r="H216" s="125">
        <f t="shared" si="31"/>
        <v>0</v>
      </c>
      <c r="I216" s="125">
        <f t="shared" si="31"/>
        <v>0</v>
      </c>
      <c r="J216" s="125">
        <f t="shared" si="31"/>
        <v>0</v>
      </c>
      <c r="K216" s="125">
        <f t="shared" si="31"/>
        <v>0</v>
      </c>
      <c r="L216" s="125">
        <f t="shared" si="31"/>
        <v>0</v>
      </c>
      <c r="M216" s="125">
        <f t="shared" si="31"/>
        <v>0</v>
      </c>
      <c r="N216" s="125">
        <f t="shared" si="31"/>
        <v>0</v>
      </c>
      <c r="O216" s="125">
        <f t="shared" si="31"/>
        <v>0</v>
      </c>
      <c r="P216" s="125">
        <f t="shared" si="31"/>
        <v>0</v>
      </c>
      <c r="Q216" s="125">
        <f t="shared" si="31"/>
        <v>0</v>
      </c>
      <c r="R216" s="125">
        <f t="shared" si="31"/>
        <v>0</v>
      </c>
      <c r="S216" s="125">
        <f t="shared" si="31"/>
        <v>0</v>
      </c>
      <c r="T216" s="125">
        <f t="shared" si="31"/>
        <v>0</v>
      </c>
      <c r="U216" s="125">
        <f t="shared" si="31"/>
        <v>0</v>
      </c>
      <c r="V216" s="125">
        <f t="shared" si="31"/>
        <v>0</v>
      </c>
      <c r="W216" s="125">
        <f t="shared" si="31"/>
        <v>0</v>
      </c>
      <c r="X216" s="125">
        <f t="shared" si="31"/>
        <v>0</v>
      </c>
      <c r="Y216" s="125">
        <f t="shared" si="31"/>
        <v>0</v>
      </c>
      <c r="Z216" s="125">
        <f t="shared" si="31"/>
        <v>0</v>
      </c>
      <c r="AA216" s="125">
        <f t="shared" si="31"/>
        <v>0</v>
      </c>
      <c r="AB216" s="125">
        <f t="shared" si="31"/>
        <v>0</v>
      </c>
      <c r="AC216" s="125">
        <f t="shared" si="31"/>
        <v>0</v>
      </c>
      <c r="AD216" s="125">
        <f t="shared" si="31"/>
        <v>0</v>
      </c>
      <c r="AE216" s="125">
        <f t="shared" si="31"/>
        <v>0</v>
      </c>
      <c r="AF216" s="126">
        <f t="shared" si="31"/>
        <v>0</v>
      </c>
      <c r="AG216" s="127">
        <f t="shared" si="31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32">AF218</f>
        <v>0</v>
      </c>
      <c r="C218" s="129">
        <v>0.3</v>
      </c>
      <c r="D218" s="129">
        <f t="shared" ref="D218:P223" si="33">C218</f>
        <v>0.3</v>
      </c>
      <c r="E218" s="129">
        <f t="shared" si="33"/>
        <v>0.3</v>
      </c>
      <c r="F218" s="129">
        <f t="shared" si="33"/>
        <v>0.3</v>
      </c>
      <c r="G218" s="129">
        <f t="shared" si="33"/>
        <v>0.3</v>
      </c>
      <c r="H218" s="129">
        <f t="shared" si="33"/>
        <v>0.3</v>
      </c>
      <c r="I218" s="129">
        <f t="shared" si="33"/>
        <v>0.3</v>
      </c>
      <c r="J218" s="129">
        <f t="shared" si="33"/>
        <v>0.3</v>
      </c>
      <c r="K218" s="129">
        <f t="shared" si="33"/>
        <v>0.3</v>
      </c>
      <c r="L218" s="129">
        <f t="shared" si="33"/>
        <v>0.3</v>
      </c>
      <c r="M218" s="129">
        <f t="shared" si="33"/>
        <v>0.3</v>
      </c>
      <c r="N218" s="129">
        <f t="shared" si="33"/>
        <v>0.3</v>
      </c>
      <c r="O218" s="129">
        <f t="shared" si="33"/>
        <v>0.3</v>
      </c>
      <c r="P218" s="129">
        <f t="shared" si="33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32"/>
        <v>0</v>
      </c>
      <c r="C219" s="117">
        <v>0.4</v>
      </c>
      <c r="D219" s="117">
        <f t="shared" si="33"/>
        <v>0.4</v>
      </c>
      <c r="E219" s="117">
        <f t="shared" si="33"/>
        <v>0.4</v>
      </c>
      <c r="F219" s="117">
        <f t="shared" si="33"/>
        <v>0.4</v>
      </c>
      <c r="G219" s="117">
        <f t="shared" si="33"/>
        <v>0.4</v>
      </c>
      <c r="H219" s="117">
        <f t="shared" si="33"/>
        <v>0.4</v>
      </c>
      <c r="I219" s="117">
        <f t="shared" si="33"/>
        <v>0.4</v>
      </c>
      <c r="J219" s="117">
        <f t="shared" si="33"/>
        <v>0.4</v>
      </c>
      <c r="K219" s="117">
        <f t="shared" si="33"/>
        <v>0.4</v>
      </c>
      <c r="L219" s="117">
        <f t="shared" si="33"/>
        <v>0.4</v>
      </c>
      <c r="M219" s="117">
        <f t="shared" si="33"/>
        <v>0.4</v>
      </c>
      <c r="N219" s="117">
        <f t="shared" si="33"/>
        <v>0.4</v>
      </c>
      <c r="O219" s="117">
        <f t="shared" si="33"/>
        <v>0.4</v>
      </c>
      <c r="P219" s="117">
        <f t="shared" si="33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32"/>
        <v>0</v>
      </c>
      <c r="C220" s="117">
        <v>1.5</v>
      </c>
      <c r="D220" s="117">
        <f t="shared" si="33"/>
        <v>1.5</v>
      </c>
      <c r="E220" s="117">
        <f t="shared" si="33"/>
        <v>1.5</v>
      </c>
      <c r="F220" s="117">
        <f t="shared" si="33"/>
        <v>1.5</v>
      </c>
      <c r="G220" s="117">
        <f t="shared" si="33"/>
        <v>1.5</v>
      </c>
      <c r="H220" s="117">
        <f t="shared" si="33"/>
        <v>1.5</v>
      </c>
      <c r="I220" s="117">
        <f t="shared" si="33"/>
        <v>1.5</v>
      </c>
      <c r="J220" s="117">
        <f t="shared" si="33"/>
        <v>1.5</v>
      </c>
      <c r="K220" s="117">
        <f t="shared" si="33"/>
        <v>1.5</v>
      </c>
      <c r="L220" s="117">
        <f t="shared" si="33"/>
        <v>1.5</v>
      </c>
      <c r="M220" s="117">
        <f t="shared" si="33"/>
        <v>1.5</v>
      </c>
      <c r="N220" s="117">
        <f t="shared" si="33"/>
        <v>1.5</v>
      </c>
      <c r="O220" s="117">
        <f t="shared" si="33"/>
        <v>1.5</v>
      </c>
      <c r="P220" s="117">
        <f t="shared" si="33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32"/>
        <v>0</v>
      </c>
      <c r="C221" s="117">
        <v>0.3</v>
      </c>
      <c r="D221" s="117">
        <f t="shared" si="33"/>
        <v>0.3</v>
      </c>
      <c r="E221" s="117">
        <f t="shared" si="33"/>
        <v>0.3</v>
      </c>
      <c r="F221" s="117">
        <f t="shared" si="33"/>
        <v>0.3</v>
      </c>
      <c r="G221" s="117">
        <f t="shared" si="33"/>
        <v>0.3</v>
      </c>
      <c r="H221" s="117">
        <f t="shared" si="33"/>
        <v>0.3</v>
      </c>
      <c r="I221" s="117">
        <f t="shared" si="33"/>
        <v>0.3</v>
      </c>
      <c r="J221" s="117">
        <f t="shared" si="33"/>
        <v>0.3</v>
      </c>
      <c r="K221" s="117">
        <f t="shared" si="33"/>
        <v>0.3</v>
      </c>
      <c r="L221" s="117">
        <f t="shared" si="33"/>
        <v>0.3</v>
      </c>
      <c r="M221" s="117">
        <f t="shared" si="33"/>
        <v>0.3</v>
      </c>
      <c r="N221" s="117">
        <f t="shared" si="33"/>
        <v>0.3</v>
      </c>
      <c r="O221" s="117">
        <f t="shared" si="33"/>
        <v>0.3</v>
      </c>
      <c r="P221" s="117">
        <f t="shared" si="33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32"/>
        <v>0</v>
      </c>
      <c r="C222" s="117">
        <v>0.4</v>
      </c>
      <c r="D222" s="117">
        <f t="shared" si="33"/>
        <v>0.4</v>
      </c>
      <c r="E222" s="117">
        <f t="shared" si="33"/>
        <v>0.4</v>
      </c>
      <c r="F222" s="117">
        <f t="shared" si="33"/>
        <v>0.4</v>
      </c>
      <c r="G222" s="117">
        <f t="shared" si="33"/>
        <v>0.4</v>
      </c>
      <c r="H222" s="117">
        <f t="shared" si="33"/>
        <v>0.4</v>
      </c>
      <c r="I222" s="117">
        <f t="shared" si="33"/>
        <v>0.4</v>
      </c>
      <c r="J222" s="117">
        <f t="shared" si="33"/>
        <v>0.4</v>
      </c>
      <c r="K222" s="117">
        <f t="shared" si="33"/>
        <v>0.4</v>
      </c>
      <c r="L222" s="117">
        <f t="shared" si="33"/>
        <v>0.4</v>
      </c>
      <c r="M222" s="117">
        <f t="shared" si="33"/>
        <v>0.4</v>
      </c>
      <c r="N222" s="117">
        <f t="shared" si="33"/>
        <v>0.4</v>
      </c>
      <c r="O222" s="117">
        <f t="shared" si="33"/>
        <v>0.4</v>
      </c>
      <c r="P222" s="117">
        <f t="shared" si="33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32"/>
        <v>0</v>
      </c>
      <c r="C223" s="121">
        <v>0.64</v>
      </c>
      <c r="D223" s="121">
        <f t="shared" si="33"/>
        <v>0.64</v>
      </c>
      <c r="E223" s="121">
        <f t="shared" si="33"/>
        <v>0.64</v>
      </c>
      <c r="F223" s="121">
        <f t="shared" si="33"/>
        <v>0.64</v>
      </c>
      <c r="G223" s="121">
        <f t="shared" si="33"/>
        <v>0.64</v>
      </c>
      <c r="H223" s="121">
        <f t="shared" si="33"/>
        <v>0.64</v>
      </c>
      <c r="I223" s="121">
        <f t="shared" si="33"/>
        <v>0.64</v>
      </c>
      <c r="J223" s="121">
        <f t="shared" si="33"/>
        <v>0.64</v>
      </c>
      <c r="K223" s="121">
        <f t="shared" si="33"/>
        <v>0.64</v>
      </c>
      <c r="L223" s="121">
        <f t="shared" si="33"/>
        <v>0.64</v>
      </c>
      <c r="M223" s="121">
        <f t="shared" si="33"/>
        <v>0.64</v>
      </c>
      <c r="N223" s="121">
        <f t="shared" si="33"/>
        <v>0.64</v>
      </c>
      <c r="O223" s="121">
        <f t="shared" si="33"/>
        <v>0.64</v>
      </c>
      <c r="P223" s="121">
        <f t="shared" si="33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34">SUM(B218:B223)</f>
        <v>0</v>
      </c>
      <c r="C224" s="125">
        <f t="shared" si="34"/>
        <v>3.54</v>
      </c>
      <c r="D224" s="125">
        <f t="shared" si="34"/>
        <v>3.54</v>
      </c>
      <c r="E224" s="125">
        <f t="shared" si="34"/>
        <v>3.54</v>
      </c>
      <c r="F224" s="125">
        <f t="shared" si="34"/>
        <v>3.54</v>
      </c>
      <c r="G224" s="125">
        <f t="shared" si="34"/>
        <v>3.54</v>
      </c>
      <c r="H224" s="125">
        <f t="shared" si="34"/>
        <v>3.54</v>
      </c>
      <c r="I224" s="125">
        <f t="shared" si="34"/>
        <v>3.54</v>
      </c>
      <c r="J224" s="125">
        <f t="shared" si="34"/>
        <v>3.54</v>
      </c>
      <c r="K224" s="125">
        <f t="shared" si="34"/>
        <v>3.54</v>
      </c>
      <c r="L224" s="125">
        <f t="shared" si="34"/>
        <v>3.54</v>
      </c>
      <c r="M224" s="125">
        <f t="shared" si="34"/>
        <v>3.54</v>
      </c>
      <c r="N224" s="125">
        <f t="shared" si="34"/>
        <v>3.54</v>
      </c>
      <c r="O224" s="125">
        <f t="shared" si="34"/>
        <v>3.54</v>
      </c>
      <c r="P224" s="125">
        <f t="shared" si="34"/>
        <v>3.54</v>
      </c>
      <c r="Q224" s="125">
        <f t="shared" si="34"/>
        <v>0</v>
      </c>
      <c r="R224" s="125">
        <f t="shared" si="34"/>
        <v>0</v>
      </c>
      <c r="S224" s="125">
        <f t="shared" si="34"/>
        <v>0</v>
      </c>
      <c r="T224" s="125">
        <f t="shared" si="34"/>
        <v>0</v>
      </c>
      <c r="U224" s="125">
        <f t="shared" si="34"/>
        <v>0</v>
      </c>
      <c r="V224" s="125">
        <f t="shared" si="34"/>
        <v>0</v>
      </c>
      <c r="W224" s="125">
        <f t="shared" si="34"/>
        <v>0</v>
      </c>
      <c r="X224" s="125">
        <f t="shared" si="34"/>
        <v>0</v>
      </c>
      <c r="Y224" s="125">
        <f t="shared" si="34"/>
        <v>0</v>
      </c>
      <c r="Z224" s="125">
        <f t="shared" si="34"/>
        <v>0</v>
      </c>
      <c r="AA224" s="125">
        <f t="shared" si="34"/>
        <v>0</v>
      </c>
      <c r="AB224" s="125">
        <f t="shared" si="34"/>
        <v>0</v>
      </c>
      <c r="AC224" s="125">
        <f t="shared" si="34"/>
        <v>0</v>
      </c>
      <c r="AD224" s="125">
        <f t="shared" si="34"/>
        <v>0</v>
      </c>
      <c r="AE224" s="125">
        <f t="shared" si="34"/>
        <v>0</v>
      </c>
      <c r="AF224" s="125">
        <f t="shared" si="34"/>
        <v>0</v>
      </c>
      <c r="AG224" s="134">
        <f t="shared" si="34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1682.2399999999998</v>
      </c>
      <c r="C233" s="150">
        <f>INDEX(G9:N9,1,MATCH(MAX(G81:N81),G81:N81,0))</f>
        <v>0.33333333333333331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28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2079/06/28)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2079/06/28)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35">B81</f>
        <v>1260.3399999999999</v>
      </c>
      <c r="U238" s="159">
        <f t="shared" si="35"/>
        <v>1236.94</v>
      </c>
      <c r="V238" s="159">
        <f t="shared" si="35"/>
        <v>1217.3400000000001</v>
      </c>
      <c r="W238" s="159">
        <f t="shared" si="35"/>
        <v>1245.3400000000001</v>
      </c>
      <c r="X238" s="159">
        <f t="shared" si="35"/>
        <v>1235.04</v>
      </c>
      <c r="Y238" s="159">
        <f t="shared" si="35"/>
        <v>1226.8399999999999</v>
      </c>
      <c r="Z238" s="159">
        <f t="shared" si="35"/>
        <v>1341.94</v>
      </c>
      <c r="AA238" s="159">
        <f t="shared" si="35"/>
        <v>1396.84</v>
      </c>
      <c r="AB238" s="159">
        <f t="shared" si="35"/>
        <v>1493.2400000000002</v>
      </c>
      <c r="AC238" s="159">
        <f t="shared" si="35"/>
        <v>1609.8400000000001</v>
      </c>
      <c r="AD238" s="159">
        <f t="shared" si="35"/>
        <v>1681.64</v>
      </c>
      <c r="AE238" s="159">
        <f t="shared" si="35"/>
        <v>1682.2399999999998</v>
      </c>
      <c r="AF238" s="159">
        <f t="shared" si="35"/>
        <v>1518.9399999999998</v>
      </c>
      <c r="AG238" s="159">
        <f t="shared" si="35"/>
        <v>1391.84</v>
      </c>
      <c r="AH238" s="159">
        <f t="shared" si="35"/>
        <v>1380.04</v>
      </c>
      <c r="AI238" s="159">
        <f t="shared" si="35"/>
        <v>1360.04</v>
      </c>
      <c r="AJ238" s="159">
        <f t="shared" si="35"/>
        <v>1287.04</v>
      </c>
      <c r="AK238" s="159">
        <f t="shared" si="35"/>
        <v>1267.94</v>
      </c>
      <c r="AL238" s="159">
        <f t="shared" si="35"/>
        <v>1267.8399999999999</v>
      </c>
      <c r="AM238" s="159">
        <f t="shared" si="35"/>
        <v>1308.8399999999999</v>
      </c>
      <c r="AN238" s="159">
        <f t="shared" si="35"/>
        <v>1406.94</v>
      </c>
      <c r="AO238" s="159">
        <f t="shared" si="35"/>
        <v>1528.44</v>
      </c>
      <c r="AP238" s="159">
        <f t="shared" si="35"/>
        <v>1700.24</v>
      </c>
      <c r="AQ238" s="159">
        <f t="shared" si="35"/>
        <v>1616.14</v>
      </c>
      <c r="AR238" s="159">
        <f t="shared" si="35"/>
        <v>1556.44</v>
      </c>
      <c r="AS238" s="159">
        <f t="shared" si="35"/>
        <v>1465.34</v>
      </c>
      <c r="AT238" s="159">
        <f t="shared" si="35"/>
        <v>1415.3400000000001</v>
      </c>
      <c r="AU238" s="159">
        <f t="shared" si="35"/>
        <v>1392.14</v>
      </c>
      <c r="AV238" s="159">
        <f t="shared" si="35"/>
        <v>1335.14</v>
      </c>
      <c r="AW238" s="159">
        <f t="shared" si="35"/>
        <v>1266.1400000000001</v>
      </c>
      <c r="AX238" s="159">
        <f t="shared" si="35"/>
        <v>1209.54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36">C223</f>
        <v>0.64</v>
      </c>
      <c r="C259" s="162">
        <f t="shared" si="36"/>
        <v>0.64</v>
      </c>
      <c r="D259" s="162">
        <f t="shared" si="36"/>
        <v>0.64</v>
      </c>
      <c r="E259" s="162">
        <f t="shared" si="36"/>
        <v>0.64</v>
      </c>
      <c r="F259" s="162">
        <f t="shared" si="36"/>
        <v>0.64</v>
      </c>
      <c r="G259" s="162">
        <f t="shared" si="36"/>
        <v>0.64</v>
      </c>
      <c r="H259" s="162">
        <f t="shared" si="36"/>
        <v>0.64</v>
      </c>
      <c r="I259" s="162">
        <f t="shared" si="36"/>
        <v>0.64</v>
      </c>
      <c r="J259" s="162">
        <f t="shared" si="36"/>
        <v>0.64</v>
      </c>
      <c r="K259" s="162">
        <f t="shared" si="36"/>
        <v>0.64</v>
      </c>
      <c r="L259" s="162">
        <f t="shared" si="36"/>
        <v>0.64</v>
      </c>
      <c r="M259" s="162">
        <f t="shared" si="36"/>
        <v>0.64</v>
      </c>
      <c r="N259" s="162">
        <f t="shared" si="36"/>
        <v>0.64</v>
      </c>
      <c r="O259" s="162">
        <f t="shared" si="36"/>
        <v>0.64</v>
      </c>
      <c r="P259" s="162">
        <f t="shared" si="36"/>
        <v>0</v>
      </c>
      <c r="Q259" s="162">
        <f t="shared" si="36"/>
        <v>0</v>
      </c>
      <c r="R259" s="162">
        <f t="shared" si="36"/>
        <v>0</v>
      </c>
      <c r="S259" s="162">
        <f t="shared" si="36"/>
        <v>0</v>
      </c>
      <c r="T259" s="162">
        <f t="shared" si="36"/>
        <v>0</v>
      </c>
      <c r="U259" s="162">
        <f t="shared" si="36"/>
        <v>0</v>
      </c>
      <c r="V259" s="162">
        <f t="shared" si="36"/>
        <v>0</v>
      </c>
      <c r="W259" s="162">
        <f t="shared" si="36"/>
        <v>0</v>
      </c>
      <c r="X259" s="162">
        <f t="shared" si="36"/>
        <v>0</v>
      </c>
      <c r="Y259" s="162">
        <f t="shared" si="36"/>
        <v>0</v>
      </c>
      <c r="Z259" s="162">
        <f t="shared" si="36"/>
        <v>0</v>
      </c>
      <c r="AA259" s="162">
        <f t="shared" si="36"/>
        <v>0</v>
      </c>
      <c r="AB259" s="162">
        <f t="shared" si="36"/>
        <v>0</v>
      </c>
      <c r="AC259" s="162">
        <f t="shared" si="36"/>
        <v>0</v>
      </c>
      <c r="AD259" s="162">
        <f t="shared" si="36"/>
        <v>0</v>
      </c>
      <c r="AE259" s="162">
        <f t="shared" si="36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37">IF(B227&lt;100,"",B227-520)</f>
        <v/>
      </c>
      <c r="C260" s="163" t="str">
        <f t="shared" si="37"/>
        <v/>
      </c>
      <c r="D260" s="163" t="str">
        <f t="shared" si="37"/>
        <v/>
      </c>
      <c r="E260" s="163" t="str">
        <f t="shared" si="37"/>
        <v/>
      </c>
      <c r="F260" s="163" t="str">
        <f t="shared" si="37"/>
        <v/>
      </c>
      <c r="G260" s="163" t="str">
        <f t="shared" si="37"/>
        <v/>
      </c>
      <c r="H260" s="163" t="str">
        <f t="shared" si="37"/>
        <v/>
      </c>
      <c r="I260" s="163" t="str">
        <f t="shared" si="37"/>
        <v/>
      </c>
      <c r="J260" s="163" t="str">
        <f t="shared" si="37"/>
        <v/>
      </c>
      <c r="K260" s="163" t="str">
        <f t="shared" si="37"/>
        <v/>
      </c>
      <c r="L260" s="163" t="str">
        <f t="shared" si="37"/>
        <v/>
      </c>
      <c r="M260" s="163" t="str">
        <f t="shared" si="37"/>
        <v/>
      </c>
      <c r="N260" s="163" t="str">
        <f t="shared" si="37"/>
        <v/>
      </c>
      <c r="O260" s="163" t="str">
        <f t="shared" si="37"/>
        <v/>
      </c>
      <c r="P260" s="163" t="str">
        <f t="shared" si="37"/>
        <v/>
      </c>
      <c r="Q260" s="163" t="str">
        <f t="shared" si="37"/>
        <v/>
      </c>
      <c r="R260" s="163" t="str">
        <f t="shared" si="37"/>
        <v/>
      </c>
      <c r="S260" s="163" t="str">
        <f t="shared" si="37"/>
        <v/>
      </c>
      <c r="T260" s="163" t="str">
        <f t="shared" si="37"/>
        <v/>
      </c>
      <c r="U260" s="163" t="str">
        <f t="shared" si="37"/>
        <v/>
      </c>
      <c r="V260" s="163" t="str">
        <f t="shared" si="37"/>
        <v/>
      </c>
      <c r="W260" s="163" t="str">
        <f t="shared" si="37"/>
        <v/>
      </c>
      <c r="X260" s="163" t="str">
        <f t="shared" si="37"/>
        <v/>
      </c>
      <c r="Y260" s="163" t="str">
        <f t="shared" si="37"/>
        <v/>
      </c>
      <c r="Z260" s="163" t="str">
        <f t="shared" si="37"/>
        <v/>
      </c>
      <c r="AA260" s="163" t="str">
        <f t="shared" si="37"/>
        <v/>
      </c>
      <c r="AB260" s="163" t="str">
        <f t="shared" si="37"/>
        <v/>
      </c>
      <c r="AC260" s="163" t="str">
        <f t="shared" si="37"/>
        <v/>
      </c>
      <c r="AD260" s="163" t="str">
        <f t="shared" si="37"/>
        <v/>
      </c>
      <c r="AE260" s="163" t="str">
        <f t="shared" si="37"/>
        <v/>
      </c>
      <c r="AF260" s="163" t="str">
        <f t="shared" si="37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38">IF(B228&lt;100,"",B228-620)</f>
        <v/>
      </c>
      <c r="C261" s="163" t="str">
        <f t="shared" si="38"/>
        <v/>
      </c>
      <c r="D261" s="163" t="str">
        <f t="shared" si="38"/>
        <v/>
      </c>
      <c r="E261" s="163" t="str">
        <f t="shared" si="38"/>
        <v/>
      </c>
      <c r="F261" s="163" t="str">
        <f t="shared" si="38"/>
        <v/>
      </c>
      <c r="G261" s="163" t="str">
        <f t="shared" si="38"/>
        <v/>
      </c>
      <c r="H261" s="163" t="str">
        <f t="shared" si="38"/>
        <v/>
      </c>
      <c r="I261" s="163" t="str">
        <f t="shared" si="38"/>
        <v/>
      </c>
      <c r="J261" s="163" t="str">
        <f t="shared" si="38"/>
        <v/>
      </c>
      <c r="K261" s="163" t="str">
        <f t="shared" si="38"/>
        <v/>
      </c>
      <c r="L261" s="163" t="str">
        <f t="shared" si="38"/>
        <v/>
      </c>
      <c r="M261" s="163" t="str">
        <f t="shared" si="38"/>
        <v/>
      </c>
      <c r="N261" s="163" t="str">
        <f t="shared" si="38"/>
        <v/>
      </c>
      <c r="O261" s="163" t="str">
        <f t="shared" si="38"/>
        <v/>
      </c>
      <c r="P261" s="163" t="str">
        <f t="shared" si="38"/>
        <v/>
      </c>
      <c r="Q261" s="163" t="str">
        <f t="shared" si="38"/>
        <v/>
      </c>
      <c r="R261" s="163" t="str">
        <f t="shared" si="38"/>
        <v/>
      </c>
      <c r="S261" s="163" t="str">
        <f t="shared" si="38"/>
        <v/>
      </c>
      <c r="T261" s="163" t="str">
        <f t="shared" si="38"/>
        <v/>
      </c>
      <c r="U261" s="163" t="str">
        <f t="shared" si="38"/>
        <v/>
      </c>
      <c r="V261" s="163" t="str">
        <f t="shared" si="38"/>
        <v/>
      </c>
      <c r="W261" s="163" t="str">
        <f t="shared" si="38"/>
        <v/>
      </c>
      <c r="X261" s="163" t="str">
        <f t="shared" si="38"/>
        <v/>
      </c>
      <c r="Y261" s="163" t="str">
        <f t="shared" si="38"/>
        <v/>
      </c>
      <c r="Z261" s="163" t="str">
        <f t="shared" si="38"/>
        <v/>
      </c>
      <c r="AA261" s="163" t="str">
        <f t="shared" si="38"/>
        <v/>
      </c>
      <c r="AB261" s="163" t="str">
        <f t="shared" si="38"/>
        <v/>
      </c>
      <c r="AC261" s="163" t="str">
        <f t="shared" si="38"/>
        <v/>
      </c>
      <c r="AD261" s="163" t="str">
        <f t="shared" si="38"/>
        <v/>
      </c>
      <c r="AE261" s="163" t="str">
        <f t="shared" si="38"/>
        <v/>
      </c>
      <c r="AF261" s="163" t="str">
        <f t="shared" si="38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9">IF(B229&lt;100,"",B229-330)</f>
        <v/>
      </c>
      <c r="C262" s="163" t="str">
        <f t="shared" si="39"/>
        <v/>
      </c>
      <c r="D262" s="163" t="str">
        <f t="shared" si="39"/>
        <v/>
      </c>
      <c r="E262" s="163" t="str">
        <f t="shared" si="39"/>
        <v/>
      </c>
      <c r="F262" s="163" t="str">
        <f t="shared" si="39"/>
        <v/>
      </c>
      <c r="G262" s="163" t="str">
        <f t="shared" si="39"/>
        <v/>
      </c>
      <c r="H262" s="163" t="str">
        <f t="shared" si="39"/>
        <v/>
      </c>
      <c r="I262" s="163" t="str">
        <f t="shared" si="39"/>
        <v/>
      </c>
      <c r="J262" s="163" t="str">
        <f t="shared" si="39"/>
        <v/>
      </c>
      <c r="K262" s="163" t="str">
        <f t="shared" si="39"/>
        <v/>
      </c>
      <c r="L262" s="163" t="str">
        <f t="shared" si="39"/>
        <v/>
      </c>
      <c r="M262" s="163" t="str">
        <f t="shared" si="39"/>
        <v/>
      </c>
      <c r="N262" s="163" t="str">
        <f t="shared" si="39"/>
        <v/>
      </c>
      <c r="O262" s="163" t="str">
        <f t="shared" si="39"/>
        <v/>
      </c>
      <c r="P262" s="163" t="str">
        <f t="shared" si="39"/>
        <v/>
      </c>
      <c r="Q262" s="163" t="str">
        <f t="shared" si="39"/>
        <v/>
      </c>
      <c r="R262" s="163" t="str">
        <f t="shared" si="39"/>
        <v/>
      </c>
      <c r="S262" s="163" t="str">
        <f t="shared" si="39"/>
        <v/>
      </c>
      <c r="T262" s="163" t="str">
        <f t="shared" si="39"/>
        <v/>
      </c>
      <c r="U262" s="163" t="str">
        <f t="shared" si="39"/>
        <v/>
      </c>
      <c r="V262" s="163" t="str">
        <f t="shared" si="39"/>
        <v/>
      </c>
      <c r="W262" s="163" t="str">
        <f t="shared" si="39"/>
        <v/>
      </c>
      <c r="X262" s="163" t="str">
        <f t="shared" si="39"/>
        <v/>
      </c>
      <c r="Y262" s="163" t="str">
        <f t="shared" si="39"/>
        <v/>
      </c>
      <c r="Z262" s="163" t="str">
        <f t="shared" si="39"/>
        <v/>
      </c>
      <c r="AA262" s="163" t="str">
        <f t="shared" si="39"/>
        <v/>
      </c>
      <c r="AB262" s="163" t="str">
        <f t="shared" si="39"/>
        <v/>
      </c>
      <c r="AC262" s="163" t="str">
        <f t="shared" si="39"/>
        <v/>
      </c>
      <c r="AD262" s="163" t="str">
        <f t="shared" si="39"/>
        <v/>
      </c>
      <c r="AE262" s="163" t="str">
        <f t="shared" si="39"/>
        <v/>
      </c>
      <c r="AF262" s="163" t="str">
        <f t="shared" si="39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40">IF(B230&lt;100,"",B230-1500)</f>
        <v/>
      </c>
      <c r="C263" s="163" t="str">
        <f t="shared" si="40"/>
        <v/>
      </c>
      <c r="D263" s="163" t="str">
        <f t="shared" si="40"/>
        <v/>
      </c>
      <c r="E263" s="163" t="str">
        <f t="shared" si="40"/>
        <v/>
      </c>
      <c r="F263" s="163" t="str">
        <f t="shared" si="40"/>
        <v/>
      </c>
      <c r="G263" s="163" t="str">
        <f t="shared" si="40"/>
        <v/>
      </c>
      <c r="H263" s="163" t="str">
        <f t="shared" si="40"/>
        <v/>
      </c>
      <c r="I263" s="163" t="str">
        <f t="shared" si="40"/>
        <v/>
      </c>
      <c r="J263" s="163" t="str">
        <f t="shared" si="40"/>
        <v/>
      </c>
      <c r="K263" s="163" t="str">
        <f t="shared" si="40"/>
        <v/>
      </c>
      <c r="L263" s="163" t="str">
        <f t="shared" si="40"/>
        <v/>
      </c>
      <c r="M263" s="163" t="str">
        <f t="shared" si="40"/>
        <v/>
      </c>
      <c r="N263" s="163" t="str">
        <f t="shared" si="40"/>
        <v/>
      </c>
      <c r="O263" s="163" t="str">
        <f t="shared" si="40"/>
        <v/>
      </c>
      <c r="P263" s="163" t="str">
        <f t="shared" si="40"/>
        <v/>
      </c>
      <c r="Q263" s="163" t="str">
        <f t="shared" si="40"/>
        <v/>
      </c>
      <c r="R263" s="163" t="str">
        <f t="shared" si="40"/>
        <v/>
      </c>
      <c r="S263" s="163" t="str">
        <f t="shared" si="40"/>
        <v/>
      </c>
      <c r="T263" s="163" t="str">
        <f t="shared" si="40"/>
        <v/>
      </c>
      <c r="U263" s="163" t="str">
        <f t="shared" si="40"/>
        <v/>
      </c>
      <c r="V263" s="163" t="str">
        <f t="shared" si="40"/>
        <v/>
      </c>
      <c r="W263" s="163" t="str">
        <f t="shared" si="40"/>
        <v/>
      </c>
      <c r="X263" s="163" t="str">
        <f t="shared" si="40"/>
        <v/>
      </c>
      <c r="Y263" s="163" t="str">
        <f t="shared" si="40"/>
        <v/>
      </c>
      <c r="Z263" s="163" t="str">
        <f t="shared" si="40"/>
        <v/>
      </c>
      <c r="AA263" s="163" t="str">
        <f t="shared" si="40"/>
        <v/>
      </c>
      <c r="AB263" s="163" t="str">
        <f t="shared" si="40"/>
        <v/>
      </c>
      <c r="AC263" s="163" t="str">
        <f t="shared" si="40"/>
        <v/>
      </c>
      <c r="AD263" s="163" t="str">
        <f t="shared" si="40"/>
        <v/>
      </c>
      <c r="AE263" s="163" t="str">
        <f t="shared" si="40"/>
        <v/>
      </c>
      <c r="AF263" s="163" t="str">
        <f t="shared" si="40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X11:AF11 B16:AF16 B20:AF23">
    <cfRule type="expression" dxfId="3224" priority="239">
      <formula>B$9&gt;=20/24</formula>
    </cfRule>
    <cfRule type="expression" dxfId="3223" priority="240">
      <formula>AND(B$9&gt;=14/24,B$9&lt;20/24)</formula>
    </cfRule>
    <cfRule type="expression" dxfId="3222" priority="241">
      <formula>AND(B$9&gt;=8/24,B$9&lt;14/24)</formula>
    </cfRule>
    <cfRule type="expression" dxfId="3221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T39:AF39">
    <cfRule type="expression" dxfId="3220" priority="234">
      <formula>T$9&gt;=20/24</formula>
    </cfRule>
    <cfRule type="expression" dxfId="3219" priority="235">
      <formula>AND(T$9&gt;=14/24,T$9&lt;20/24)</formula>
    </cfRule>
    <cfRule type="expression" dxfId="3218" priority="236">
      <formula>AND(T$9&gt;=8/24,T$9&lt;14/24)</formula>
    </cfRule>
    <cfRule type="expression" dxfId="3217" priority="237">
      <formula>T$9&lt;8/24</formula>
    </cfRule>
  </conditionalFormatting>
  <conditionalFormatting sqref="AG57 T39:AF39 B12:W16 X11:AF16 B37:AF37 B18:AF18 B20:AF23">
    <cfRule type="expression" dxfId="3216" priority="233">
      <formula>B11&gt;$AG11</formula>
    </cfRule>
  </conditionalFormatting>
  <conditionalFormatting sqref="A91:A101 A11:A14 A51:A78 A87:A89 A194:A224 A38:A49 A110:A181 A34:A35 A83:A85 A80:A81 A103:A105 A31:A32 A18:A29 A16">
    <cfRule type="expression" dxfId="3215" priority="232">
      <formula>$AH11=0</formula>
    </cfRule>
  </conditionalFormatting>
  <conditionalFormatting sqref="A106">
    <cfRule type="expression" dxfId="3214" priority="231">
      <formula>$AH106=0</formula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213" priority="229">
      <formula>$AH37=0</formula>
    </cfRule>
  </conditionalFormatting>
  <conditionalFormatting sqref="A90">
    <cfRule type="expression" dxfId="3212" priority="228">
      <formula>$AH90=0</formula>
    </cfRule>
  </conditionalFormatting>
  <conditionalFormatting sqref="A15">
    <cfRule type="expression" dxfId="3211" priority="227">
      <formula>$AH15=0</formula>
    </cfRule>
  </conditionalFormatting>
  <conditionalFormatting sqref="A188:A193">
    <cfRule type="expression" dxfId="3210" priority="226">
      <formula>$AH188=0</formula>
    </cfRule>
  </conditionalFormatting>
  <conditionalFormatting sqref="A182:A187">
    <cfRule type="expression" dxfId="3209" priority="225">
      <formula>$AH182=0</formula>
    </cfRule>
  </conditionalFormatting>
  <conditionalFormatting sqref="A50">
    <cfRule type="expression" dxfId="3208" priority="224">
      <formula>$AH50=0</formula>
    </cfRule>
  </conditionalFormatting>
  <conditionalFormatting sqref="A86">
    <cfRule type="expression" dxfId="3207" priority="223">
      <formula>$AH86=0</formula>
    </cfRule>
  </conditionalFormatting>
  <conditionalFormatting sqref="C91:AF91">
    <cfRule type="expression" dxfId="3206" priority="219">
      <formula>C$9&gt;=20/24</formula>
    </cfRule>
    <cfRule type="expression" dxfId="3205" priority="220">
      <formula>AND(C$9&gt;=14/24,C$9&lt;20/24)</formula>
    </cfRule>
    <cfRule type="expression" dxfId="3204" priority="221">
      <formula>AND(C$9&gt;=8/24,C$9&lt;14/24)</formula>
    </cfRule>
    <cfRule type="expression" dxfId="3203" priority="222">
      <formula>C$9&lt;8/24</formula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202" priority="245">
      <formula>C$9&gt;=20/24</formula>
    </cfRule>
    <cfRule type="expression" dxfId="3201" priority="246">
      <formula>AND(C$9&gt;=14/24,C$9&lt;20/24)</formula>
    </cfRule>
    <cfRule type="expression" dxfId="3200" priority="247">
      <formula>AND(C$9&gt;=8/24,C$9&lt;14/24)</formula>
    </cfRule>
    <cfRule type="expression" dxfId="3199" priority="248">
      <formula>C$9&lt;8/24</formula>
    </cfRule>
  </conditionalFormatting>
  <conditionalFormatting sqref="A225">
    <cfRule type="expression" dxfId="3198" priority="249">
      <formula>$AH225=0</formula>
    </cfRule>
  </conditionalFormatting>
  <conditionalFormatting sqref="AG237">
    <cfRule type="expression" dxfId="3197" priority="250">
      <formula>B$9&gt;=20/24</formula>
    </cfRule>
    <cfRule type="expression" dxfId="3196" priority="251">
      <formula>AND(B$9&gt;=14/24,B$9&lt;20/24)</formula>
    </cfRule>
    <cfRule type="expression" dxfId="3195" priority="252">
      <formula>AND(B$9&gt;=8/24,B$9&lt;14/24)</formula>
    </cfRule>
    <cfRule type="expression" dxfId="3194" priority="253">
      <formula>B$9&lt;8/24</formula>
    </cfRule>
  </conditionalFormatting>
  <conditionalFormatting sqref="S8">
    <cfRule type="expression" dxfId="3193" priority="214">
      <formula>U$9&gt;=20/24</formula>
    </cfRule>
    <cfRule type="expression" dxfId="3192" priority="215">
      <formula>AND(U$9&gt;=14/24,U$9&lt;20/24)</formula>
    </cfRule>
    <cfRule type="expression" dxfId="3191" priority="216">
      <formula>AND(U$9&gt;=8/24,U$9&lt;14/24)</formula>
    </cfRule>
    <cfRule type="expression" dxfId="3190" priority="217">
      <formula>U$9&lt;8/24</formula>
    </cfRule>
  </conditionalFormatting>
  <conditionalFormatting sqref="AB8">
    <cfRule type="expression" dxfId="3189" priority="210">
      <formula>AD$9&gt;=20/24</formula>
    </cfRule>
    <cfRule type="expression" dxfId="3188" priority="211">
      <formula>AND(AD$9&gt;=14/24,AD$9&lt;20/24)</formula>
    </cfRule>
    <cfRule type="expression" dxfId="3187" priority="212">
      <formula>AND(AD$9&gt;=8/24,AD$9&lt;14/24)</formula>
    </cfRule>
    <cfRule type="expression" dxfId="3186" priority="213">
      <formula>AD$9&lt;8/24</formula>
    </cfRule>
  </conditionalFormatting>
  <conditionalFormatting sqref="AH237:AX237">
    <cfRule type="expression" dxfId="3185" priority="254">
      <formula>AG$9&gt;=20/24</formula>
    </cfRule>
    <cfRule type="expression" dxfId="3184" priority="255">
      <formula>AND(AG$9&gt;=14/24,AG$9&lt;20/24)</formula>
    </cfRule>
    <cfRule type="expression" dxfId="3183" priority="256">
      <formula>AND(AG$9&gt;=8/24,AG$9&lt;14/24)</formula>
    </cfRule>
    <cfRule type="expression" dxfId="3182" priority="257">
      <formula>AG$9&lt;8/24</formula>
    </cfRule>
  </conditionalFormatting>
  <conditionalFormatting sqref="T237">
    <cfRule type="expression" dxfId="3181" priority="258">
      <formula>AX$9&gt;=20/24</formula>
    </cfRule>
    <cfRule type="expression" dxfId="3180" priority="259">
      <formula>AND(AX$9&gt;=14/24,AX$9&lt;20/24)</formula>
    </cfRule>
    <cfRule type="expression" dxfId="3179" priority="260">
      <formula>AND(AX$9&gt;=8/24,AX$9&lt;14/24)</formula>
    </cfRule>
    <cfRule type="expression" dxfId="3178" priority="261">
      <formula>AX$9&lt;8/24</formula>
    </cfRule>
  </conditionalFormatting>
  <conditionalFormatting sqref="A107:A108">
    <cfRule type="expression" dxfId="3177" priority="209">
      <formula>$AH107=0</formula>
    </cfRule>
  </conditionalFormatting>
  <conditionalFormatting sqref="M48:M49 E46:M47 N46:O49 S46:W47 E63:AF63">
    <cfRule type="expression" dxfId="3176" priority="205">
      <formula>E$9&gt;=20/24</formula>
    </cfRule>
    <cfRule type="expression" dxfId="3175" priority="206">
      <formula>AND(E$9&gt;=14/24,E$9&lt;20/24)</formula>
    </cfRule>
    <cfRule type="expression" dxfId="3174" priority="207">
      <formula>AND(E$9&gt;=8/24,E$9&lt;14/24)</formula>
    </cfRule>
    <cfRule type="expression" dxfId="3173" priority="208">
      <formula>E$9&lt;8/24</formula>
    </cfRule>
  </conditionalFormatting>
  <conditionalFormatting sqref="E45:L45 S45:W45">
    <cfRule type="expression" dxfId="3172" priority="201">
      <formula>E$9&gt;=20/24</formula>
    </cfRule>
    <cfRule type="expression" dxfId="3171" priority="202">
      <formula>AND(E$9&gt;=14/24,E$9&lt;20/24)</formula>
    </cfRule>
    <cfRule type="expression" dxfId="3170" priority="203">
      <formula>AND(E$9&gt;=8/24,E$9&lt;14/24)</formula>
    </cfRule>
    <cfRule type="expression" dxfId="3169" priority="204">
      <formula>E$9&lt;8/24</formula>
    </cfRule>
  </conditionalFormatting>
  <conditionalFormatting sqref="M48:M49 I46:M47 I45:L45 E45:H47 N46:O49 S45:W47">
    <cfRule type="expression" dxfId="3168" priority="200">
      <formula>E45&gt;$AG45</formula>
    </cfRule>
  </conditionalFormatting>
  <conditionalFormatting sqref="C88:AF88 D92:AF98 E64:S65 X12:AF14 X25:AF27 X29:AF29 X18:AF18 X31:AF34 T59:AF61 T64:AF73 C75:AF78">
    <cfRule type="expression" dxfId="3167" priority="196">
      <formula>C$9&gt;=20/24</formula>
    </cfRule>
    <cfRule type="expression" dxfId="3166" priority="197">
      <formula>AND(C$9&gt;=14/24,C$9&lt;20/24)</formula>
    </cfRule>
    <cfRule type="expression" dxfId="3165" priority="198">
      <formula>AND(C$9&gt;=8/24,C$9&lt;14/24)</formula>
    </cfRule>
    <cfRule type="expression" dxfId="3164" priority="199">
      <formula>C$9&lt;8/24</formula>
    </cfRule>
  </conditionalFormatting>
  <conditionalFormatting sqref="X35:AF35">
    <cfRule type="expression" dxfId="3163" priority="192">
      <formula>X$9&gt;=20/24</formula>
    </cfRule>
    <cfRule type="expression" dxfId="3162" priority="193">
      <formula>AND(X$9&gt;=14/24,X$9&lt;20/24)</formula>
    </cfRule>
    <cfRule type="expression" dxfId="3161" priority="194">
      <formula>AND(X$9&gt;=8/24,X$9&lt;14/24)</formula>
    </cfRule>
    <cfRule type="expression" dxfId="3160" priority="195">
      <formula>X$9&lt;8/24</formula>
    </cfRule>
  </conditionalFormatting>
  <conditionalFormatting sqref="C57:AF57 E48:L48 X25:AF29 X31:AF35 T59:AF61">
    <cfRule type="expression" dxfId="3159" priority="191">
      <formula>C25&gt;$AG25</formula>
    </cfRule>
  </conditionalFormatting>
  <conditionalFormatting sqref="X37:AF37">
    <cfRule type="expression" dxfId="3158" priority="187">
      <formula>X$9&gt;=20/24</formula>
    </cfRule>
    <cfRule type="expression" dxfId="3157" priority="188">
      <formula>AND(X$9&gt;=14/24,X$9&lt;20/24)</formula>
    </cfRule>
    <cfRule type="expression" dxfId="3156" priority="189">
      <formula>AND(X$9&gt;=8/24,X$9&lt;14/24)</formula>
    </cfRule>
    <cfRule type="expression" dxfId="3155" priority="190">
      <formula>X$9&lt;8/24</formula>
    </cfRule>
  </conditionalFormatting>
  <conditionalFormatting sqref="X15:AF15">
    <cfRule type="expression" dxfId="3154" priority="183">
      <formula>X$9&gt;=20/24</formula>
    </cfRule>
    <cfRule type="expression" dxfId="3153" priority="184">
      <formula>AND(X$9&gt;=14/24,X$9&lt;20/24)</formula>
    </cfRule>
    <cfRule type="expression" dxfId="3152" priority="185">
      <formula>AND(X$9&gt;=8/24,X$9&lt;14/24)</formula>
    </cfRule>
    <cfRule type="expression" dxfId="3151" priority="186">
      <formula>X$9&lt;8/24</formula>
    </cfRule>
  </conditionalFormatting>
  <conditionalFormatting sqref="X36:AF36">
    <cfRule type="expression" dxfId="3150" priority="179">
      <formula>X$9&gt;=20/24</formula>
    </cfRule>
    <cfRule type="expression" dxfId="3149" priority="180">
      <formula>AND(X$9&gt;=14/24,X$9&lt;20/24)</formula>
    </cfRule>
    <cfRule type="expression" dxfId="3148" priority="181">
      <formula>AND(X$9&gt;=8/24,X$9&lt;14/24)</formula>
    </cfRule>
    <cfRule type="expression" dxfId="3147" priority="182">
      <formula>X$9&lt;8/24</formula>
    </cfRule>
  </conditionalFormatting>
  <conditionalFormatting sqref="X36:AF36">
    <cfRule type="expression" dxfId="3146" priority="178">
      <formula>X36&gt;$AG36</formula>
    </cfRule>
  </conditionalFormatting>
  <conditionalFormatting sqref="X48:AF49">
    <cfRule type="expression" dxfId="3145" priority="174">
      <formula>X$9&gt;=20/24</formula>
    </cfRule>
    <cfRule type="expression" dxfId="3144" priority="175">
      <formula>AND(X$9&gt;=14/24,X$9&lt;20/24)</formula>
    </cfRule>
    <cfRule type="expression" dxfId="3143" priority="176">
      <formula>AND(X$9&gt;=8/24,X$9&lt;14/24)</formula>
    </cfRule>
    <cfRule type="expression" dxfId="3142" priority="177">
      <formula>X$9&lt;8/24</formula>
    </cfRule>
  </conditionalFormatting>
  <conditionalFormatting sqref="X48:AF49">
    <cfRule type="expression" dxfId="3141" priority="173">
      <formula>X48&gt;$AG48</formula>
    </cfRule>
  </conditionalFormatting>
  <conditionalFormatting sqref="T50:T56 M45:O45 P45:R49 S48:T49 U48:W56 X50:AF51">
    <cfRule type="expression" dxfId="3140" priority="169">
      <formula>M$9&gt;=20/24</formula>
    </cfRule>
    <cfRule type="expression" dxfId="3139" priority="170">
      <formula>AND(M$9&gt;=14/24,M$9&lt;20/24)</formula>
    </cfRule>
    <cfRule type="expression" dxfId="3138" priority="171">
      <formula>AND(M$9&gt;=8/24,M$9&lt;14/24)</formula>
    </cfRule>
    <cfRule type="expression" dxfId="3137" priority="172">
      <formula>M$9&lt;8/24</formula>
    </cfRule>
  </conditionalFormatting>
  <conditionalFormatting sqref="T50:T56 M45:O45 P45:R49 S48:T49 U48:W56 X50:AF51">
    <cfRule type="expression" dxfId="3136" priority="168">
      <formula>M45&gt;$AG45</formula>
    </cfRule>
  </conditionalFormatting>
  <conditionalFormatting sqref="X28:AF28">
    <cfRule type="expression" dxfId="3135" priority="164">
      <formula>X$9&gt;=20/24</formula>
    </cfRule>
    <cfRule type="expression" dxfId="3134" priority="165">
      <formula>AND(X$9&gt;=14/24,X$9&lt;20/24)</formula>
    </cfRule>
    <cfRule type="expression" dxfId="3133" priority="166">
      <formula>AND(X$9&gt;=8/24,X$9&lt;14/24)</formula>
    </cfRule>
    <cfRule type="expression" dxfId="3132" priority="167">
      <formula>X$9&lt;8/24</formula>
    </cfRule>
  </conditionalFormatting>
  <conditionalFormatting sqref="X19:AF19 X24:AF24">
    <cfRule type="expression" dxfId="3131" priority="160">
      <formula>X$9&gt;=20/24</formula>
    </cfRule>
    <cfRule type="expression" dxfId="3130" priority="161">
      <formula>AND(X$9&gt;=14/24,X$9&lt;20/24)</formula>
    </cfRule>
    <cfRule type="expression" dxfId="3129" priority="162">
      <formula>AND(X$9&gt;=8/24,X$9&lt;14/24)</formula>
    </cfRule>
    <cfRule type="expression" dxfId="3128" priority="163">
      <formula>X$9&lt;8/24</formula>
    </cfRule>
  </conditionalFormatting>
  <conditionalFormatting sqref="X19:AF19 X24:AF24">
    <cfRule type="expression" dxfId="3127" priority="159">
      <formula>X19&gt;$AG19</formula>
    </cfRule>
  </conditionalFormatting>
  <conditionalFormatting sqref="D45">
    <cfRule type="expression" dxfId="3126" priority="155">
      <formula>D$9&gt;=20/24</formula>
    </cfRule>
    <cfRule type="expression" dxfId="3125" priority="156">
      <formula>AND(D$9&gt;=14/24,D$9&lt;20/24)</formula>
    </cfRule>
    <cfRule type="expression" dxfId="3124" priority="157">
      <formula>AND(D$9&gt;=8/24,D$9&lt;14/24)</formula>
    </cfRule>
    <cfRule type="expression" dxfId="3123" priority="158">
      <formula>D$9&lt;8/24</formula>
    </cfRule>
  </conditionalFormatting>
  <conditionalFormatting sqref="D45">
    <cfRule type="expression" dxfId="3122" priority="154">
      <formula>D45&gt;$AG45</formula>
    </cfRule>
  </conditionalFormatting>
  <conditionalFormatting sqref="X46:AF47">
    <cfRule type="expression" dxfId="3121" priority="150">
      <formula>X$9&gt;=20/24</formula>
    </cfRule>
    <cfRule type="expression" dxfId="3120" priority="151">
      <formula>AND(X$9&gt;=14/24,X$9&lt;20/24)</formula>
    </cfRule>
    <cfRule type="expression" dxfId="3119" priority="152">
      <formula>AND(X$9&gt;=8/24,X$9&lt;14/24)</formula>
    </cfRule>
    <cfRule type="expression" dxfId="3118" priority="153">
      <formula>X$9&lt;8/24</formula>
    </cfRule>
  </conditionalFormatting>
  <conditionalFormatting sqref="X45:AF45">
    <cfRule type="expression" dxfId="3117" priority="146">
      <formula>X$9&gt;=20/24</formula>
    </cfRule>
    <cfRule type="expression" dxfId="3116" priority="147">
      <formula>AND(X$9&gt;=14/24,X$9&lt;20/24)</formula>
    </cfRule>
    <cfRule type="expression" dxfId="3115" priority="148">
      <formula>AND(X$9&gt;=8/24,X$9&lt;14/24)</formula>
    </cfRule>
    <cfRule type="expression" dxfId="3114" priority="149">
      <formula>X$9&lt;8/24</formula>
    </cfRule>
  </conditionalFormatting>
  <conditionalFormatting sqref="X45:AF47">
    <cfRule type="expression" dxfId="3113" priority="145">
      <formula>X45&gt;$AG45</formula>
    </cfRule>
  </conditionalFormatting>
  <conditionalFormatting sqref="B101 B80:AF80 B89:AF89 B103:B108 B11:W11">
    <cfRule type="expression" dxfId="3112" priority="141">
      <formula>B$9&gt;=20/24</formula>
    </cfRule>
    <cfRule type="expression" dxfId="3111" priority="142">
      <formula>AND(B$9&gt;=14/24,B$9&lt;20/24)</formula>
    </cfRule>
    <cfRule type="expression" dxfId="3110" priority="143">
      <formula>AND(B$9&gt;=8/24,B$9&lt;14/24)</formula>
    </cfRule>
    <cfRule type="expression" dxfId="3109" priority="144">
      <formula>B$9&lt;8/24</formula>
    </cfRule>
  </conditionalFormatting>
  <conditionalFormatting sqref="B39:S39">
    <cfRule type="expression" dxfId="3108" priority="137">
      <formula>B$9&gt;=20/24</formula>
    </cfRule>
    <cfRule type="expression" dxfId="3107" priority="138">
      <formula>AND(B$9&gt;=14/24,B$9&lt;20/24)</formula>
    </cfRule>
    <cfRule type="expression" dxfId="3106" priority="139">
      <formula>AND(B$9&gt;=8/24,B$9&lt;14/24)</formula>
    </cfRule>
    <cfRule type="expression" dxfId="3105" priority="140">
      <formula>B$9&lt;8/24</formula>
    </cfRule>
  </conditionalFormatting>
  <conditionalFormatting sqref="B39:S39 B11:W11">
    <cfRule type="expression" dxfId="3104" priority="136">
      <formula>B11&gt;$AG11</formula>
    </cfRule>
  </conditionalFormatting>
  <conditionalFormatting sqref="B91">
    <cfRule type="expression" dxfId="3103" priority="132">
      <formula>B$9&gt;=20/24</formula>
    </cfRule>
    <cfRule type="expression" dxfId="3102" priority="133">
      <formula>AND(B$9&gt;=14/24,B$9&lt;20/24)</formula>
    </cfRule>
    <cfRule type="expression" dxfId="3101" priority="134">
      <formula>AND(B$9&gt;=8/24,B$9&lt;14/24)</formula>
    </cfRule>
    <cfRule type="expression" dxfId="3100" priority="135">
      <formula>B$9&lt;8/24</formula>
    </cfRule>
  </conditionalFormatting>
  <conditionalFormatting sqref="B46:D47 B63:D63 B38:AF38">
    <cfRule type="expression" dxfId="3099" priority="128">
      <formula>B$9&gt;=20/24</formula>
    </cfRule>
    <cfRule type="expression" dxfId="3098" priority="129">
      <formula>AND(B$9&gt;=14/24,B$9&lt;20/24)</formula>
    </cfRule>
    <cfRule type="expression" dxfId="3097" priority="130">
      <formula>AND(B$9&gt;=8/24,B$9&lt;14/24)</formula>
    </cfRule>
    <cfRule type="expression" dxfId="3096" priority="131">
      <formula>B$9&lt;8/24</formula>
    </cfRule>
  </conditionalFormatting>
  <conditionalFormatting sqref="B45:C45">
    <cfRule type="expression" dxfId="3095" priority="124">
      <formula>B$9&gt;=20/24</formula>
    </cfRule>
    <cfRule type="expression" dxfId="3094" priority="125">
      <formula>AND(B$9&gt;=14/24,B$9&lt;20/24)</formula>
    </cfRule>
    <cfRule type="expression" dxfId="3093" priority="126">
      <formula>AND(B$9&gt;=8/24,B$9&lt;14/24)</formula>
    </cfRule>
    <cfRule type="expression" dxfId="3092" priority="127">
      <formula>B$9&lt;8/24</formula>
    </cfRule>
  </conditionalFormatting>
  <conditionalFormatting sqref="D46:D47 B45:C47 B38:AF38">
    <cfRule type="expression" dxfId="3091" priority="123">
      <formula>B38&gt;$AG38</formula>
    </cfRule>
  </conditionalFormatting>
  <conditionalFormatting sqref="B59:B62 B75:B79 B81:AF81 B88 C62:AG62 C79:AG79 B90:AF90 B92:C98 B64:D73 C59:S61 E66:S73 B12:W14 B18:W18 B25:W27 B29:W29 B31:W34">
    <cfRule type="expression" dxfId="3090" priority="119">
      <formula>B$9&gt;=20/24</formula>
    </cfRule>
    <cfRule type="expression" dxfId="3089" priority="120">
      <formula>AND(B$9&gt;=14/24,B$9&lt;20/24)</formula>
    </cfRule>
    <cfRule type="expression" dxfId="3088" priority="121">
      <formula>AND(B$9&gt;=8/24,B$9&lt;14/24)</formula>
    </cfRule>
    <cfRule type="expression" dxfId="3087" priority="122">
      <formula>B$9&lt;8/24</formula>
    </cfRule>
  </conditionalFormatting>
  <conditionalFormatting sqref="B35:W35">
    <cfRule type="expression" dxfId="3086" priority="115">
      <formula>B$9&gt;=20/24</formula>
    </cfRule>
    <cfRule type="expression" dxfId="3085" priority="116">
      <formula>AND(B$9&gt;=14/24,B$9&lt;20/24)</formula>
    </cfRule>
    <cfRule type="expression" dxfId="3084" priority="117">
      <formula>AND(B$9&gt;=8/24,B$9&lt;14/24)</formula>
    </cfRule>
    <cfRule type="expression" dxfId="3083" priority="118">
      <formula>B$9&lt;8/24</formula>
    </cfRule>
  </conditionalFormatting>
  <conditionalFormatting sqref="B57:B62 B40:AG40 C58:AG58 C62:AG62 B48:D49 E49:L49 C59:S61 B25:W29 B31:W35">
    <cfRule type="expression" dxfId="3082" priority="114">
      <formula>B25&gt;$AG25</formula>
    </cfRule>
  </conditionalFormatting>
  <conditionalFormatting sqref="B37:W37">
    <cfRule type="expression" dxfId="3081" priority="110">
      <formula>B$9&gt;=20/24</formula>
    </cfRule>
    <cfRule type="expression" dxfId="3080" priority="111">
      <formula>AND(B$9&gt;=14/24,B$9&lt;20/24)</formula>
    </cfRule>
    <cfRule type="expression" dxfId="3079" priority="112">
      <formula>AND(B$9&gt;=8/24,B$9&lt;14/24)</formula>
    </cfRule>
    <cfRule type="expression" dxfId="3078" priority="113">
      <formula>B$9&lt;8/24</formula>
    </cfRule>
  </conditionalFormatting>
  <conditionalFormatting sqref="B15:W15">
    <cfRule type="expression" dxfId="3077" priority="106">
      <formula>B$9&gt;=20/24</formula>
    </cfRule>
    <cfRule type="expression" dxfId="3076" priority="107">
      <formula>AND(B$9&gt;=14/24,B$9&lt;20/24)</formula>
    </cfRule>
    <cfRule type="expression" dxfId="3075" priority="108">
      <formula>AND(B$9&gt;=8/24,B$9&lt;14/24)</formula>
    </cfRule>
    <cfRule type="expression" dxfId="3074" priority="109">
      <formula>B$9&lt;8/24</formula>
    </cfRule>
  </conditionalFormatting>
  <conditionalFormatting sqref="B36:W36">
    <cfRule type="expression" dxfId="3073" priority="102">
      <formula>B$9&gt;=20/24</formula>
    </cfRule>
    <cfRule type="expression" dxfId="3072" priority="103">
      <formula>AND(B$9&gt;=14/24,B$9&lt;20/24)</formula>
    </cfRule>
    <cfRule type="expression" dxfId="3071" priority="104">
      <formula>AND(B$9&gt;=8/24,B$9&lt;14/24)</formula>
    </cfRule>
    <cfRule type="expression" dxfId="3070" priority="105">
      <formula>B$9&lt;8/24</formula>
    </cfRule>
  </conditionalFormatting>
  <conditionalFormatting sqref="B36:W36">
    <cfRule type="expression" dxfId="3069" priority="101">
      <formula>B36&gt;$AG36</formula>
    </cfRule>
  </conditionalFormatting>
  <conditionalFormatting sqref="B50:S56">
    <cfRule type="expression" dxfId="3068" priority="97">
      <formula>B$9&gt;=20/24</formula>
    </cfRule>
    <cfRule type="expression" dxfId="3067" priority="98">
      <formula>AND(B$9&gt;=14/24,B$9&lt;20/24)</formula>
    </cfRule>
    <cfRule type="expression" dxfId="3066" priority="99">
      <formula>AND(B$9&gt;=8/24,B$9&lt;14/24)</formula>
    </cfRule>
    <cfRule type="expression" dxfId="3065" priority="100">
      <formula>B$9&lt;8/24</formula>
    </cfRule>
  </conditionalFormatting>
  <conditionalFormatting sqref="B50:S56">
    <cfRule type="expression" dxfId="3064" priority="96">
      <formula>B50&gt;$AG50</formula>
    </cfRule>
  </conditionalFormatting>
  <conditionalFormatting sqref="B28:W28">
    <cfRule type="expression" dxfId="3063" priority="92">
      <formula>B$9&gt;=20/24</formula>
    </cfRule>
    <cfRule type="expression" dxfId="3062" priority="93">
      <formula>AND(B$9&gt;=14/24,B$9&lt;20/24)</formula>
    </cfRule>
    <cfRule type="expression" dxfId="3061" priority="94">
      <formula>AND(B$9&gt;=8/24,B$9&lt;14/24)</formula>
    </cfRule>
    <cfRule type="expression" dxfId="3060" priority="95">
      <formula>B$9&lt;8/24</formula>
    </cfRule>
  </conditionalFormatting>
  <conditionalFormatting sqref="B19:W19 B24:W24">
    <cfRule type="expression" dxfId="3059" priority="88">
      <formula>B$9&gt;=20/24</formula>
    </cfRule>
    <cfRule type="expression" dxfId="3058" priority="89">
      <formula>AND(B$9&gt;=14/24,B$9&lt;20/24)</formula>
    </cfRule>
    <cfRule type="expression" dxfId="3057" priority="90">
      <formula>AND(B$9&gt;=8/24,B$9&lt;14/24)</formula>
    </cfRule>
    <cfRule type="expression" dxfId="3056" priority="91">
      <formula>B$9&lt;8/24</formula>
    </cfRule>
  </conditionalFormatting>
  <conditionalFormatting sqref="B19:W19 B24:W24">
    <cfRule type="expression" dxfId="3055" priority="87">
      <formula>B19&gt;$AG19</formula>
    </cfRule>
  </conditionalFormatting>
  <conditionalFormatting sqref="A36">
    <cfRule type="expression" dxfId="3054" priority="86">
      <formula>$AH36=0</formula>
    </cfRule>
  </conditionalFormatting>
  <conditionalFormatting sqref="B74:AF74">
    <cfRule type="expression" dxfId="3053" priority="82">
      <formula>B$9&gt;=20/24</formula>
    </cfRule>
    <cfRule type="expression" dxfId="3052" priority="83">
      <formula>AND(B$9&gt;=14/24,B$9&lt;20/24)</formula>
    </cfRule>
    <cfRule type="expression" dxfId="3051" priority="84">
      <formula>AND(B$9&gt;=8/24,B$9&lt;14/24)</formula>
    </cfRule>
    <cfRule type="expression" dxfId="3050" priority="85">
      <formula>B$9&lt;8/24</formula>
    </cfRule>
  </conditionalFormatting>
  <conditionalFormatting sqref="B83:AF87">
    <cfRule type="expression" dxfId="3049" priority="78">
      <formula>B$9&gt;=20/24</formula>
    </cfRule>
    <cfRule type="expression" dxfId="3048" priority="79">
      <formula>AND(B$9&gt;=14/24,B$9&lt;20/24)</formula>
    </cfRule>
    <cfRule type="expression" dxfId="3047" priority="80">
      <formula>AND(B$9&gt;=8/24,B$9&lt;14/24)</formula>
    </cfRule>
    <cfRule type="expression" dxfId="3046" priority="81">
      <formula>B$9&lt;8/24</formula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C41:AF43">
    <cfRule type="expression" dxfId="3045" priority="74">
      <formula>C$9&gt;=20/24</formula>
    </cfRule>
    <cfRule type="expression" dxfId="3044" priority="75">
      <formula>AND(C$9&gt;=14/24,C$9&lt;20/24)</formula>
    </cfRule>
    <cfRule type="expression" dxfId="3043" priority="76">
      <formula>AND(C$9&gt;=8/24,C$9&lt;14/24)</formula>
    </cfRule>
    <cfRule type="expression" dxfId="3042" priority="77">
      <formula>C$9&lt;8/24</formula>
    </cfRule>
  </conditionalFormatting>
  <conditionalFormatting sqref="C41:AF43">
    <cfRule type="expression" dxfId="3041" priority="73">
      <formula>C41&gt;$AG41</formula>
    </cfRule>
  </conditionalFormatting>
  <conditionalFormatting sqref="B41:B44 C44:AG44">
    <cfRule type="expression" dxfId="3040" priority="69">
      <formula>B$9&gt;=20/24</formula>
    </cfRule>
    <cfRule type="expression" dxfId="3039" priority="70">
      <formula>AND(B$9&gt;=14/24,B$9&lt;20/24)</formula>
    </cfRule>
    <cfRule type="expression" dxfId="3038" priority="71">
      <formula>AND(B$9&gt;=8/24,B$9&lt;14/24)</formula>
    </cfRule>
    <cfRule type="expression" dxfId="3037" priority="72">
      <formula>B$9&lt;8/24</formula>
    </cfRule>
  </conditionalFormatting>
  <conditionalFormatting sqref="B41:B44 C44:AG44">
    <cfRule type="expression" dxfId="3036" priority="68">
      <formula>B41&gt;$AG41</formula>
    </cfRule>
  </conditionalFormatting>
  <conditionalFormatting sqref="C99:AF99">
    <cfRule type="expression" dxfId="3035" priority="64">
      <formula>C$9&gt;=20/24</formula>
    </cfRule>
    <cfRule type="expression" dxfId="3034" priority="65">
      <formula>AND(C$9&gt;=14/24,C$9&lt;20/24)</formula>
    </cfRule>
    <cfRule type="expression" dxfId="3033" priority="66">
      <formula>AND(C$9&gt;=8/24,C$9&lt;14/24)</formula>
    </cfRule>
    <cfRule type="expression" dxfId="3032" priority="67">
      <formula>C$9&lt;8/24</formula>
    </cfRule>
  </conditionalFormatting>
  <conditionalFormatting sqref="B99">
    <cfRule type="expression" dxfId="3031" priority="60">
      <formula>B$9&gt;=20/24</formula>
    </cfRule>
    <cfRule type="expression" dxfId="3030" priority="61">
      <formula>AND(B$9&gt;=14/24,B$9&lt;20/24)</formula>
    </cfRule>
    <cfRule type="expression" dxfId="3029" priority="62">
      <formula>AND(B$9&gt;=8/24,B$9&lt;14/24)</formula>
    </cfRule>
    <cfRule type="expression" dxfId="3028" priority="63">
      <formula>B$9&lt;8/24</formula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3027" priority="54">
      <formula>$AH33=0</formula>
    </cfRule>
  </conditionalFormatting>
  <conditionalFormatting sqref="A82">
    <cfRule type="expression" dxfId="3026" priority="52">
      <formula>$AH82=0</formula>
    </cfRule>
  </conditionalFormatting>
  <conditionalFormatting sqref="A79">
    <cfRule type="expression" dxfId="3025" priority="53">
      <formula>$AH79=0</formula>
    </cfRule>
  </conditionalFormatting>
  <conditionalFormatting sqref="A109">
    <cfRule type="expression" dxfId="3024" priority="43">
      <formula>$AH109=0</formula>
    </cfRule>
  </conditionalFormatting>
  <conditionalFormatting sqref="C102:AF102">
    <cfRule type="expression" dxfId="3023" priority="39">
      <formula>C$9&gt;=20/24</formula>
    </cfRule>
    <cfRule type="expression" dxfId="3022" priority="40">
      <formula>AND(C$9&gt;=14/24,C$9&lt;20/24)</formula>
    </cfRule>
    <cfRule type="expression" dxfId="3021" priority="41">
      <formula>AND(C$9&gt;=8/24,C$9&lt;14/24)</formula>
    </cfRule>
    <cfRule type="expression" dxfId="3020" priority="42">
      <formula>C$9&lt;8/24</formula>
    </cfRule>
  </conditionalFormatting>
  <conditionalFormatting sqref="A102">
    <cfRule type="expression" dxfId="3019" priority="38">
      <formula>$AH102=0</formula>
    </cfRule>
  </conditionalFormatting>
  <conditionalFormatting sqref="B102">
    <cfRule type="expression" dxfId="3018" priority="34">
      <formula>B$9&gt;=20/24</formula>
    </cfRule>
    <cfRule type="expression" dxfId="3017" priority="35">
      <formula>AND(B$9&gt;=14/24,B$9&lt;20/24)</formula>
    </cfRule>
    <cfRule type="expression" dxfId="3016" priority="36">
      <formula>AND(B$9&gt;=8/24,B$9&lt;14/24)</formula>
    </cfRule>
    <cfRule type="expression" dxfId="3015" priority="37">
      <formula>B$9&lt;8/24</formula>
    </cfRule>
  </conditionalFormatting>
  <conditionalFormatting sqref="X52:AF56">
    <cfRule type="expression" dxfId="3014" priority="30">
      <formula>X$9&gt;=20/24</formula>
    </cfRule>
    <cfRule type="expression" dxfId="3013" priority="31">
      <formula>AND(X$9&gt;=14/24,X$9&lt;20/24)</formula>
    </cfRule>
    <cfRule type="expression" dxfId="3012" priority="32">
      <formula>AND(X$9&gt;=8/24,X$9&lt;14/24)</formula>
    </cfRule>
    <cfRule type="expression" dxfId="3011" priority="33">
      <formula>X$9&lt;8/24</formula>
    </cfRule>
  </conditionalFormatting>
  <conditionalFormatting sqref="X52:AF56">
    <cfRule type="expression" dxfId="3010" priority="29">
      <formula>X52&gt;$AG52</formula>
    </cfRule>
  </conditionalFormatting>
  <conditionalFormatting sqref="B17:AF17">
    <cfRule type="expression" dxfId="3009" priority="27">
      <formula>B17&gt;$AG17</formula>
    </cfRule>
  </conditionalFormatting>
  <conditionalFormatting sqref="A17">
    <cfRule type="expression" dxfId="3008" priority="26">
      <formula>$AH17=0</formula>
    </cfRule>
  </conditionalFormatting>
  <conditionalFormatting sqref="X17:AF17">
    <cfRule type="expression" dxfId="3007" priority="22">
      <formula>X$9&gt;=20/24</formula>
    </cfRule>
    <cfRule type="expression" dxfId="3006" priority="23">
      <formula>AND(X$9&gt;=14/24,X$9&lt;20/24)</formula>
    </cfRule>
    <cfRule type="expression" dxfId="3005" priority="24">
      <formula>AND(X$9&gt;=8/24,X$9&lt;14/24)</formula>
    </cfRule>
    <cfRule type="expression" dxfId="3004" priority="25">
      <formula>X$9&lt;8/24</formula>
    </cfRule>
  </conditionalFormatting>
  <conditionalFormatting sqref="B17:W17">
    <cfRule type="expression" dxfId="3003" priority="18">
      <formula>B$9&gt;=20/24</formula>
    </cfRule>
    <cfRule type="expression" dxfId="3002" priority="19">
      <formula>AND(B$9&gt;=14/24,B$9&lt;20/24)</formula>
    </cfRule>
    <cfRule type="expression" dxfId="3001" priority="20">
      <formula>AND(B$9&gt;=8/24,B$9&lt;14/24)</formula>
    </cfRule>
    <cfRule type="expression" dxfId="3000" priority="21">
      <formula>B$9&lt;8/24</formula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2999" priority="16">
      <formula>$AH30=0</formula>
    </cfRule>
  </conditionalFormatting>
  <conditionalFormatting sqref="X30:AF30">
    <cfRule type="expression" dxfId="2998" priority="12">
      <formula>X$9&gt;=20/24</formula>
    </cfRule>
    <cfRule type="expression" dxfId="2997" priority="13">
      <formula>AND(X$9&gt;=14/24,X$9&lt;20/24)</formula>
    </cfRule>
    <cfRule type="expression" dxfId="2996" priority="14">
      <formula>AND(X$9&gt;=8/24,X$9&lt;14/24)</formula>
    </cfRule>
    <cfRule type="expression" dxfId="2995" priority="15">
      <formula>X$9&lt;8/24</formula>
    </cfRule>
  </conditionalFormatting>
  <conditionalFormatting sqref="X30:AF30">
    <cfRule type="expression" dxfId="2994" priority="11">
      <formula>X30&gt;$AG30</formula>
    </cfRule>
  </conditionalFormatting>
  <conditionalFormatting sqref="B30:W30">
    <cfRule type="expression" dxfId="2993" priority="2">
      <formula>B$9&gt;=20/24</formula>
    </cfRule>
    <cfRule type="expression" dxfId="2992" priority="3">
      <formula>AND(B$9&gt;=14/24,B$9&lt;20/24)</formula>
    </cfRule>
    <cfRule type="expression" dxfId="2991" priority="4">
      <formula>AND(B$9&gt;=8/24,B$9&lt;14/24)</formula>
    </cfRule>
    <cfRule type="expression" dxfId="2990" priority="5">
      <formula>B$9&lt;8/24</formula>
    </cfRule>
  </conditionalFormatting>
  <conditionalFormatting sqref="B30:W30">
    <cfRule type="expression" dxfId="2989" priority="1">
      <formula>B30&gt;$AG30</formula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22124F95-6A82-46CF-A948-E6D9713A4E0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A8FD7ECD-83A3-4AF8-A029-D4FA9DE51FEA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CC299DE8-FA22-4F75-B95F-0BA84E1B593A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DDC4F11E-61FA-40D8-8793-650E8B82980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8" id="{6698E737-19F1-420B-8781-ECD853DB357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472E4842-39D6-4584-AD9F-47E91C1D235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304B64AC-EADB-4F90-B00E-31CE285C203F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F2B2A215-50EA-4B17-9629-8759B8A26F9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4" id="{ACE63006-9A52-4A05-8B7F-0FB07A6F138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43ACFD13-A525-4C26-AD06-93F42A9C52AE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39629531-71C3-4CFC-AC38-64C54AD2A5E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73BE87B5-F359-4B6B-BDAB-74B5C002A10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J270"/>
  <sheetViews>
    <sheetView zoomScale="90" zoomScaleNormal="90" workbookViewId="0">
      <pane xSplit="1" ySplit="10" topLeftCell="B26" activePane="bottomRight" state="frozen"/>
      <selection activeCell="AF88" sqref="AF88"/>
      <selection pane="topRight" activeCell="AF88" sqref="AF88"/>
      <selection pane="bottomLeft" activeCell="AF88" sqref="AF88"/>
      <selection pane="bottomRight" activeCell="S47" sqref="S4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2079/06/29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15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1630MW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Load=943</v>
      </c>
      <c r="B7" s="35">
        <f t="shared" ref="B7:AF7" si="1">B81</f>
        <v>942.94</v>
      </c>
      <c r="C7" s="35">
        <f t="shared" si="1"/>
        <v>1128.94</v>
      </c>
      <c r="D7" s="35">
        <f t="shared" si="1"/>
        <v>1137.6400000000001</v>
      </c>
      <c r="E7" s="35">
        <f t="shared" si="1"/>
        <v>1135.3400000000001</v>
      </c>
      <c r="F7" s="35">
        <f t="shared" si="1"/>
        <v>1164.1400000000001</v>
      </c>
      <c r="G7" s="35">
        <f t="shared" si="1"/>
        <v>1243.24</v>
      </c>
      <c r="H7" s="35">
        <f t="shared" si="1"/>
        <v>1309.44</v>
      </c>
      <c r="I7" s="35">
        <f t="shared" si="1"/>
        <v>1335.94</v>
      </c>
      <c r="J7" s="35">
        <f t="shared" si="1"/>
        <v>1435.24</v>
      </c>
      <c r="K7" s="35">
        <f t="shared" si="1"/>
        <v>1604.24</v>
      </c>
      <c r="L7" s="35">
        <f t="shared" si="1"/>
        <v>1596.24</v>
      </c>
      <c r="M7" s="35">
        <f t="shared" si="1"/>
        <v>1630.1399999999999</v>
      </c>
      <c r="N7" s="35">
        <f t="shared" si="1"/>
        <v>1549.1399999999999</v>
      </c>
      <c r="O7" s="35">
        <f t="shared" si="1"/>
        <v>1366.04</v>
      </c>
      <c r="P7" s="35">
        <f t="shared" si="1"/>
        <v>1392.94</v>
      </c>
      <c r="Q7" s="35">
        <f t="shared" si="1"/>
        <v>1315.44</v>
      </c>
      <c r="R7" s="35">
        <f t="shared" si="1"/>
        <v>1270.44</v>
      </c>
      <c r="S7" s="35">
        <f t="shared" si="1"/>
        <v>1256.24</v>
      </c>
      <c r="T7" s="35">
        <f t="shared" si="1"/>
        <v>1256.24</v>
      </c>
      <c r="U7" s="35">
        <f t="shared" si="1"/>
        <v>1327.24</v>
      </c>
      <c r="V7" s="35">
        <f t="shared" si="1"/>
        <v>1448.14</v>
      </c>
      <c r="W7" s="35">
        <f t="shared" si="1"/>
        <v>1587.04</v>
      </c>
      <c r="X7" s="35">
        <f t="shared" si="1"/>
        <v>1662.9399999999998</v>
      </c>
      <c r="Y7" s="35">
        <f t="shared" si="1"/>
        <v>1556.9399999999998</v>
      </c>
      <c r="Z7" s="35">
        <f t="shared" si="1"/>
        <v>1474.94</v>
      </c>
      <c r="AA7" s="35">
        <f t="shared" si="1"/>
        <v>1468.6399999999999</v>
      </c>
      <c r="AB7" s="35">
        <f t="shared" si="1"/>
        <v>1468.6399999999999</v>
      </c>
      <c r="AC7" s="35">
        <f t="shared" si="1"/>
        <v>1378.64</v>
      </c>
      <c r="AD7" s="35">
        <f t="shared" si="1"/>
        <v>1347.54</v>
      </c>
      <c r="AE7" s="35">
        <f t="shared" si="1"/>
        <v>1232.44</v>
      </c>
      <c r="AF7" s="35">
        <f t="shared" si="1"/>
        <v>1237.04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39.4</v>
      </c>
      <c r="C11" s="45">
        <v>37.4</v>
      </c>
      <c r="D11" s="45">
        <v>38.1</v>
      </c>
      <c r="E11" s="45">
        <v>38.1</v>
      </c>
      <c r="F11" s="45">
        <v>38.1</v>
      </c>
      <c r="G11" s="45">
        <v>41</v>
      </c>
      <c r="H11" s="45">
        <v>41</v>
      </c>
      <c r="I11" s="45">
        <v>41</v>
      </c>
      <c r="J11" s="45">
        <v>41</v>
      </c>
      <c r="K11" s="45">
        <v>41</v>
      </c>
      <c r="L11" s="45">
        <v>41</v>
      </c>
      <c r="M11" s="45">
        <v>41</v>
      </c>
      <c r="N11" s="45">
        <v>41</v>
      </c>
      <c r="O11" s="45">
        <v>41</v>
      </c>
      <c r="P11" s="45">
        <v>41</v>
      </c>
      <c r="Q11" s="45">
        <v>39.299999999999997</v>
      </c>
      <c r="R11" s="45">
        <v>38.9</v>
      </c>
      <c r="S11" s="45">
        <v>38.9</v>
      </c>
      <c r="T11" s="45">
        <v>38.9</v>
      </c>
      <c r="U11" s="45">
        <v>38.9</v>
      </c>
      <c r="V11" s="45">
        <v>38.9</v>
      </c>
      <c r="W11" s="45">
        <v>40.299999999999997</v>
      </c>
      <c r="X11" s="46">
        <v>40.299999999999997</v>
      </c>
      <c r="Y11" s="46">
        <v>40.299999999999997</v>
      </c>
      <c r="Z11" s="46">
        <v>40.299999999999997</v>
      </c>
      <c r="AA11" s="46">
        <v>40.299999999999997</v>
      </c>
      <c r="AB11" s="46">
        <v>40.299999999999997</v>
      </c>
      <c r="AC11" s="46">
        <v>40.299999999999997</v>
      </c>
      <c r="AD11" s="46">
        <v>40.299999999999997</v>
      </c>
      <c r="AE11" s="46">
        <v>41.8</v>
      </c>
      <c r="AF11" s="46">
        <v>41.8</v>
      </c>
      <c r="AG11" s="47">
        <v>52.4</v>
      </c>
      <c r="AH11" s="48">
        <f>MAX(B11:AF11)</f>
        <v>41.8</v>
      </c>
      <c r="AI11" s="49">
        <f>MIN(B11:AF11)</f>
        <v>37.4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0</v>
      </c>
      <c r="C12" s="45">
        <v>50.8</v>
      </c>
      <c r="D12" s="45">
        <v>50.2</v>
      </c>
      <c r="E12" s="45">
        <v>50.2</v>
      </c>
      <c r="F12" s="45">
        <v>50.2</v>
      </c>
      <c r="G12" s="45">
        <v>50.2</v>
      </c>
      <c r="H12" s="45">
        <v>50.2</v>
      </c>
      <c r="I12" s="45">
        <v>50.2</v>
      </c>
      <c r="J12" s="45">
        <v>50.2</v>
      </c>
      <c r="K12" s="45">
        <v>50.2</v>
      </c>
      <c r="L12" s="45">
        <v>50.2</v>
      </c>
      <c r="M12" s="45">
        <v>50.2</v>
      </c>
      <c r="N12" s="45">
        <v>50.2</v>
      </c>
      <c r="O12" s="45">
        <v>50.2</v>
      </c>
      <c r="P12" s="45">
        <v>50.2</v>
      </c>
      <c r="Q12" s="45">
        <v>50.6</v>
      </c>
      <c r="R12" s="45">
        <v>50.4</v>
      </c>
      <c r="S12" s="45">
        <v>50.9</v>
      </c>
      <c r="T12" s="45">
        <v>50.9</v>
      </c>
      <c r="U12" s="45">
        <v>50.9</v>
      </c>
      <c r="V12" s="45">
        <v>50.6</v>
      </c>
      <c r="W12" s="45">
        <v>50.3</v>
      </c>
      <c r="X12" s="45">
        <v>50.3</v>
      </c>
      <c r="Y12" s="45">
        <v>50.3</v>
      </c>
      <c r="Z12" s="45">
        <v>50.3</v>
      </c>
      <c r="AA12" s="45">
        <v>50.3</v>
      </c>
      <c r="AB12" s="45">
        <v>50.3</v>
      </c>
      <c r="AC12" s="45">
        <v>50.3</v>
      </c>
      <c r="AD12" s="45">
        <v>50.3</v>
      </c>
      <c r="AE12" s="45">
        <v>50.3</v>
      </c>
      <c r="AF12" s="45">
        <v>50.3</v>
      </c>
      <c r="AG12" s="51">
        <v>50</v>
      </c>
      <c r="AH12" s="48">
        <f t="shared" ref="AH12:AH75" si="2">MAX(B12:AF12)</f>
        <v>50.9</v>
      </c>
      <c r="AI12" s="49">
        <f t="shared" ref="AI12:AI75" si="3">MIN(B12:AF12)</f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37.1</v>
      </c>
      <c r="C13" s="45">
        <v>35.6</v>
      </c>
      <c r="D13" s="45">
        <v>35.6</v>
      </c>
      <c r="E13" s="45">
        <v>35.6</v>
      </c>
      <c r="F13" s="45">
        <v>35.6</v>
      </c>
      <c r="G13" s="45">
        <v>35.6</v>
      </c>
      <c r="H13" s="45">
        <v>33.799999999999997</v>
      </c>
      <c r="I13" s="45">
        <v>33.799999999999997</v>
      </c>
      <c r="J13" s="45">
        <v>33.799999999999997</v>
      </c>
      <c r="K13" s="45">
        <v>33.799999999999997</v>
      </c>
      <c r="L13" s="45">
        <v>33.799999999999997</v>
      </c>
      <c r="M13" s="45">
        <v>33.799999999999997</v>
      </c>
      <c r="N13" s="45">
        <v>33.799999999999997</v>
      </c>
      <c r="O13" s="45">
        <v>34.1</v>
      </c>
      <c r="P13" s="45">
        <v>34.1</v>
      </c>
      <c r="Q13" s="45">
        <v>31.3</v>
      </c>
      <c r="R13" s="45">
        <v>31.2</v>
      </c>
      <c r="S13" s="45">
        <v>31.4</v>
      </c>
      <c r="T13" s="45">
        <v>31.4</v>
      </c>
      <c r="U13" s="45">
        <v>31.4</v>
      </c>
      <c r="V13" s="45">
        <v>34.799999999999997</v>
      </c>
      <c r="W13" s="45">
        <v>34.799999999999997</v>
      </c>
      <c r="X13" s="45">
        <v>36.200000000000003</v>
      </c>
      <c r="Y13" s="45">
        <v>36.200000000000003</v>
      </c>
      <c r="Z13" s="45">
        <v>36.200000000000003</v>
      </c>
      <c r="AA13" s="45">
        <v>36.200000000000003</v>
      </c>
      <c r="AB13" s="45">
        <v>36.200000000000003</v>
      </c>
      <c r="AC13" s="45">
        <v>36.200000000000003</v>
      </c>
      <c r="AD13" s="45">
        <v>36.200000000000003</v>
      </c>
      <c r="AE13" s="45">
        <v>36.200000000000003</v>
      </c>
      <c r="AF13" s="45">
        <v>36.200000000000003</v>
      </c>
      <c r="AG13" s="51">
        <v>45</v>
      </c>
      <c r="AH13" s="48">
        <f t="shared" si="2"/>
        <v>37.1</v>
      </c>
      <c r="AI13" s="49">
        <f t="shared" si="3"/>
        <v>31.2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18</v>
      </c>
      <c r="C14" s="45">
        <v>23.5</v>
      </c>
      <c r="D14" s="45">
        <v>23.5</v>
      </c>
      <c r="E14" s="45">
        <v>23.5</v>
      </c>
      <c r="F14" s="45">
        <v>23.5</v>
      </c>
      <c r="G14" s="45">
        <v>23.5</v>
      </c>
      <c r="H14" s="45">
        <v>23.5</v>
      </c>
      <c r="I14" s="45">
        <v>23.5</v>
      </c>
      <c r="J14" s="45">
        <v>23.5</v>
      </c>
      <c r="K14" s="45">
        <v>23.5</v>
      </c>
      <c r="L14" s="45">
        <v>23.5</v>
      </c>
      <c r="M14" s="45">
        <v>24</v>
      </c>
      <c r="N14" s="45">
        <v>24</v>
      </c>
      <c r="O14" s="45">
        <v>18.5</v>
      </c>
      <c r="P14" s="45">
        <v>18.5</v>
      </c>
      <c r="Q14" s="45">
        <v>23.5</v>
      </c>
      <c r="R14" s="45">
        <v>23.5</v>
      </c>
      <c r="S14" s="45">
        <v>21.5</v>
      </c>
      <c r="T14" s="45">
        <v>21.5</v>
      </c>
      <c r="U14" s="45">
        <v>21.5</v>
      </c>
      <c r="V14" s="45">
        <v>21</v>
      </c>
      <c r="W14" s="45">
        <v>22</v>
      </c>
      <c r="X14" s="45">
        <v>22</v>
      </c>
      <c r="Y14" s="45">
        <v>22</v>
      </c>
      <c r="Z14" s="45">
        <v>22</v>
      </c>
      <c r="AA14" s="45">
        <v>22</v>
      </c>
      <c r="AB14" s="45">
        <v>22</v>
      </c>
      <c r="AC14" s="45">
        <v>22</v>
      </c>
      <c r="AD14" s="45">
        <v>22</v>
      </c>
      <c r="AE14" s="45">
        <v>22</v>
      </c>
      <c r="AF14" s="45">
        <v>21</v>
      </c>
      <c r="AG14" s="51">
        <v>42</v>
      </c>
      <c r="AH14" s="48">
        <f t="shared" si="2"/>
        <v>24</v>
      </c>
      <c r="AI14" s="49">
        <f t="shared" si="3"/>
        <v>18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25</v>
      </c>
      <c r="K15" s="45">
        <v>30</v>
      </c>
      <c r="L15" s="45">
        <v>30</v>
      </c>
      <c r="M15" s="45">
        <v>23.4</v>
      </c>
      <c r="N15" s="45">
        <v>23.4</v>
      </c>
      <c r="O15" s="45">
        <v>10.7</v>
      </c>
      <c r="P15" s="45">
        <v>10.7</v>
      </c>
      <c r="Q15" s="45">
        <v>10.6</v>
      </c>
      <c r="R15" s="45">
        <v>10.6</v>
      </c>
      <c r="S15" s="45">
        <v>10.9</v>
      </c>
      <c r="T15" s="45">
        <v>10.9</v>
      </c>
      <c r="U15" s="45">
        <v>10.9</v>
      </c>
      <c r="V15" s="45">
        <v>23.1</v>
      </c>
      <c r="W15" s="45">
        <v>23.1</v>
      </c>
      <c r="X15" s="45">
        <v>23.1</v>
      </c>
      <c r="Y15" s="45">
        <v>23.1</v>
      </c>
      <c r="Z15" s="45">
        <v>23.1</v>
      </c>
      <c r="AA15" s="45">
        <v>24.6</v>
      </c>
      <c r="AB15" s="45">
        <v>24.6</v>
      </c>
      <c r="AC15" s="45">
        <v>24.6</v>
      </c>
      <c r="AD15" s="45">
        <v>24.6</v>
      </c>
      <c r="AE15" s="45">
        <v>0</v>
      </c>
      <c r="AF15" s="45">
        <v>0</v>
      </c>
      <c r="AG15" s="52">
        <v>30</v>
      </c>
      <c r="AH15" s="48">
        <f t="shared" si="2"/>
        <v>30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17</v>
      </c>
      <c r="C16" s="45">
        <v>17</v>
      </c>
      <c r="D16" s="45">
        <v>17</v>
      </c>
      <c r="E16" s="45">
        <v>17</v>
      </c>
      <c r="F16" s="45">
        <v>17</v>
      </c>
      <c r="G16" s="45">
        <v>17</v>
      </c>
      <c r="H16" s="45">
        <v>17</v>
      </c>
      <c r="I16" s="45">
        <v>17</v>
      </c>
      <c r="J16" s="45">
        <v>17</v>
      </c>
      <c r="K16" s="45">
        <v>17</v>
      </c>
      <c r="L16" s="45">
        <v>17</v>
      </c>
      <c r="M16" s="45">
        <v>17</v>
      </c>
      <c r="N16" s="45">
        <v>17</v>
      </c>
      <c r="O16" s="45">
        <v>17</v>
      </c>
      <c r="P16" s="45">
        <v>17</v>
      </c>
      <c r="Q16" s="45">
        <v>17.100000000000001</v>
      </c>
      <c r="R16" s="45">
        <v>17.100000000000001</v>
      </c>
      <c r="S16" s="45">
        <v>17.100000000000001</v>
      </c>
      <c r="T16" s="45">
        <v>17.100000000000001</v>
      </c>
      <c r="U16" s="45">
        <v>17.100000000000001</v>
      </c>
      <c r="V16" s="45">
        <v>17.100000000000001</v>
      </c>
      <c r="W16" s="45">
        <v>17.100000000000001</v>
      </c>
      <c r="X16" s="45">
        <v>17.100000000000001</v>
      </c>
      <c r="Y16" s="45">
        <v>17.100000000000001</v>
      </c>
      <c r="Z16" s="45">
        <v>17.100000000000001</v>
      </c>
      <c r="AA16" s="45">
        <v>17.100000000000001</v>
      </c>
      <c r="AB16" s="45">
        <v>17.100000000000001</v>
      </c>
      <c r="AC16" s="45">
        <v>17.100000000000001</v>
      </c>
      <c r="AD16" s="45">
        <v>17.100000000000001</v>
      </c>
      <c r="AE16" s="45">
        <v>17.100000000000001</v>
      </c>
      <c r="AF16" s="45">
        <v>17.100000000000001</v>
      </c>
      <c r="AG16" s="51">
        <v>24.2</v>
      </c>
      <c r="AH16" s="48">
        <f t="shared" si="2"/>
        <v>17.100000000000001</v>
      </c>
      <c r="AI16" s="49">
        <f t="shared" si="3"/>
        <v>17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6</v>
      </c>
      <c r="J17" s="45">
        <v>20</v>
      </c>
      <c r="K17" s="45">
        <v>27</v>
      </c>
      <c r="L17" s="45">
        <v>27</v>
      </c>
      <c r="M17" s="45">
        <v>22</v>
      </c>
      <c r="N17" s="45">
        <v>22</v>
      </c>
      <c r="O17" s="45">
        <v>8</v>
      </c>
      <c r="P17" s="45">
        <v>8</v>
      </c>
      <c r="Q17" s="45">
        <v>10</v>
      </c>
      <c r="R17" s="45">
        <v>10</v>
      </c>
      <c r="S17" s="45">
        <v>10</v>
      </c>
      <c r="T17" s="45">
        <v>10</v>
      </c>
      <c r="U17" s="45">
        <v>10</v>
      </c>
      <c r="V17" s="45">
        <v>18</v>
      </c>
      <c r="W17" s="45">
        <v>18</v>
      </c>
      <c r="X17" s="45">
        <v>18.600000000000001</v>
      </c>
      <c r="Y17" s="45">
        <v>18.600000000000001</v>
      </c>
      <c r="Z17" s="45">
        <v>18.600000000000001</v>
      </c>
      <c r="AA17" s="45">
        <v>20</v>
      </c>
      <c r="AB17" s="45">
        <v>20</v>
      </c>
      <c r="AC17" s="45">
        <v>20</v>
      </c>
      <c r="AD17" s="45">
        <v>20</v>
      </c>
      <c r="AE17" s="45">
        <v>0</v>
      </c>
      <c r="AF17" s="45">
        <v>0</v>
      </c>
      <c r="AG17" s="52">
        <v>30</v>
      </c>
      <c r="AH17" s="48">
        <f t="shared" si="2"/>
        <v>27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20.100000000000001</v>
      </c>
      <c r="C18" s="45">
        <v>20.100000000000001</v>
      </c>
      <c r="D18" s="45">
        <v>20.100000000000001</v>
      </c>
      <c r="E18" s="45">
        <v>21.1</v>
      </c>
      <c r="F18" s="45">
        <v>21.1</v>
      </c>
      <c r="G18" s="45">
        <v>21.1</v>
      </c>
      <c r="H18" s="45">
        <v>21.1</v>
      </c>
      <c r="I18" s="45">
        <v>21.1</v>
      </c>
      <c r="J18" s="45">
        <v>21.1</v>
      </c>
      <c r="K18" s="45">
        <v>21.1</v>
      </c>
      <c r="L18" s="45">
        <v>21.1</v>
      </c>
      <c r="M18" s="45">
        <v>21.1</v>
      </c>
      <c r="N18" s="45">
        <v>21.1</v>
      </c>
      <c r="O18" s="45">
        <v>21.1</v>
      </c>
      <c r="P18" s="45">
        <v>21.1</v>
      </c>
      <c r="Q18" s="45">
        <v>21.1</v>
      </c>
      <c r="R18" s="45">
        <v>22.1</v>
      </c>
      <c r="S18" s="45">
        <v>22.1</v>
      </c>
      <c r="T18" s="45">
        <v>22.1</v>
      </c>
      <c r="U18" s="45">
        <v>22.1</v>
      </c>
      <c r="V18" s="45">
        <v>20.3</v>
      </c>
      <c r="W18" s="45">
        <v>20.3</v>
      </c>
      <c r="X18" s="45">
        <v>20.3</v>
      </c>
      <c r="Y18" s="45">
        <v>20.3</v>
      </c>
      <c r="Z18" s="45">
        <v>20.3</v>
      </c>
      <c r="AA18" s="45">
        <v>20.3</v>
      </c>
      <c r="AB18" s="45">
        <v>20.3</v>
      </c>
      <c r="AC18" s="45">
        <v>20.3</v>
      </c>
      <c r="AD18" s="45">
        <v>20.3</v>
      </c>
      <c r="AE18" s="45">
        <v>20.3</v>
      </c>
      <c r="AF18" s="45">
        <v>20.3</v>
      </c>
      <c r="AG18" s="51">
        <v>25</v>
      </c>
      <c r="AH18" s="48">
        <f t="shared" si="2"/>
        <v>22.1</v>
      </c>
      <c r="AI18" s="49">
        <f t="shared" si="3"/>
        <v>20.100000000000001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21</v>
      </c>
      <c r="C19" s="45">
        <v>21</v>
      </c>
      <c r="D19" s="45">
        <v>21</v>
      </c>
      <c r="E19" s="45">
        <v>21</v>
      </c>
      <c r="F19" s="45">
        <v>21</v>
      </c>
      <c r="G19" s="45">
        <v>21</v>
      </c>
      <c r="H19" s="45">
        <v>21</v>
      </c>
      <c r="I19" s="45">
        <v>21</v>
      </c>
      <c r="J19" s="45">
        <v>21</v>
      </c>
      <c r="K19" s="45">
        <v>21</v>
      </c>
      <c r="L19" s="45">
        <v>13</v>
      </c>
      <c r="M19" s="45">
        <v>0</v>
      </c>
      <c r="N19" s="45">
        <v>0</v>
      </c>
      <c r="O19" s="45">
        <v>18</v>
      </c>
      <c r="P19" s="45">
        <v>18</v>
      </c>
      <c r="Q19" s="45">
        <v>18</v>
      </c>
      <c r="R19" s="45">
        <v>18</v>
      </c>
      <c r="S19" s="45">
        <v>18</v>
      </c>
      <c r="T19" s="45">
        <v>18</v>
      </c>
      <c r="U19" s="45">
        <v>0</v>
      </c>
      <c r="V19" s="45">
        <v>18</v>
      </c>
      <c r="W19" s="45">
        <v>18</v>
      </c>
      <c r="X19" s="45">
        <v>18</v>
      </c>
      <c r="Y19" s="45">
        <v>18</v>
      </c>
      <c r="Z19" s="45">
        <v>18</v>
      </c>
      <c r="AA19" s="45">
        <v>18</v>
      </c>
      <c r="AB19" s="45">
        <v>18</v>
      </c>
      <c r="AC19" s="45">
        <v>18</v>
      </c>
      <c r="AD19" s="45">
        <v>18</v>
      </c>
      <c r="AE19" s="45">
        <v>18</v>
      </c>
      <c r="AF19" s="45">
        <v>18</v>
      </c>
      <c r="AG19" s="51">
        <v>25</v>
      </c>
      <c r="AH19" s="48">
        <f t="shared" si="2"/>
        <v>21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18</v>
      </c>
      <c r="C20" s="45">
        <v>18</v>
      </c>
      <c r="D20" s="45">
        <v>18</v>
      </c>
      <c r="E20" s="45">
        <v>18</v>
      </c>
      <c r="F20" s="45">
        <v>18</v>
      </c>
      <c r="G20" s="45">
        <v>18</v>
      </c>
      <c r="H20" s="45">
        <v>18</v>
      </c>
      <c r="I20" s="45">
        <v>18</v>
      </c>
      <c r="J20" s="45">
        <v>18</v>
      </c>
      <c r="K20" s="45">
        <v>18</v>
      </c>
      <c r="L20" s="45">
        <v>18</v>
      </c>
      <c r="M20" s="45">
        <v>18</v>
      </c>
      <c r="N20" s="45">
        <v>18</v>
      </c>
      <c r="O20" s="45">
        <v>18</v>
      </c>
      <c r="P20" s="45">
        <v>18</v>
      </c>
      <c r="Q20" s="45">
        <v>18</v>
      </c>
      <c r="R20" s="45">
        <v>18</v>
      </c>
      <c r="S20" s="45">
        <v>18</v>
      </c>
      <c r="T20" s="45">
        <v>18</v>
      </c>
      <c r="U20" s="45">
        <v>18</v>
      </c>
      <c r="V20" s="45">
        <v>18</v>
      </c>
      <c r="W20" s="45">
        <v>18</v>
      </c>
      <c r="X20" s="45">
        <v>18</v>
      </c>
      <c r="Y20" s="45">
        <v>18</v>
      </c>
      <c r="Z20" s="45">
        <v>18</v>
      </c>
      <c r="AA20" s="45">
        <v>18</v>
      </c>
      <c r="AB20" s="45">
        <v>18</v>
      </c>
      <c r="AC20" s="45">
        <v>18</v>
      </c>
      <c r="AD20" s="45">
        <v>18</v>
      </c>
      <c r="AE20" s="45">
        <v>18</v>
      </c>
      <c r="AF20" s="45">
        <v>18</v>
      </c>
      <c r="AG20" s="51">
        <v>25</v>
      </c>
      <c r="AH20" s="48">
        <f t="shared" si="2"/>
        <v>18</v>
      </c>
      <c r="AI20" s="49">
        <f t="shared" si="3"/>
        <v>18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16.100000000000001</v>
      </c>
      <c r="C21" s="45">
        <v>16.100000000000001</v>
      </c>
      <c r="D21" s="45">
        <v>16.100000000000001</v>
      </c>
      <c r="E21" s="45">
        <v>16.100000000000001</v>
      </c>
      <c r="F21" s="45">
        <v>16.100000000000001</v>
      </c>
      <c r="G21" s="45">
        <v>16.100000000000001</v>
      </c>
      <c r="H21" s="45">
        <v>16.100000000000001</v>
      </c>
      <c r="I21" s="45">
        <v>16.100000000000001</v>
      </c>
      <c r="J21" s="45">
        <v>16.100000000000001</v>
      </c>
      <c r="K21" s="45">
        <v>16.100000000000001</v>
      </c>
      <c r="L21" s="45">
        <v>16.100000000000001</v>
      </c>
      <c r="M21" s="45">
        <v>16.100000000000001</v>
      </c>
      <c r="N21" s="45">
        <v>16.100000000000001</v>
      </c>
      <c r="O21" s="45">
        <v>16.100000000000001</v>
      </c>
      <c r="P21" s="45">
        <v>0</v>
      </c>
      <c r="Q21" s="45">
        <v>18.2</v>
      </c>
      <c r="R21" s="45">
        <v>17.600000000000001</v>
      </c>
      <c r="S21" s="45">
        <v>17.600000000000001</v>
      </c>
      <c r="T21" s="45">
        <v>17.600000000000001</v>
      </c>
      <c r="U21" s="45">
        <v>17.600000000000001</v>
      </c>
      <c r="V21" s="45">
        <v>17.600000000000001</v>
      </c>
      <c r="W21" s="45">
        <v>17.600000000000001</v>
      </c>
      <c r="X21" s="45">
        <v>17.600000000000001</v>
      </c>
      <c r="Y21" s="45">
        <v>17.600000000000001</v>
      </c>
      <c r="Z21" s="45">
        <v>17.600000000000001</v>
      </c>
      <c r="AA21" s="45">
        <v>17.600000000000001</v>
      </c>
      <c r="AB21" s="45">
        <v>17.600000000000001</v>
      </c>
      <c r="AC21" s="45">
        <v>17.600000000000001</v>
      </c>
      <c r="AD21" s="45">
        <v>17.600000000000001</v>
      </c>
      <c r="AE21" s="45">
        <v>17.600000000000001</v>
      </c>
      <c r="AF21" s="45">
        <v>17.600000000000001</v>
      </c>
      <c r="AG21" s="51">
        <v>23.5</v>
      </c>
      <c r="AH21" s="48">
        <f t="shared" si="2"/>
        <v>18.2</v>
      </c>
      <c r="AI21" s="49">
        <f t="shared" si="3"/>
        <v>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51">
        <v>22.2</v>
      </c>
      <c r="AH22" s="48">
        <f t="shared" si="2"/>
        <v>0</v>
      </c>
      <c r="AI22" s="49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18</v>
      </c>
      <c r="C23" s="45">
        <v>18</v>
      </c>
      <c r="D23" s="45">
        <v>18</v>
      </c>
      <c r="E23" s="45">
        <v>18</v>
      </c>
      <c r="F23" s="45">
        <v>18</v>
      </c>
      <c r="G23" s="45">
        <v>18</v>
      </c>
      <c r="H23" s="45">
        <v>18</v>
      </c>
      <c r="I23" s="45">
        <v>18</v>
      </c>
      <c r="J23" s="45">
        <v>18</v>
      </c>
      <c r="K23" s="45">
        <v>18</v>
      </c>
      <c r="L23" s="45">
        <v>18</v>
      </c>
      <c r="M23" s="45">
        <v>18</v>
      </c>
      <c r="N23" s="45">
        <v>18</v>
      </c>
      <c r="O23" s="45">
        <v>18</v>
      </c>
      <c r="P23" s="45">
        <v>18</v>
      </c>
      <c r="Q23" s="45">
        <v>18</v>
      </c>
      <c r="R23" s="45">
        <v>18</v>
      </c>
      <c r="S23" s="45">
        <v>18</v>
      </c>
      <c r="T23" s="45">
        <v>18</v>
      </c>
      <c r="U23" s="45">
        <v>0</v>
      </c>
      <c r="V23" s="45">
        <v>18</v>
      </c>
      <c r="W23" s="45">
        <v>18</v>
      </c>
      <c r="X23" s="45">
        <v>18</v>
      </c>
      <c r="Y23" s="45">
        <v>18</v>
      </c>
      <c r="Z23" s="45">
        <v>18</v>
      </c>
      <c r="AA23" s="45">
        <v>18</v>
      </c>
      <c r="AB23" s="45">
        <v>18</v>
      </c>
      <c r="AC23" s="45">
        <v>18</v>
      </c>
      <c r="AD23" s="45">
        <v>18</v>
      </c>
      <c r="AE23" s="45">
        <v>18</v>
      </c>
      <c r="AF23" s="45">
        <v>18</v>
      </c>
      <c r="AG23" s="51">
        <v>22.1</v>
      </c>
      <c r="AH23" s="48">
        <f t="shared" si="2"/>
        <v>18</v>
      </c>
      <c r="AI23" s="49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14</v>
      </c>
      <c r="C24" s="45">
        <v>14</v>
      </c>
      <c r="D24" s="45">
        <v>14</v>
      </c>
      <c r="E24" s="45">
        <v>14</v>
      </c>
      <c r="F24" s="45">
        <v>14</v>
      </c>
      <c r="G24" s="45">
        <v>14</v>
      </c>
      <c r="H24" s="45">
        <v>14</v>
      </c>
      <c r="I24" s="45">
        <v>14</v>
      </c>
      <c r="J24" s="45">
        <v>14</v>
      </c>
      <c r="K24" s="45">
        <v>14</v>
      </c>
      <c r="L24" s="45">
        <v>14</v>
      </c>
      <c r="M24" s="45">
        <v>14</v>
      </c>
      <c r="N24" s="45">
        <v>14</v>
      </c>
      <c r="O24" s="45">
        <v>14</v>
      </c>
      <c r="P24" s="45">
        <v>14</v>
      </c>
      <c r="Q24" s="45">
        <v>14</v>
      </c>
      <c r="R24" s="45">
        <v>14</v>
      </c>
      <c r="S24" s="45">
        <v>14</v>
      </c>
      <c r="T24" s="45">
        <v>14</v>
      </c>
      <c r="U24" s="45">
        <v>0</v>
      </c>
      <c r="V24" s="45">
        <v>14</v>
      </c>
      <c r="W24" s="45">
        <v>14</v>
      </c>
      <c r="X24" s="45">
        <v>14</v>
      </c>
      <c r="Y24" s="45">
        <v>14</v>
      </c>
      <c r="Z24" s="45">
        <v>14</v>
      </c>
      <c r="AA24" s="45">
        <v>14</v>
      </c>
      <c r="AB24" s="45">
        <v>14</v>
      </c>
      <c r="AC24" s="45">
        <v>14</v>
      </c>
      <c r="AD24" s="45">
        <v>14</v>
      </c>
      <c r="AE24" s="45">
        <v>14</v>
      </c>
      <c r="AF24" s="45">
        <v>14</v>
      </c>
      <c r="AG24" s="51">
        <v>22</v>
      </c>
      <c r="AH24" s="48">
        <f t="shared" si="2"/>
        <v>14</v>
      </c>
      <c r="AI24" s="49">
        <f t="shared" si="3"/>
        <v>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14</v>
      </c>
      <c r="C25" s="45">
        <v>14</v>
      </c>
      <c r="D25" s="45">
        <v>14</v>
      </c>
      <c r="E25" s="45">
        <v>14</v>
      </c>
      <c r="F25" s="45">
        <v>14</v>
      </c>
      <c r="G25" s="45">
        <v>14</v>
      </c>
      <c r="H25" s="45">
        <v>14</v>
      </c>
      <c r="I25" s="45">
        <v>14</v>
      </c>
      <c r="J25" s="45">
        <v>14</v>
      </c>
      <c r="K25" s="45">
        <v>14</v>
      </c>
      <c r="L25" s="45">
        <v>14</v>
      </c>
      <c r="M25" s="45">
        <v>11</v>
      </c>
      <c r="N25" s="45">
        <v>11</v>
      </c>
      <c r="O25" s="45">
        <v>10</v>
      </c>
      <c r="P25" s="45">
        <v>10</v>
      </c>
      <c r="Q25" s="45">
        <v>10</v>
      </c>
      <c r="R25" s="45">
        <v>10</v>
      </c>
      <c r="S25" s="45">
        <v>10</v>
      </c>
      <c r="T25" s="45">
        <v>10</v>
      </c>
      <c r="U25" s="45">
        <v>10</v>
      </c>
      <c r="V25" s="45">
        <v>10</v>
      </c>
      <c r="W25" s="45">
        <v>10</v>
      </c>
      <c r="X25" s="45">
        <v>10</v>
      </c>
      <c r="Y25" s="45">
        <v>10</v>
      </c>
      <c r="Z25" s="45">
        <v>10</v>
      </c>
      <c r="AA25" s="45">
        <v>10</v>
      </c>
      <c r="AB25" s="45">
        <v>10</v>
      </c>
      <c r="AC25" s="45">
        <v>10</v>
      </c>
      <c r="AD25" s="45">
        <v>10</v>
      </c>
      <c r="AE25" s="45">
        <v>10</v>
      </c>
      <c r="AF25" s="45">
        <v>10</v>
      </c>
      <c r="AG25" s="51">
        <v>22</v>
      </c>
      <c r="AH25" s="48">
        <f t="shared" si="2"/>
        <v>14</v>
      </c>
      <c r="AI25" s="49">
        <f t="shared" si="3"/>
        <v>10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5</v>
      </c>
      <c r="I26" s="45">
        <v>5</v>
      </c>
      <c r="J26" s="45">
        <v>10</v>
      </c>
      <c r="K26" s="45">
        <v>10</v>
      </c>
      <c r="L26" s="45">
        <v>10</v>
      </c>
      <c r="M26" s="45">
        <v>10</v>
      </c>
      <c r="N26" s="45">
        <v>10</v>
      </c>
      <c r="O26" s="45">
        <v>5</v>
      </c>
      <c r="P26" s="45">
        <v>5</v>
      </c>
      <c r="Q26" s="45">
        <v>5</v>
      </c>
      <c r="R26" s="45">
        <v>5</v>
      </c>
      <c r="S26" s="45">
        <v>5</v>
      </c>
      <c r="T26" s="45">
        <v>5</v>
      </c>
      <c r="U26" s="45">
        <v>5</v>
      </c>
      <c r="V26" s="45">
        <v>5</v>
      </c>
      <c r="W26" s="45">
        <v>5</v>
      </c>
      <c r="X26" s="45">
        <v>5</v>
      </c>
      <c r="Y26" s="45">
        <v>5</v>
      </c>
      <c r="Z26" s="45">
        <v>5</v>
      </c>
      <c r="AA26" s="45">
        <v>5</v>
      </c>
      <c r="AB26" s="45">
        <v>5</v>
      </c>
      <c r="AC26" s="45">
        <v>5</v>
      </c>
      <c r="AD26" s="45">
        <v>5</v>
      </c>
      <c r="AE26" s="45">
        <v>0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11</v>
      </c>
      <c r="C27" s="45">
        <v>11</v>
      </c>
      <c r="D27" s="45">
        <v>11</v>
      </c>
      <c r="E27" s="45">
        <v>11</v>
      </c>
      <c r="F27" s="45">
        <v>11</v>
      </c>
      <c r="G27" s="45">
        <v>11</v>
      </c>
      <c r="H27" s="45">
        <v>11</v>
      </c>
      <c r="I27" s="45">
        <v>11</v>
      </c>
      <c r="J27" s="45">
        <v>11</v>
      </c>
      <c r="K27" s="45">
        <v>11</v>
      </c>
      <c r="L27" s="45">
        <v>11</v>
      </c>
      <c r="M27" s="45">
        <v>11</v>
      </c>
      <c r="N27" s="45">
        <v>11</v>
      </c>
      <c r="O27" s="45">
        <v>11</v>
      </c>
      <c r="P27" s="45">
        <v>11</v>
      </c>
      <c r="Q27" s="45">
        <v>11</v>
      </c>
      <c r="R27" s="45">
        <v>11</v>
      </c>
      <c r="S27" s="45">
        <v>11</v>
      </c>
      <c r="T27" s="45">
        <v>11</v>
      </c>
      <c r="U27" s="45">
        <v>0</v>
      </c>
      <c r="V27" s="45">
        <v>11</v>
      </c>
      <c r="W27" s="45">
        <v>11</v>
      </c>
      <c r="X27" s="45">
        <v>11</v>
      </c>
      <c r="Y27" s="45">
        <v>11</v>
      </c>
      <c r="Z27" s="45">
        <v>11</v>
      </c>
      <c r="AA27" s="45">
        <v>11</v>
      </c>
      <c r="AB27" s="45">
        <v>11</v>
      </c>
      <c r="AC27" s="45">
        <v>11</v>
      </c>
      <c r="AD27" s="45">
        <v>11</v>
      </c>
      <c r="AE27" s="45">
        <v>11</v>
      </c>
      <c r="AF27" s="45">
        <v>11</v>
      </c>
      <c r="AG27" s="51">
        <v>14.9</v>
      </c>
      <c r="AH27" s="48">
        <f t="shared" si="2"/>
        <v>11</v>
      </c>
      <c r="AI27" s="49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0</v>
      </c>
      <c r="C28" s="45">
        <v>3.5</v>
      </c>
      <c r="D28" s="45">
        <v>3.5</v>
      </c>
      <c r="E28" s="45">
        <v>3.5</v>
      </c>
      <c r="F28" s="45">
        <v>3.5</v>
      </c>
      <c r="G28" s="45">
        <v>3.5</v>
      </c>
      <c r="H28" s="45">
        <v>3.5</v>
      </c>
      <c r="I28" s="45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>
        <v>3.5</v>
      </c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45">
        <v>3.5</v>
      </c>
      <c r="Y28" s="45">
        <v>3.5</v>
      </c>
      <c r="Z28" s="45">
        <v>3.5</v>
      </c>
      <c r="AA28" s="45">
        <v>3.5</v>
      </c>
      <c r="AB28" s="45">
        <v>3.5</v>
      </c>
      <c r="AC28" s="45">
        <v>3.5</v>
      </c>
      <c r="AD28" s="45">
        <v>3.5</v>
      </c>
      <c r="AE28" s="45">
        <v>3.5</v>
      </c>
      <c r="AF28" s="45">
        <v>3.5</v>
      </c>
      <c r="AG28" s="51">
        <v>13.6</v>
      </c>
      <c r="AH28" s="48">
        <f t="shared" si="2"/>
        <v>3.5</v>
      </c>
      <c r="AI28" s="49">
        <f t="shared" si="3"/>
        <v>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0</v>
      </c>
      <c r="C29" s="45">
        <v>9</v>
      </c>
      <c r="D29" s="45">
        <v>9</v>
      </c>
      <c r="E29" s="45">
        <v>9</v>
      </c>
      <c r="F29" s="45">
        <v>9</v>
      </c>
      <c r="G29" s="45">
        <v>9</v>
      </c>
      <c r="H29" s="45">
        <v>9</v>
      </c>
      <c r="I29" s="45">
        <v>9</v>
      </c>
      <c r="J29" s="45">
        <v>9</v>
      </c>
      <c r="K29" s="45">
        <v>9</v>
      </c>
      <c r="L29" s="45">
        <v>9</v>
      </c>
      <c r="M29" s="45">
        <v>9</v>
      </c>
      <c r="N29" s="45">
        <v>9</v>
      </c>
      <c r="O29" s="45">
        <v>9</v>
      </c>
      <c r="P29" s="45">
        <v>9</v>
      </c>
      <c r="Q29" s="45">
        <v>9</v>
      </c>
      <c r="R29" s="45">
        <v>9</v>
      </c>
      <c r="S29" s="45">
        <v>9</v>
      </c>
      <c r="T29" s="45">
        <v>9</v>
      </c>
      <c r="U29" s="45">
        <v>9</v>
      </c>
      <c r="V29" s="45">
        <v>9</v>
      </c>
      <c r="W29" s="45">
        <v>9</v>
      </c>
      <c r="X29" s="45">
        <v>9</v>
      </c>
      <c r="Y29" s="45">
        <v>9</v>
      </c>
      <c r="Z29" s="45">
        <v>9</v>
      </c>
      <c r="AA29" s="45">
        <v>9</v>
      </c>
      <c r="AB29" s="45">
        <v>9</v>
      </c>
      <c r="AC29" s="45">
        <v>9</v>
      </c>
      <c r="AD29" s="45">
        <v>9</v>
      </c>
      <c r="AE29" s="45">
        <v>9</v>
      </c>
      <c r="AF29" s="45">
        <v>9</v>
      </c>
      <c r="AG29" s="51">
        <v>13</v>
      </c>
      <c r="AH29" s="48">
        <f t="shared" si="2"/>
        <v>9</v>
      </c>
      <c r="AI29" s="49">
        <f t="shared" si="3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4</v>
      </c>
      <c r="K30" s="45">
        <v>10</v>
      </c>
      <c r="L30" s="45">
        <v>10</v>
      </c>
      <c r="M30" s="45">
        <v>10</v>
      </c>
      <c r="N30" s="45">
        <v>10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10</v>
      </c>
      <c r="W30" s="45">
        <v>10</v>
      </c>
      <c r="X30" s="45">
        <v>10</v>
      </c>
      <c r="Y30" s="45">
        <v>10</v>
      </c>
      <c r="Z30" s="45">
        <v>10</v>
      </c>
      <c r="AA30" s="45">
        <v>10</v>
      </c>
      <c r="AB30" s="45">
        <v>10</v>
      </c>
      <c r="AC30" s="45">
        <v>10</v>
      </c>
      <c r="AD30" s="45">
        <v>10</v>
      </c>
      <c r="AE30" s="45">
        <v>0</v>
      </c>
      <c r="AF30" s="45">
        <v>0</v>
      </c>
      <c r="AG30" s="51">
        <v>12</v>
      </c>
      <c r="AH30" s="48">
        <f t="shared" si="2"/>
        <v>10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0</v>
      </c>
      <c r="C31" s="45">
        <v>12</v>
      </c>
      <c r="D31" s="45">
        <v>12</v>
      </c>
      <c r="E31" s="45">
        <v>12</v>
      </c>
      <c r="F31" s="45">
        <v>12</v>
      </c>
      <c r="G31" s="45">
        <v>12</v>
      </c>
      <c r="H31" s="45">
        <v>12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2"/>
        <v>12</v>
      </c>
      <c r="AI31" s="49">
        <f t="shared" si="3"/>
        <v>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5</v>
      </c>
      <c r="C32" s="45">
        <v>5</v>
      </c>
      <c r="D32" s="45">
        <v>5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45">
        <v>5</v>
      </c>
      <c r="L32" s="45">
        <v>5</v>
      </c>
      <c r="M32" s="45">
        <v>5</v>
      </c>
      <c r="N32" s="45">
        <v>5</v>
      </c>
      <c r="O32" s="45">
        <v>5</v>
      </c>
      <c r="P32" s="45">
        <v>5</v>
      </c>
      <c r="Q32" s="45">
        <v>5</v>
      </c>
      <c r="R32" s="45">
        <v>5</v>
      </c>
      <c r="S32" s="45">
        <v>5</v>
      </c>
      <c r="T32" s="45">
        <v>5</v>
      </c>
      <c r="U32" s="45">
        <v>5</v>
      </c>
      <c r="V32" s="45">
        <v>5</v>
      </c>
      <c r="W32" s="45">
        <v>5</v>
      </c>
      <c r="X32" s="45">
        <v>5</v>
      </c>
      <c r="Y32" s="45">
        <v>5</v>
      </c>
      <c r="Z32" s="45">
        <v>5</v>
      </c>
      <c r="AA32" s="45">
        <v>5</v>
      </c>
      <c r="AB32" s="45">
        <v>5</v>
      </c>
      <c r="AC32" s="45">
        <v>5</v>
      </c>
      <c r="AD32" s="45">
        <v>5</v>
      </c>
      <c r="AE32" s="45">
        <v>5</v>
      </c>
      <c r="AF32" s="45">
        <v>5</v>
      </c>
      <c r="AG32" s="51">
        <v>12</v>
      </c>
      <c r="AH32" s="48">
        <f t="shared" si="2"/>
        <v>5</v>
      </c>
      <c r="AI32" s="49">
        <f t="shared" si="3"/>
        <v>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8</v>
      </c>
      <c r="C33" s="45">
        <v>8</v>
      </c>
      <c r="D33" s="45">
        <v>8</v>
      </c>
      <c r="E33" s="45">
        <v>8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0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3">
        <v>22</v>
      </c>
      <c r="AH33" s="48">
        <f t="shared" si="2"/>
        <v>8</v>
      </c>
      <c r="AI33" s="49">
        <f t="shared" si="3"/>
        <v>0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0</v>
      </c>
      <c r="C34" s="45">
        <v>8.5</v>
      </c>
      <c r="D34" s="45">
        <v>8.5</v>
      </c>
      <c r="E34" s="45">
        <v>8.5</v>
      </c>
      <c r="F34" s="45">
        <v>8.5</v>
      </c>
      <c r="G34" s="45">
        <v>8.5</v>
      </c>
      <c r="H34" s="45">
        <v>8.5</v>
      </c>
      <c r="I34" s="45">
        <v>8.5</v>
      </c>
      <c r="J34" s="45">
        <v>8.5</v>
      </c>
      <c r="K34" s="45">
        <v>8.5</v>
      </c>
      <c r="L34" s="45">
        <v>8.5</v>
      </c>
      <c r="M34" s="45">
        <v>8.5</v>
      </c>
      <c r="N34" s="45">
        <v>8.5</v>
      </c>
      <c r="O34" s="45">
        <v>8.5</v>
      </c>
      <c r="P34" s="45">
        <v>8.5</v>
      </c>
      <c r="Q34" s="45">
        <v>8.5</v>
      </c>
      <c r="R34" s="45">
        <v>8.5</v>
      </c>
      <c r="S34" s="45">
        <v>8.5</v>
      </c>
      <c r="T34" s="45">
        <v>8.5</v>
      </c>
      <c r="U34" s="45">
        <v>8.5</v>
      </c>
      <c r="V34" s="45">
        <v>8.5</v>
      </c>
      <c r="W34" s="45">
        <v>8.5</v>
      </c>
      <c r="X34" s="45">
        <v>8.5</v>
      </c>
      <c r="Y34" s="45">
        <v>8.5</v>
      </c>
      <c r="Z34" s="45">
        <v>8.5</v>
      </c>
      <c r="AA34" s="45">
        <v>8.5</v>
      </c>
      <c r="AB34" s="45">
        <v>8.5</v>
      </c>
      <c r="AC34" s="45">
        <v>8.5</v>
      </c>
      <c r="AD34" s="45">
        <v>8.5</v>
      </c>
      <c r="AE34" s="45">
        <v>8.5</v>
      </c>
      <c r="AF34" s="45">
        <v>8.5</v>
      </c>
      <c r="AG34" s="52">
        <v>11.88</v>
      </c>
      <c r="AH34" s="48">
        <f t="shared" si="2"/>
        <v>8.5</v>
      </c>
      <c r="AI34" s="49">
        <f t="shared" si="3"/>
        <v>0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9</v>
      </c>
      <c r="C35" s="45">
        <v>9</v>
      </c>
      <c r="D35" s="45">
        <v>9</v>
      </c>
      <c r="E35" s="45">
        <v>9</v>
      </c>
      <c r="F35" s="45">
        <v>9</v>
      </c>
      <c r="G35" s="45">
        <v>9</v>
      </c>
      <c r="H35" s="45">
        <v>9</v>
      </c>
      <c r="I35" s="45">
        <v>9</v>
      </c>
      <c r="J35" s="45">
        <v>9</v>
      </c>
      <c r="K35" s="45">
        <v>9</v>
      </c>
      <c r="L35" s="45">
        <v>9</v>
      </c>
      <c r="M35" s="45">
        <v>8</v>
      </c>
      <c r="N35" s="45">
        <v>8</v>
      </c>
      <c r="O35" s="45">
        <v>8</v>
      </c>
      <c r="P35" s="45">
        <v>8</v>
      </c>
      <c r="Q35" s="45">
        <v>8</v>
      </c>
      <c r="R35" s="45">
        <v>8</v>
      </c>
      <c r="S35" s="45">
        <v>8</v>
      </c>
      <c r="T35" s="45">
        <v>8</v>
      </c>
      <c r="U35" s="45">
        <v>8</v>
      </c>
      <c r="V35" s="45">
        <v>8</v>
      </c>
      <c r="W35" s="45">
        <v>8</v>
      </c>
      <c r="X35" s="45">
        <v>8</v>
      </c>
      <c r="Y35" s="45">
        <v>8</v>
      </c>
      <c r="Z35" s="45">
        <v>8</v>
      </c>
      <c r="AA35" s="45">
        <v>8</v>
      </c>
      <c r="AB35" s="45">
        <v>8</v>
      </c>
      <c r="AC35" s="45">
        <v>8</v>
      </c>
      <c r="AD35" s="45">
        <v>8</v>
      </c>
      <c r="AE35" s="45">
        <v>8</v>
      </c>
      <c r="AF35" s="45">
        <v>8</v>
      </c>
      <c r="AG35" s="55">
        <v>11</v>
      </c>
      <c r="AH35" s="48">
        <f t="shared" si="2"/>
        <v>9</v>
      </c>
      <c r="AI35" s="49">
        <f t="shared" si="3"/>
        <v>8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0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5">
        <v>10</v>
      </c>
      <c r="AH36" s="48">
        <f t="shared" si="2"/>
        <v>7</v>
      </c>
      <c r="AI36" s="49">
        <f t="shared" si="3"/>
        <v>0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2</v>
      </c>
      <c r="N37" s="45">
        <v>2</v>
      </c>
      <c r="O37" s="45">
        <v>2</v>
      </c>
      <c r="P37" s="45">
        <v>2</v>
      </c>
      <c r="Q37" s="45">
        <v>2</v>
      </c>
      <c r="R37" s="45">
        <v>2</v>
      </c>
      <c r="S37" s="45">
        <v>2</v>
      </c>
      <c r="T37" s="45">
        <v>2</v>
      </c>
      <c r="U37" s="45">
        <v>2</v>
      </c>
      <c r="V37" s="45">
        <v>2</v>
      </c>
      <c r="W37" s="45">
        <v>2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2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270</v>
      </c>
      <c r="C38" s="57">
        <v>270</v>
      </c>
      <c r="D38" s="57">
        <v>270</v>
      </c>
      <c r="E38" s="57">
        <v>270</v>
      </c>
      <c r="F38" s="57">
        <v>270</v>
      </c>
      <c r="G38" s="57">
        <v>270</v>
      </c>
      <c r="H38" s="57">
        <v>270</v>
      </c>
      <c r="I38" s="57">
        <v>270</v>
      </c>
      <c r="J38" s="57">
        <v>270</v>
      </c>
      <c r="K38" s="57">
        <v>270</v>
      </c>
      <c r="L38" s="57">
        <v>270</v>
      </c>
      <c r="M38" s="57">
        <v>270</v>
      </c>
      <c r="N38" s="57">
        <v>270</v>
      </c>
      <c r="O38" s="57">
        <v>270</v>
      </c>
      <c r="P38" s="57">
        <v>270</v>
      </c>
      <c r="Q38" s="57">
        <v>270</v>
      </c>
      <c r="R38" s="57">
        <v>270</v>
      </c>
      <c r="S38" s="57">
        <v>270</v>
      </c>
      <c r="T38" s="57">
        <v>270</v>
      </c>
      <c r="U38" s="57">
        <v>270</v>
      </c>
      <c r="V38" s="57">
        <v>270</v>
      </c>
      <c r="W38" s="57">
        <v>270</v>
      </c>
      <c r="X38" s="57">
        <v>270</v>
      </c>
      <c r="Y38" s="57">
        <v>270</v>
      </c>
      <c r="Z38" s="57">
        <v>270</v>
      </c>
      <c r="AA38" s="57">
        <v>270</v>
      </c>
      <c r="AB38" s="57">
        <v>270</v>
      </c>
      <c r="AC38" s="57">
        <v>270</v>
      </c>
      <c r="AD38" s="57">
        <v>270</v>
      </c>
      <c r="AE38" s="57">
        <v>270</v>
      </c>
      <c r="AF38" s="57">
        <v>270</v>
      </c>
      <c r="AG38" s="55">
        <v>85</v>
      </c>
      <c r="AH38" s="48">
        <f t="shared" si="2"/>
        <v>270</v>
      </c>
      <c r="AI38" s="49">
        <f t="shared" si="3"/>
        <v>270</v>
      </c>
      <c r="AK38" s="50"/>
    </row>
    <row r="39" spans="1:88" ht="15.75" thickBot="1" x14ac:dyDescent="0.3">
      <c r="A39" s="58" t="s">
        <v>47</v>
      </c>
      <c r="B39" s="59">
        <f>63.1+48.7</f>
        <v>111.80000000000001</v>
      </c>
      <c r="C39" s="59">
        <f>61.7+41</f>
        <v>102.7</v>
      </c>
      <c r="D39" s="59">
        <f>64+40.7</f>
        <v>104.7</v>
      </c>
      <c r="E39" s="59">
        <f>62.4+49.5</f>
        <v>111.9</v>
      </c>
      <c r="F39" s="59">
        <f t="shared" ref="F39:L39" si="4">42+61</f>
        <v>103</v>
      </c>
      <c r="G39" s="59">
        <f t="shared" si="4"/>
        <v>103</v>
      </c>
      <c r="H39" s="59">
        <f t="shared" si="4"/>
        <v>103</v>
      </c>
      <c r="I39" s="59">
        <f t="shared" si="4"/>
        <v>103</v>
      </c>
      <c r="J39" s="59">
        <f t="shared" si="4"/>
        <v>103</v>
      </c>
      <c r="K39" s="59">
        <f t="shared" si="4"/>
        <v>103</v>
      </c>
      <c r="L39" s="59">
        <f t="shared" si="4"/>
        <v>103</v>
      </c>
      <c r="M39" s="57">
        <f>36.1+60.8</f>
        <v>96.9</v>
      </c>
      <c r="N39" s="57">
        <f>40.4+62.1</f>
        <v>102.5</v>
      </c>
      <c r="O39" s="57">
        <f>36.2+59.5</f>
        <v>95.7</v>
      </c>
      <c r="P39" s="57">
        <f>36.4+59.1</f>
        <v>95.5</v>
      </c>
      <c r="Q39" s="57">
        <f>54.7+58.2</f>
        <v>112.9</v>
      </c>
      <c r="R39" s="57">
        <f>50.2+58.1</f>
        <v>108.30000000000001</v>
      </c>
      <c r="S39" s="59">
        <f>48+56.2</f>
        <v>104.2</v>
      </c>
      <c r="T39" s="59">
        <f>48+56.2</f>
        <v>104.2</v>
      </c>
      <c r="U39" s="59">
        <v>0</v>
      </c>
      <c r="V39" s="59">
        <f>42.1+49.3</f>
        <v>91.4</v>
      </c>
      <c r="W39" s="59">
        <f>49.3+53.9</f>
        <v>103.19999999999999</v>
      </c>
      <c r="X39" s="59">
        <f>49.3+53.9</f>
        <v>103.19999999999999</v>
      </c>
      <c r="Y39" s="59">
        <f>51.8+43.6</f>
        <v>95.4</v>
      </c>
      <c r="Z39" s="59">
        <f>52.5+59.8</f>
        <v>112.3</v>
      </c>
      <c r="AA39" s="59">
        <f>51.1+59.5</f>
        <v>110.6</v>
      </c>
      <c r="AB39" s="59">
        <v>111</v>
      </c>
      <c r="AC39" s="59">
        <v>112.3</v>
      </c>
      <c r="AD39" s="59">
        <v>115</v>
      </c>
      <c r="AE39" s="59">
        <v>109</v>
      </c>
      <c r="AF39" s="59">
        <v>110</v>
      </c>
      <c r="AG39" s="55">
        <v>240</v>
      </c>
      <c r="AH39" s="48">
        <f t="shared" si="2"/>
        <v>115</v>
      </c>
      <c r="AI39" s="49">
        <f t="shared" si="3"/>
        <v>0</v>
      </c>
      <c r="AK39" s="50"/>
    </row>
    <row r="40" spans="1:88" ht="15.75" thickBot="1" x14ac:dyDescent="0.3">
      <c r="A40" s="60" t="s">
        <v>48</v>
      </c>
      <c r="B40" s="61">
        <f t="shared" ref="B40" si="5">SUM(B11:B38)</f>
        <v>535.70000000000005</v>
      </c>
      <c r="C40" s="61">
        <f t="shared" ref="C40:AG40" si="6">SUM(C11:C38)</f>
        <v>628.5</v>
      </c>
      <c r="D40" s="61">
        <f t="shared" si="6"/>
        <v>628.6</v>
      </c>
      <c r="E40" s="61">
        <f t="shared" si="6"/>
        <v>629.6</v>
      </c>
      <c r="F40" s="61">
        <f t="shared" si="6"/>
        <v>629.6</v>
      </c>
      <c r="G40" s="61">
        <f t="shared" si="6"/>
        <v>632.5</v>
      </c>
      <c r="H40" s="61">
        <f t="shared" si="6"/>
        <v>635.70000000000005</v>
      </c>
      <c r="I40" s="61">
        <f t="shared" si="6"/>
        <v>641.70000000000005</v>
      </c>
      <c r="J40" s="61">
        <f t="shared" si="6"/>
        <v>689.7</v>
      </c>
      <c r="K40" s="61">
        <f t="shared" si="6"/>
        <v>707.7</v>
      </c>
      <c r="L40" s="61">
        <f t="shared" si="6"/>
        <v>699.7</v>
      </c>
      <c r="M40" s="61">
        <f t="shared" si="6"/>
        <v>673.6</v>
      </c>
      <c r="N40" s="61">
        <f t="shared" si="6"/>
        <v>673.6</v>
      </c>
      <c r="O40" s="61">
        <f t="shared" si="6"/>
        <v>643.70000000000005</v>
      </c>
      <c r="P40" s="61">
        <f t="shared" si="6"/>
        <v>627.6</v>
      </c>
      <c r="Q40" s="61">
        <f t="shared" si="6"/>
        <v>648.70000000000005</v>
      </c>
      <c r="R40" s="61">
        <f t="shared" si="6"/>
        <v>648.4</v>
      </c>
      <c r="S40" s="61">
        <f t="shared" si="6"/>
        <v>647.4</v>
      </c>
      <c r="T40" s="61">
        <f t="shared" si="6"/>
        <v>647.4</v>
      </c>
      <c r="U40" s="61">
        <f t="shared" si="6"/>
        <v>578.4</v>
      </c>
      <c r="V40" s="61">
        <f t="shared" si="6"/>
        <v>678.40000000000009</v>
      </c>
      <c r="W40" s="61">
        <f t="shared" si="6"/>
        <v>680.5</v>
      </c>
      <c r="X40" s="61">
        <f t="shared" si="6"/>
        <v>680.5</v>
      </c>
      <c r="Y40" s="61">
        <f t="shared" si="6"/>
        <v>680.5</v>
      </c>
      <c r="Z40" s="61">
        <f t="shared" si="6"/>
        <v>680.5</v>
      </c>
      <c r="AA40" s="61">
        <f t="shared" si="6"/>
        <v>683.40000000000009</v>
      </c>
      <c r="AB40" s="61">
        <f t="shared" si="6"/>
        <v>683.40000000000009</v>
      </c>
      <c r="AC40" s="61">
        <f t="shared" si="6"/>
        <v>683.40000000000009</v>
      </c>
      <c r="AD40" s="61">
        <f t="shared" si="6"/>
        <v>683.40000000000009</v>
      </c>
      <c r="AE40" s="61">
        <f t="shared" si="6"/>
        <v>625.29999999999995</v>
      </c>
      <c r="AF40" s="61">
        <f t="shared" si="6"/>
        <v>624.29999999999995</v>
      </c>
      <c r="AG40" s="62">
        <f t="shared" si="6"/>
        <v>707.78000000000009</v>
      </c>
      <c r="AH40" s="48">
        <f t="shared" si="2"/>
        <v>707.7</v>
      </c>
      <c r="AI40" s="49">
        <f t="shared" si="3"/>
        <v>535.70000000000005</v>
      </c>
      <c r="AK40" s="50"/>
    </row>
    <row r="41" spans="1:88" x14ac:dyDescent="0.25">
      <c r="A41" s="63" t="s">
        <v>49</v>
      </c>
      <c r="B41" s="45">
        <v>135</v>
      </c>
      <c r="C41" s="45">
        <v>145</v>
      </c>
      <c r="D41" s="45">
        <v>100</v>
      </c>
      <c r="E41" s="45">
        <v>100</v>
      </c>
      <c r="F41" s="45">
        <v>110</v>
      </c>
      <c r="G41" s="45">
        <v>150</v>
      </c>
      <c r="H41" s="45">
        <v>170</v>
      </c>
      <c r="I41" s="45">
        <v>190</v>
      </c>
      <c r="J41" s="45">
        <v>240</v>
      </c>
      <c r="K41" s="45">
        <v>380</v>
      </c>
      <c r="L41" s="45">
        <v>380</v>
      </c>
      <c r="M41" s="45">
        <v>430</v>
      </c>
      <c r="N41" s="45">
        <v>350</v>
      </c>
      <c r="O41" s="45">
        <v>220</v>
      </c>
      <c r="P41" s="45">
        <v>250</v>
      </c>
      <c r="Q41" s="45">
        <v>150</v>
      </c>
      <c r="R41" s="45">
        <v>120</v>
      </c>
      <c r="S41" s="45">
        <v>110</v>
      </c>
      <c r="T41" s="45">
        <v>110</v>
      </c>
      <c r="U41" s="45">
        <v>110</v>
      </c>
      <c r="V41" s="45">
        <v>260</v>
      </c>
      <c r="W41" s="45">
        <v>380</v>
      </c>
      <c r="X41" s="45">
        <v>456</v>
      </c>
      <c r="Y41" s="45">
        <v>360</v>
      </c>
      <c r="Z41" s="45">
        <v>280</v>
      </c>
      <c r="AA41" s="45">
        <v>270</v>
      </c>
      <c r="AB41" s="45">
        <v>270</v>
      </c>
      <c r="AC41" s="45">
        <v>180</v>
      </c>
      <c r="AD41" s="45">
        <v>160</v>
      </c>
      <c r="AE41" s="45">
        <v>130</v>
      </c>
      <c r="AF41" s="45">
        <v>180</v>
      </c>
      <c r="AG41" s="52">
        <v>456</v>
      </c>
      <c r="AH41" s="48">
        <f t="shared" si="2"/>
        <v>456</v>
      </c>
      <c r="AI41" s="49">
        <f t="shared" si="3"/>
        <v>100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22</v>
      </c>
      <c r="C43" s="67">
        <v>22</v>
      </c>
      <c r="D43" s="67">
        <v>22</v>
      </c>
      <c r="E43" s="67">
        <v>22</v>
      </c>
      <c r="F43" s="67">
        <v>22</v>
      </c>
      <c r="G43" s="67">
        <v>22</v>
      </c>
      <c r="H43" s="67">
        <v>22</v>
      </c>
      <c r="I43" s="67">
        <v>22.5</v>
      </c>
      <c r="J43" s="67">
        <v>22</v>
      </c>
      <c r="K43" s="67">
        <v>22</v>
      </c>
      <c r="L43" s="67">
        <v>22</v>
      </c>
      <c r="M43" s="67">
        <v>22</v>
      </c>
      <c r="N43" s="67">
        <v>22</v>
      </c>
      <c r="O43" s="67">
        <v>22</v>
      </c>
      <c r="P43" s="67">
        <v>22</v>
      </c>
      <c r="Q43" s="67">
        <v>22</v>
      </c>
      <c r="R43" s="67">
        <v>22</v>
      </c>
      <c r="S43" s="67">
        <v>22</v>
      </c>
      <c r="T43" s="67">
        <v>22</v>
      </c>
      <c r="U43" s="67">
        <v>22</v>
      </c>
      <c r="V43" s="67">
        <v>22</v>
      </c>
      <c r="W43" s="67">
        <v>22</v>
      </c>
      <c r="X43" s="67">
        <v>22.1</v>
      </c>
      <c r="Y43" s="67">
        <v>22.1</v>
      </c>
      <c r="Z43" s="67">
        <v>22.1</v>
      </c>
      <c r="AA43" s="67">
        <v>22.1</v>
      </c>
      <c r="AB43" s="67">
        <v>22.1</v>
      </c>
      <c r="AC43" s="67">
        <v>22.1</v>
      </c>
      <c r="AD43" s="67">
        <v>22</v>
      </c>
      <c r="AE43" s="67">
        <v>22.2</v>
      </c>
      <c r="AF43" s="67">
        <v>22.2</v>
      </c>
      <c r="AG43" s="68">
        <v>22.1</v>
      </c>
      <c r="AH43" s="48">
        <f t="shared" si="2"/>
        <v>22.5</v>
      </c>
      <c r="AI43" s="49">
        <f t="shared" si="3"/>
        <v>22</v>
      </c>
      <c r="AK43" s="50"/>
    </row>
    <row r="44" spans="1:88" ht="15.75" thickBot="1" x14ac:dyDescent="0.3">
      <c r="A44" s="69" t="s">
        <v>52</v>
      </c>
      <c r="B44" s="61">
        <f t="shared" ref="B44" si="7">SUM(B41:B43)</f>
        <v>217</v>
      </c>
      <c r="C44" s="61">
        <f t="shared" ref="C44:AG44" si="8">SUM(C41:C43)</f>
        <v>227</v>
      </c>
      <c r="D44" s="61">
        <f t="shared" si="8"/>
        <v>182</v>
      </c>
      <c r="E44" s="61">
        <f t="shared" si="8"/>
        <v>182</v>
      </c>
      <c r="F44" s="61">
        <f t="shared" si="8"/>
        <v>192</v>
      </c>
      <c r="G44" s="61">
        <f t="shared" si="8"/>
        <v>232</v>
      </c>
      <c r="H44" s="61">
        <f t="shared" si="8"/>
        <v>252</v>
      </c>
      <c r="I44" s="61">
        <f t="shared" si="8"/>
        <v>272.5</v>
      </c>
      <c r="J44" s="61">
        <f t="shared" si="8"/>
        <v>322</v>
      </c>
      <c r="K44" s="61">
        <f t="shared" si="8"/>
        <v>462</v>
      </c>
      <c r="L44" s="61">
        <f t="shared" si="8"/>
        <v>462</v>
      </c>
      <c r="M44" s="61">
        <f t="shared" si="8"/>
        <v>512</v>
      </c>
      <c r="N44" s="61">
        <f t="shared" si="8"/>
        <v>432</v>
      </c>
      <c r="O44" s="61">
        <f t="shared" si="8"/>
        <v>302</v>
      </c>
      <c r="P44" s="61">
        <f t="shared" si="8"/>
        <v>332</v>
      </c>
      <c r="Q44" s="61">
        <f t="shared" si="8"/>
        <v>232</v>
      </c>
      <c r="R44" s="61">
        <f t="shared" si="8"/>
        <v>202</v>
      </c>
      <c r="S44" s="61">
        <f t="shared" si="8"/>
        <v>192</v>
      </c>
      <c r="T44" s="61">
        <f t="shared" si="8"/>
        <v>192</v>
      </c>
      <c r="U44" s="61">
        <f t="shared" si="8"/>
        <v>192</v>
      </c>
      <c r="V44" s="61">
        <f t="shared" si="8"/>
        <v>342</v>
      </c>
      <c r="W44" s="61">
        <f t="shared" si="8"/>
        <v>462</v>
      </c>
      <c r="X44" s="61">
        <f t="shared" si="8"/>
        <v>538.1</v>
      </c>
      <c r="Y44" s="61">
        <f t="shared" si="8"/>
        <v>442.1</v>
      </c>
      <c r="Z44" s="61">
        <f t="shared" si="8"/>
        <v>362.1</v>
      </c>
      <c r="AA44" s="61">
        <f t="shared" si="8"/>
        <v>352.1</v>
      </c>
      <c r="AB44" s="61">
        <f t="shared" si="8"/>
        <v>352.1</v>
      </c>
      <c r="AC44" s="61">
        <f t="shared" si="8"/>
        <v>262.10000000000002</v>
      </c>
      <c r="AD44" s="61">
        <f t="shared" si="8"/>
        <v>242</v>
      </c>
      <c r="AE44" s="61">
        <f t="shared" si="8"/>
        <v>212.2</v>
      </c>
      <c r="AF44" s="61">
        <f t="shared" si="8"/>
        <v>262.2</v>
      </c>
      <c r="AG44" s="62">
        <f t="shared" si="8"/>
        <v>538.1</v>
      </c>
      <c r="AH44" s="48">
        <f t="shared" si="2"/>
        <v>538.1</v>
      </c>
      <c r="AI44" s="49">
        <f t="shared" si="3"/>
        <v>182</v>
      </c>
      <c r="AK44" s="50"/>
    </row>
    <row r="45" spans="1:88" x14ac:dyDescent="0.25">
      <c r="A45" s="44" t="s">
        <v>53</v>
      </c>
      <c r="B45" s="45">
        <v>0</v>
      </c>
      <c r="C45" s="45">
        <v>92.9</v>
      </c>
      <c r="D45" s="45">
        <v>111.8</v>
      </c>
      <c r="E45" s="45">
        <v>106.1</v>
      </c>
      <c r="F45" s="45">
        <v>106</v>
      </c>
      <c r="G45" s="45">
        <v>121</v>
      </c>
      <c r="H45" s="45">
        <v>143</v>
      </c>
      <c r="I45" s="45">
        <v>143</v>
      </c>
      <c r="J45" s="45">
        <v>143</v>
      </c>
      <c r="K45" s="45">
        <v>143</v>
      </c>
      <c r="L45" s="45">
        <v>143</v>
      </c>
      <c r="M45" s="45">
        <v>143</v>
      </c>
      <c r="N45" s="45">
        <v>143</v>
      </c>
      <c r="O45" s="45">
        <v>130.4</v>
      </c>
      <c r="P45" s="45">
        <v>140.19999999999999</v>
      </c>
      <c r="Q45" s="45">
        <v>143.6</v>
      </c>
      <c r="R45" s="45">
        <v>143.6</v>
      </c>
      <c r="S45" s="45">
        <v>140.4</v>
      </c>
      <c r="T45" s="45">
        <v>140.4</v>
      </c>
      <c r="U45" s="45">
        <v>140.4</v>
      </c>
      <c r="V45" s="45">
        <v>143.6</v>
      </c>
      <c r="W45" s="45">
        <v>143.5</v>
      </c>
      <c r="X45" s="45">
        <v>143.6</v>
      </c>
      <c r="Y45" s="45">
        <v>143.6</v>
      </c>
      <c r="Z45" s="45">
        <v>143.30000000000001</v>
      </c>
      <c r="AA45" s="45">
        <v>143.30000000000001</v>
      </c>
      <c r="AB45" s="45">
        <v>143.30000000000001</v>
      </c>
      <c r="AC45" s="45">
        <v>143.30000000000001</v>
      </c>
      <c r="AD45" s="45">
        <v>143.30000000000001</v>
      </c>
      <c r="AE45" s="45">
        <v>143.6</v>
      </c>
      <c r="AF45" s="45">
        <v>110</v>
      </c>
      <c r="AG45" s="52">
        <v>144</v>
      </c>
      <c r="AH45" s="48">
        <f t="shared" si="2"/>
        <v>143.6</v>
      </c>
      <c r="AI45" s="49">
        <f t="shared" si="3"/>
        <v>0</v>
      </c>
      <c r="AK45" s="50"/>
    </row>
    <row r="46" spans="1:88" x14ac:dyDescent="0.25">
      <c r="A46" s="54" t="s">
        <v>54</v>
      </c>
      <c r="B46" s="65">
        <v>0</v>
      </c>
      <c r="C46" s="65">
        <v>35.799999999999997</v>
      </c>
      <c r="D46" s="65">
        <v>50.1</v>
      </c>
      <c r="E46" s="65">
        <v>51.9</v>
      </c>
      <c r="F46" s="65">
        <v>65</v>
      </c>
      <c r="G46" s="65">
        <v>72</v>
      </c>
      <c r="H46" s="65">
        <v>72</v>
      </c>
      <c r="I46" s="65">
        <v>72</v>
      </c>
      <c r="J46" s="65">
        <v>72</v>
      </c>
      <c r="K46" s="65">
        <v>72</v>
      </c>
      <c r="L46" s="65">
        <v>72</v>
      </c>
      <c r="M46" s="65">
        <v>72</v>
      </c>
      <c r="N46" s="65">
        <v>72</v>
      </c>
      <c r="O46" s="65">
        <v>71.7</v>
      </c>
      <c r="P46" s="45">
        <v>72</v>
      </c>
      <c r="Q46" s="45">
        <v>70.7</v>
      </c>
      <c r="R46" s="45">
        <v>70.7</v>
      </c>
      <c r="S46" s="45">
        <v>70.7</v>
      </c>
      <c r="T46" s="45">
        <v>70.7</v>
      </c>
      <c r="U46" s="45">
        <v>70.7</v>
      </c>
      <c r="V46" s="65">
        <v>70</v>
      </c>
      <c r="W46" s="65">
        <v>70</v>
      </c>
      <c r="X46" s="65">
        <v>69.8</v>
      </c>
      <c r="Y46" s="65">
        <v>69.8</v>
      </c>
      <c r="Z46" s="65">
        <v>72</v>
      </c>
      <c r="AA46" s="65">
        <v>72.5</v>
      </c>
      <c r="AB46" s="65">
        <v>72.5</v>
      </c>
      <c r="AC46" s="65">
        <v>72.5</v>
      </c>
      <c r="AD46" s="65">
        <v>72.5</v>
      </c>
      <c r="AE46" s="65">
        <v>60</v>
      </c>
      <c r="AF46" s="65">
        <v>61</v>
      </c>
      <c r="AG46" s="55">
        <v>70</v>
      </c>
      <c r="AH46" s="48">
        <f t="shared" si="2"/>
        <v>72.5</v>
      </c>
      <c r="AI46" s="49">
        <f t="shared" si="3"/>
        <v>0</v>
      </c>
      <c r="AK46" s="50"/>
    </row>
    <row r="47" spans="1:88" x14ac:dyDescent="0.25">
      <c r="A47" s="54" t="s">
        <v>55</v>
      </c>
      <c r="B47" s="65">
        <v>0</v>
      </c>
      <c r="C47" s="65">
        <v>23.2</v>
      </c>
      <c r="D47" s="65">
        <v>62.3</v>
      </c>
      <c r="E47" s="65">
        <v>62.9</v>
      </c>
      <c r="F47" s="65">
        <v>69</v>
      </c>
      <c r="G47" s="65">
        <v>70</v>
      </c>
      <c r="H47" s="65">
        <v>71</v>
      </c>
      <c r="I47" s="65">
        <v>71</v>
      </c>
      <c r="J47" s="65">
        <v>71</v>
      </c>
      <c r="K47" s="65">
        <v>71</v>
      </c>
      <c r="L47" s="65">
        <v>71</v>
      </c>
      <c r="M47" s="65">
        <v>71</v>
      </c>
      <c r="N47" s="65">
        <v>71</v>
      </c>
      <c r="O47" s="65">
        <v>71.5</v>
      </c>
      <c r="P47" s="45">
        <v>71.7</v>
      </c>
      <c r="Q47" s="45">
        <v>71.400000000000006</v>
      </c>
      <c r="R47" s="45">
        <v>71.5</v>
      </c>
      <c r="S47" s="45">
        <v>71.5</v>
      </c>
      <c r="T47" s="45">
        <v>71.5</v>
      </c>
      <c r="U47" s="45">
        <v>71.5</v>
      </c>
      <c r="V47" s="65">
        <v>71.2</v>
      </c>
      <c r="W47" s="65">
        <v>70.8</v>
      </c>
      <c r="X47" s="65">
        <v>70.7</v>
      </c>
      <c r="Y47" s="65">
        <v>70.7</v>
      </c>
      <c r="Z47" s="65">
        <v>70.8</v>
      </c>
      <c r="AA47" s="65">
        <v>71.099999999999994</v>
      </c>
      <c r="AB47" s="65">
        <v>71.099999999999994</v>
      </c>
      <c r="AC47" s="65">
        <v>71.099999999999994</v>
      </c>
      <c r="AD47" s="65">
        <v>71.099999999999994</v>
      </c>
      <c r="AE47" s="65">
        <v>71.099999999999994</v>
      </c>
      <c r="AF47" s="65">
        <v>60</v>
      </c>
      <c r="AG47" s="55">
        <v>69</v>
      </c>
      <c r="AH47" s="48">
        <f t="shared" si="2"/>
        <v>71.7</v>
      </c>
      <c r="AI47" s="49">
        <f t="shared" si="3"/>
        <v>0</v>
      </c>
      <c r="AK47" s="50"/>
    </row>
    <row r="48" spans="1:88" x14ac:dyDescent="0.25">
      <c r="A48" s="54" t="s">
        <v>56</v>
      </c>
      <c r="B48" s="57">
        <v>60</v>
      </c>
      <c r="C48" s="57">
        <v>60</v>
      </c>
      <c r="D48" s="57">
        <v>41.3</v>
      </c>
      <c r="E48" s="57">
        <v>41.3</v>
      </c>
      <c r="F48" s="57">
        <v>41</v>
      </c>
      <c r="G48" s="57">
        <v>41</v>
      </c>
      <c r="H48" s="57">
        <v>61</v>
      </c>
      <c r="I48" s="57">
        <v>61</v>
      </c>
      <c r="J48" s="57">
        <v>61</v>
      </c>
      <c r="K48" s="57">
        <v>61</v>
      </c>
      <c r="L48" s="57">
        <v>61</v>
      </c>
      <c r="M48" s="57">
        <v>61</v>
      </c>
      <c r="N48" s="57">
        <v>61</v>
      </c>
      <c r="O48" s="57">
        <v>61</v>
      </c>
      <c r="P48" s="45">
        <v>61.7</v>
      </c>
      <c r="Q48" s="45">
        <v>60.7</v>
      </c>
      <c r="R48" s="45">
        <v>60.7</v>
      </c>
      <c r="S48" s="45">
        <v>60.7</v>
      </c>
      <c r="T48" s="45">
        <v>60.7</v>
      </c>
      <c r="U48" s="45">
        <v>60.7</v>
      </c>
      <c r="V48" s="65">
        <v>60.7</v>
      </c>
      <c r="W48" s="65">
        <v>60.7</v>
      </c>
      <c r="X48" s="65">
        <v>60.7</v>
      </c>
      <c r="Y48" s="65">
        <v>60.7</v>
      </c>
      <c r="Z48" s="65">
        <v>60.7</v>
      </c>
      <c r="AA48" s="65">
        <v>60.7</v>
      </c>
      <c r="AB48" s="65">
        <v>60.7</v>
      </c>
      <c r="AC48" s="65">
        <v>60.7</v>
      </c>
      <c r="AD48" s="65">
        <v>60.7</v>
      </c>
      <c r="AE48" s="65">
        <v>60.7</v>
      </c>
      <c r="AF48" s="57">
        <v>60</v>
      </c>
      <c r="AG48" s="55">
        <v>60</v>
      </c>
      <c r="AH48" s="48">
        <f t="shared" si="2"/>
        <v>61.7</v>
      </c>
      <c r="AI48" s="49">
        <f t="shared" si="3"/>
        <v>41</v>
      </c>
      <c r="AK48" s="50"/>
    </row>
    <row r="49" spans="1:41" x14ac:dyDescent="0.25">
      <c r="A49" s="54" t="s">
        <v>57</v>
      </c>
      <c r="B49" s="57">
        <v>15</v>
      </c>
      <c r="C49" s="57">
        <v>0</v>
      </c>
      <c r="D49" s="57">
        <v>0</v>
      </c>
      <c r="E49" s="57">
        <v>0</v>
      </c>
      <c r="F49" s="57">
        <v>0</v>
      </c>
      <c r="G49" s="57">
        <v>13.2</v>
      </c>
      <c r="H49" s="57">
        <v>13.2</v>
      </c>
      <c r="I49" s="57">
        <v>13.2</v>
      </c>
      <c r="J49" s="57">
        <v>15</v>
      </c>
      <c r="K49" s="57">
        <v>26</v>
      </c>
      <c r="L49" s="57">
        <v>26</v>
      </c>
      <c r="M49" s="57">
        <v>30</v>
      </c>
      <c r="N49" s="57">
        <v>25</v>
      </c>
      <c r="O49" s="57">
        <v>13</v>
      </c>
      <c r="P49" s="45">
        <v>13</v>
      </c>
      <c r="Q49" s="45">
        <v>13</v>
      </c>
      <c r="R49" s="45">
        <v>0</v>
      </c>
      <c r="S49" s="45">
        <v>0</v>
      </c>
      <c r="T49" s="45">
        <v>0</v>
      </c>
      <c r="U49" s="45">
        <v>0</v>
      </c>
      <c r="V49" s="65">
        <v>14.7</v>
      </c>
      <c r="W49" s="65">
        <v>30</v>
      </c>
      <c r="X49" s="65">
        <v>30</v>
      </c>
      <c r="Y49" s="65">
        <v>30</v>
      </c>
      <c r="Z49" s="65">
        <v>26</v>
      </c>
      <c r="AA49" s="65">
        <v>26</v>
      </c>
      <c r="AB49" s="65">
        <v>26</v>
      </c>
      <c r="AC49" s="65">
        <v>26</v>
      </c>
      <c r="AD49" s="65">
        <v>15</v>
      </c>
      <c r="AE49" s="65">
        <v>0</v>
      </c>
      <c r="AF49" s="57">
        <v>0</v>
      </c>
      <c r="AG49" s="55">
        <v>30</v>
      </c>
      <c r="AH49" s="48">
        <f t="shared" si="2"/>
        <v>30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6</v>
      </c>
      <c r="N50" s="65">
        <v>10</v>
      </c>
      <c r="O50" s="65">
        <v>12</v>
      </c>
      <c r="P50" s="65">
        <v>14</v>
      </c>
      <c r="Q50" s="65">
        <v>15</v>
      </c>
      <c r="R50" s="45">
        <v>14</v>
      </c>
      <c r="S50" s="45">
        <v>14</v>
      </c>
      <c r="T50" s="45">
        <v>14</v>
      </c>
      <c r="U50" s="45">
        <v>14</v>
      </c>
      <c r="V50" s="45">
        <v>8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45">
        <v>0</v>
      </c>
      <c r="AC50" s="45">
        <v>0</v>
      </c>
      <c r="AD50" s="45">
        <v>0</v>
      </c>
      <c r="AE50" s="45">
        <v>0</v>
      </c>
      <c r="AF50" s="45">
        <v>0</v>
      </c>
      <c r="AG50" s="55">
        <v>25</v>
      </c>
      <c r="AH50" s="48">
        <f t="shared" si="2"/>
        <v>15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17.399999999999999</v>
      </c>
      <c r="C51" s="65">
        <v>17.399999999999999</v>
      </c>
      <c r="D51" s="65">
        <v>17.399999999999999</v>
      </c>
      <c r="E51" s="65">
        <v>17.399999999999999</v>
      </c>
      <c r="F51" s="65">
        <v>17.399999999999999</v>
      </c>
      <c r="G51" s="65">
        <v>17.399999999999999</v>
      </c>
      <c r="H51" s="65">
        <v>17.399999999999999</v>
      </c>
      <c r="I51" s="65">
        <v>17.399999999999999</v>
      </c>
      <c r="J51" s="65">
        <v>17.399999999999999</v>
      </c>
      <c r="K51" s="65">
        <v>17.399999999999999</v>
      </c>
      <c r="L51" s="65">
        <v>17.399999999999999</v>
      </c>
      <c r="M51" s="65">
        <v>17.399999999999999</v>
      </c>
      <c r="N51" s="65">
        <v>17.399999999999999</v>
      </c>
      <c r="O51" s="65">
        <v>17.399999999999999</v>
      </c>
      <c r="P51" s="65">
        <v>17.399999999999999</v>
      </c>
      <c r="Q51" s="65">
        <v>17.5</v>
      </c>
      <c r="R51" s="45">
        <v>17.5</v>
      </c>
      <c r="S51" s="45">
        <v>17.5</v>
      </c>
      <c r="T51" s="45">
        <v>17.5</v>
      </c>
      <c r="U51" s="45">
        <v>17.5</v>
      </c>
      <c r="V51" s="45">
        <v>17.5</v>
      </c>
      <c r="W51" s="45">
        <v>17.5</v>
      </c>
      <c r="X51" s="45">
        <v>17.5</v>
      </c>
      <c r="Y51" s="45">
        <v>17.5</v>
      </c>
      <c r="Z51" s="45">
        <v>17.5</v>
      </c>
      <c r="AA51" s="45">
        <v>17.5</v>
      </c>
      <c r="AB51" s="45">
        <v>17.5</v>
      </c>
      <c r="AC51" s="45">
        <v>17.5</v>
      </c>
      <c r="AD51" s="45">
        <v>17.5</v>
      </c>
      <c r="AE51" s="45">
        <v>17.5</v>
      </c>
      <c r="AF51" s="45">
        <v>17.5</v>
      </c>
      <c r="AG51" s="55">
        <v>24</v>
      </c>
      <c r="AH51" s="48">
        <f t="shared" si="2"/>
        <v>17.5</v>
      </c>
      <c r="AI51" s="49">
        <f t="shared" si="3"/>
        <v>17.399999999999999</v>
      </c>
      <c r="AK51" s="50"/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14.1</v>
      </c>
      <c r="C53" s="65">
        <v>14.1</v>
      </c>
      <c r="D53" s="65">
        <v>14.1</v>
      </c>
      <c r="E53" s="65">
        <v>14.1</v>
      </c>
      <c r="F53" s="65">
        <v>14.1</v>
      </c>
      <c r="G53" s="65">
        <v>14.1</v>
      </c>
      <c r="H53" s="65">
        <v>14.1</v>
      </c>
      <c r="I53" s="65">
        <v>14.1</v>
      </c>
      <c r="J53" s="65">
        <v>14.1</v>
      </c>
      <c r="K53" s="65">
        <v>14.1</v>
      </c>
      <c r="L53" s="65">
        <v>14.1</v>
      </c>
      <c r="M53" s="65">
        <v>14.1</v>
      </c>
      <c r="N53" s="65">
        <v>14.1</v>
      </c>
      <c r="O53" s="65">
        <v>14.6</v>
      </c>
      <c r="P53" s="65">
        <v>14.6</v>
      </c>
      <c r="Q53" s="65">
        <v>14.3</v>
      </c>
      <c r="R53" s="65">
        <v>14.3</v>
      </c>
      <c r="S53" s="65">
        <v>14.3</v>
      </c>
      <c r="T53" s="65">
        <v>14.3</v>
      </c>
      <c r="U53" s="65">
        <v>14.3</v>
      </c>
      <c r="V53" s="65">
        <v>14.3</v>
      </c>
      <c r="W53" s="65">
        <v>14.3</v>
      </c>
      <c r="X53" s="65">
        <v>14.3</v>
      </c>
      <c r="Y53" s="65">
        <v>14.3</v>
      </c>
      <c r="Z53" s="65">
        <v>14.3</v>
      </c>
      <c r="AA53" s="65">
        <v>14.3</v>
      </c>
      <c r="AB53" s="65">
        <v>14.3</v>
      </c>
      <c r="AC53" s="65">
        <v>14.3</v>
      </c>
      <c r="AD53" s="65">
        <v>14.3</v>
      </c>
      <c r="AE53" s="65">
        <v>14.3</v>
      </c>
      <c r="AF53" s="65">
        <v>14.3</v>
      </c>
      <c r="AG53" s="55">
        <v>14.1</v>
      </c>
      <c r="AH53" s="48">
        <f t="shared" si="2"/>
        <v>14.6</v>
      </c>
      <c r="AI53" s="49">
        <f t="shared" si="3"/>
        <v>14.1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0</v>
      </c>
      <c r="C54" s="65">
        <v>11.3</v>
      </c>
      <c r="D54" s="65">
        <v>11.3</v>
      </c>
      <c r="E54" s="65">
        <v>11.3</v>
      </c>
      <c r="F54" s="65">
        <v>11.3</v>
      </c>
      <c r="G54" s="65">
        <v>11.3</v>
      </c>
      <c r="H54" s="65">
        <v>11.3</v>
      </c>
      <c r="I54" s="65">
        <v>11.3</v>
      </c>
      <c r="J54" s="65">
        <v>11.3</v>
      </c>
      <c r="K54" s="65">
        <v>11.3</v>
      </c>
      <c r="L54" s="65">
        <v>11.3</v>
      </c>
      <c r="M54" s="65">
        <v>11.3</v>
      </c>
      <c r="N54" s="65">
        <v>11.3</v>
      </c>
      <c r="O54" s="65">
        <v>10</v>
      </c>
      <c r="P54" s="65">
        <v>10</v>
      </c>
      <c r="Q54" s="65">
        <v>9.8000000000000007</v>
      </c>
      <c r="R54" s="65">
        <v>9</v>
      </c>
      <c r="S54" s="65">
        <v>9</v>
      </c>
      <c r="T54" s="65">
        <v>9</v>
      </c>
      <c r="U54" s="65">
        <v>9</v>
      </c>
      <c r="V54" s="65">
        <v>9</v>
      </c>
      <c r="W54" s="65">
        <v>9</v>
      </c>
      <c r="X54" s="65">
        <v>9</v>
      </c>
      <c r="Y54" s="65">
        <v>9</v>
      </c>
      <c r="Z54" s="65">
        <v>9</v>
      </c>
      <c r="AA54" s="65">
        <v>9</v>
      </c>
      <c r="AB54" s="65">
        <v>9</v>
      </c>
      <c r="AC54" s="65">
        <v>9</v>
      </c>
      <c r="AD54" s="65">
        <v>9</v>
      </c>
      <c r="AE54" s="65">
        <v>9</v>
      </c>
      <c r="AF54" s="65">
        <v>9</v>
      </c>
      <c r="AG54" s="55">
        <v>14</v>
      </c>
      <c r="AH54" s="48">
        <f t="shared" si="2"/>
        <v>11.3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9</v>
      </c>
      <c r="C55" s="65">
        <v>9</v>
      </c>
      <c r="D55" s="65">
        <v>9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9</v>
      </c>
      <c r="S55" s="65">
        <v>9</v>
      </c>
      <c r="T55" s="65">
        <v>9</v>
      </c>
      <c r="U55" s="65">
        <v>9</v>
      </c>
      <c r="V55" s="65">
        <v>9</v>
      </c>
      <c r="W55" s="65">
        <v>9</v>
      </c>
      <c r="X55" s="65">
        <v>9</v>
      </c>
      <c r="Y55" s="65">
        <v>9</v>
      </c>
      <c r="Z55" s="65">
        <v>9</v>
      </c>
      <c r="AA55" s="65">
        <v>9</v>
      </c>
      <c r="AB55" s="65">
        <v>9</v>
      </c>
      <c r="AC55" s="65">
        <v>9</v>
      </c>
      <c r="AD55" s="65">
        <v>9</v>
      </c>
      <c r="AE55" s="65">
        <v>9</v>
      </c>
      <c r="AF55" s="65">
        <v>9</v>
      </c>
      <c r="AG55" s="55">
        <v>10.050000000000001</v>
      </c>
      <c r="AH55" s="48">
        <f t="shared" si="2"/>
        <v>9</v>
      </c>
      <c r="AI55" s="49">
        <f t="shared" si="3"/>
        <v>9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6.2</v>
      </c>
      <c r="Y56" s="65">
        <v>6.2</v>
      </c>
      <c r="Z56" s="65">
        <v>6.2</v>
      </c>
      <c r="AA56" s="65">
        <v>6.2</v>
      </c>
      <c r="AB56" s="65">
        <v>6.2</v>
      </c>
      <c r="AC56" s="65">
        <v>6.2</v>
      </c>
      <c r="AD56" s="65">
        <v>6.2</v>
      </c>
      <c r="AE56" s="65">
        <v>6.2</v>
      </c>
      <c r="AF56" s="65">
        <v>6.2</v>
      </c>
      <c r="AG56" s="55">
        <v>6.2</v>
      </c>
      <c r="AH56" s="48">
        <f t="shared" si="2"/>
        <v>6.2</v>
      </c>
      <c r="AI56" s="49">
        <f t="shared" si="3"/>
        <v>6.2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" si="9">SUM(B45:B57)</f>
        <v>125.24000000000001</v>
      </c>
      <c r="C58" s="61">
        <f t="shared" ref="C58:AG58" si="10">SUM(C45:C57)</f>
        <v>273.44</v>
      </c>
      <c r="D58" s="61">
        <f t="shared" si="10"/>
        <v>327.04000000000002</v>
      </c>
      <c r="E58" s="61">
        <f t="shared" si="10"/>
        <v>323.74</v>
      </c>
      <c r="F58" s="61">
        <f t="shared" si="10"/>
        <v>342.54</v>
      </c>
      <c r="G58" s="61">
        <f t="shared" si="10"/>
        <v>378.74</v>
      </c>
      <c r="H58" s="61">
        <f t="shared" si="10"/>
        <v>421.74</v>
      </c>
      <c r="I58" s="61">
        <f t="shared" si="10"/>
        <v>421.74</v>
      </c>
      <c r="J58" s="61">
        <f t="shared" si="10"/>
        <v>423.54</v>
      </c>
      <c r="K58" s="61">
        <f t="shared" si="10"/>
        <v>434.54</v>
      </c>
      <c r="L58" s="61">
        <f t="shared" si="10"/>
        <v>434.54</v>
      </c>
      <c r="M58" s="61">
        <f t="shared" si="10"/>
        <v>444.54</v>
      </c>
      <c r="N58" s="61">
        <f t="shared" si="10"/>
        <v>443.54</v>
      </c>
      <c r="O58" s="61">
        <f t="shared" si="10"/>
        <v>420.34000000000003</v>
      </c>
      <c r="P58" s="61">
        <f t="shared" si="10"/>
        <v>433.34</v>
      </c>
      <c r="Q58" s="61">
        <f t="shared" si="10"/>
        <v>434.74000000000007</v>
      </c>
      <c r="R58" s="61">
        <f t="shared" si="10"/>
        <v>420.04</v>
      </c>
      <c r="S58" s="61">
        <f t="shared" si="10"/>
        <v>416.84000000000003</v>
      </c>
      <c r="T58" s="61">
        <f t="shared" si="10"/>
        <v>416.84000000000003</v>
      </c>
      <c r="U58" s="61">
        <f t="shared" si="10"/>
        <v>416.84000000000003</v>
      </c>
      <c r="V58" s="61">
        <f t="shared" si="10"/>
        <v>427.74</v>
      </c>
      <c r="W58" s="61">
        <f t="shared" si="10"/>
        <v>434.54</v>
      </c>
      <c r="X58" s="61">
        <f t="shared" si="10"/>
        <v>434.34</v>
      </c>
      <c r="Y58" s="61">
        <f t="shared" si="10"/>
        <v>434.34</v>
      </c>
      <c r="Z58" s="61">
        <f t="shared" si="10"/>
        <v>432.34000000000003</v>
      </c>
      <c r="AA58" s="61">
        <f t="shared" si="10"/>
        <v>433.14</v>
      </c>
      <c r="AB58" s="61">
        <f t="shared" si="10"/>
        <v>433.14</v>
      </c>
      <c r="AC58" s="61">
        <f t="shared" si="10"/>
        <v>433.14</v>
      </c>
      <c r="AD58" s="61">
        <f t="shared" si="10"/>
        <v>422.14</v>
      </c>
      <c r="AE58" s="61">
        <f t="shared" si="10"/>
        <v>394.94</v>
      </c>
      <c r="AF58" s="61">
        <f t="shared" si="10"/>
        <v>350.54</v>
      </c>
      <c r="AG58" s="62">
        <f t="shared" si="10"/>
        <v>489.91</v>
      </c>
      <c r="AH58" s="48">
        <f t="shared" si="2"/>
        <v>444.54</v>
      </c>
      <c r="AI58" s="49">
        <f t="shared" si="3"/>
        <v>125.24000000000001</v>
      </c>
      <c r="AK58" s="50"/>
    </row>
    <row r="59" spans="1:41" x14ac:dyDescent="0.25">
      <c r="A59" s="44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67">
        <v>0</v>
      </c>
      <c r="AB61" s="67">
        <v>0</v>
      </c>
      <c r="AC61" s="67">
        <v>0</v>
      </c>
      <c r="AD61" s="67">
        <v>0</v>
      </c>
      <c r="AE61" s="67">
        <v>0</v>
      </c>
      <c r="AF61" s="67">
        <v>0</v>
      </c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AG62" si="11">SUM(B59:B61)</f>
        <v>0</v>
      </c>
      <c r="C62" s="61">
        <f t="shared" si="11"/>
        <v>0</v>
      </c>
      <c r="D62" s="61">
        <f t="shared" si="11"/>
        <v>0</v>
      </c>
      <c r="E62" s="61">
        <f t="shared" si="11"/>
        <v>0</v>
      </c>
      <c r="F62" s="61">
        <f t="shared" si="11"/>
        <v>0</v>
      </c>
      <c r="G62" s="61">
        <f t="shared" si="11"/>
        <v>0</v>
      </c>
      <c r="H62" s="61">
        <f t="shared" si="11"/>
        <v>0</v>
      </c>
      <c r="I62" s="61">
        <f t="shared" si="11"/>
        <v>0</v>
      </c>
      <c r="J62" s="61">
        <f t="shared" si="11"/>
        <v>0</v>
      </c>
      <c r="K62" s="61">
        <f t="shared" si="11"/>
        <v>0</v>
      </c>
      <c r="L62" s="61">
        <f t="shared" si="11"/>
        <v>0</v>
      </c>
      <c r="M62" s="61">
        <f t="shared" si="11"/>
        <v>0</v>
      </c>
      <c r="N62" s="61">
        <f t="shared" si="11"/>
        <v>0</v>
      </c>
      <c r="O62" s="61">
        <f t="shared" si="11"/>
        <v>0</v>
      </c>
      <c r="P62" s="61">
        <f t="shared" si="11"/>
        <v>0</v>
      </c>
      <c r="Q62" s="61">
        <f t="shared" si="11"/>
        <v>0</v>
      </c>
      <c r="R62" s="61">
        <f t="shared" si="11"/>
        <v>0</v>
      </c>
      <c r="S62" s="61">
        <f t="shared" si="11"/>
        <v>0</v>
      </c>
      <c r="T62" s="61">
        <f t="shared" si="11"/>
        <v>0</v>
      </c>
      <c r="U62" s="61">
        <f t="shared" si="11"/>
        <v>0</v>
      </c>
      <c r="V62" s="61">
        <f t="shared" si="11"/>
        <v>0</v>
      </c>
      <c r="W62" s="61">
        <f t="shared" si="11"/>
        <v>0</v>
      </c>
      <c r="X62" s="61">
        <f t="shared" si="11"/>
        <v>0</v>
      </c>
      <c r="Y62" s="61">
        <f t="shared" si="11"/>
        <v>0</v>
      </c>
      <c r="Z62" s="61">
        <f t="shared" si="11"/>
        <v>0</v>
      </c>
      <c r="AA62" s="61">
        <f t="shared" si="11"/>
        <v>0</v>
      </c>
      <c r="AB62" s="61">
        <f t="shared" si="11"/>
        <v>0</v>
      </c>
      <c r="AC62" s="61">
        <f t="shared" si="11"/>
        <v>0</v>
      </c>
      <c r="AD62" s="61">
        <f t="shared" si="11"/>
        <v>0</v>
      </c>
      <c r="AE62" s="61">
        <f t="shared" si="11"/>
        <v>0</v>
      </c>
      <c r="AF62" s="61">
        <f t="shared" si="11"/>
        <v>0</v>
      </c>
      <c r="AG62" s="62">
        <f t="shared" si="11"/>
        <v>106</v>
      </c>
      <c r="AH62" s="48">
        <f t="shared" si="2"/>
        <v>0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15</v>
      </c>
      <c r="C63" s="45"/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15</v>
      </c>
      <c r="AI63" s="49">
        <f t="shared" si="3"/>
        <v>0</v>
      </c>
      <c r="AK63" s="50"/>
    </row>
    <row r="64" spans="1:41" x14ac:dyDescent="0.25">
      <c r="A64" s="54" t="s">
        <v>72</v>
      </c>
      <c r="B64" s="65"/>
      <c r="C64" s="65"/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-225</v>
      </c>
      <c r="C65" s="65">
        <v>-240</v>
      </c>
      <c r="D65" s="65">
        <v>-230</v>
      </c>
      <c r="E65" s="65">
        <v>-234</v>
      </c>
      <c r="F65" s="65">
        <v>-245</v>
      </c>
      <c r="G65" s="65">
        <v>-253</v>
      </c>
      <c r="H65" s="65">
        <v>-250</v>
      </c>
      <c r="I65" s="65">
        <v>-255</v>
      </c>
      <c r="J65" s="65">
        <v>-252</v>
      </c>
      <c r="K65" s="76">
        <v>-297</v>
      </c>
      <c r="L65" s="76">
        <v>-239</v>
      </c>
      <c r="M65" s="65">
        <v>-307.60000000000002</v>
      </c>
      <c r="N65" s="65">
        <v>-272</v>
      </c>
      <c r="O65" s="65">
        <v>-245</v>
      </c>
      <c r="P65" s="65">
        <v>-232.4</v>
      </c>
      <c r="Q65" s="65">
        <v>-204.7</v>
      </c>
      <c r="R65" s="65">
        <v>-198.3</v>
      </c>
      <c r="S65" s="65">
        <v>-169.9</v>
      </c>
      <c r="T65" s="65">
        <v>-180</v>
      </c>
      <c r="U65" s="65">
        <v>-206</v>
      </c>
      <c r="V65" s="65">
        <v>-232.8</v>
      </c>
      <c r="W65" s="65">
        <v>-186</v>
      </c>
      <c r="X65" s="65">
        <v>-214</v>
      </c>
      <c r="Y65" s="65">
        <v>-228</v>
      </c>
      <c r="Z65" s="65">
        <v>-266.5</v>
      </c>
      <c r="AA65" s="65">
        <v>-281.5</v>
      </c>
      <c r="AB65" s="65">
        <v>-296</v>
      </c>
      <c r="AC65" s="65">
        <v>-300</v>
      </c>
      <c r="AD65" s="65">
        <v>-310</v>
      </c>
      <c r="AE65" s="65">
        <v>-289</v>
      </c>
      <c r="AF65" s="65">
        <v>-301</v>
      </c>
      <c r="AG65" s="75"/>
      <c r="AH65" s="48">
        <f t="shared" si="2"/>
        <v>-169.9</v>
      </c>
      <c r="AI65" s="49">
        <f t="shared" si="3"/>
        <v>-310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/>
      <c r="C67" s="76">
        <v>0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/>
      <c r="C68" s="76">
        <v>0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/>
      <c r="C69" s="76">
        <v>0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/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/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9"/>
      <c r="C72" s="76">
        <v>0</v>
      </c>
      <c r="D72" s="76">
        <v>0</v>
      </c>
      <c r="E72" s="76">
        <v>0</v>
      </c>
      <c r="F72" s="76">
        <v>0</v>
      </c>
      <c r="G72" s="76">
        <v>0</v>
      </c>
      <c r="H72" s="76">
        <v>0</v>
      </c>
      <c r="I72" s="76">
        <v>0</v>
      </c>
      <c r="J72" s="76">
        <v>0</v>
      </c>
      <c r="K72" s="76">
        <v>0</v>
      </c>
      <c r="L72" s="76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9"/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:AF74" si="12">SUMIF(B63:B73,"&gt;0")</f>
        <v>15</v>
      </c>
      <c r="C74" s="61">
        <f t="shared" si="12"/>
        <v>0</v>
      </c>
      <c r="D74" s="61">
        <f t="shared" si="12"/>
        <v>0</v>
      </c>
      <c r="E74" s="61">
        <f t="shared" si="12"/>
        <v>0</v>
      </c>
      <c r="F74" s="61">
        <f t="shared" si="12"/>
        <v>0</v>
      </c>
      <c r="G74" s="61">
        <f t="shared" si="12"/>
        <v>0</v>
      </c>
      <c r="H74" s="61">
        <f t="shared" si="12"/>
        <v>0</v>
      </c>
      <c r="I74" s="61">
        <f t="shared" si="12"/>
        <v>0</v>
      </c>
      <c r="J74" s="61">
        <f t="shared" si="12"/>
        <v>0</v>
      </c>
      <c r="K74" s="61">
        <f t="shared" si="12"/>
        <v>0</v>
      </c>
      <c r="L74" s="61">
        <f t="shared" si="12"/>
        <v>0</v>
      </c>
      <c r="M74" s="61">
        <f t="shared" si="12"/>
        <v>0</v>
      </c>
      <c r="N74" s="61">
        <f t="shared" si="12"/>
        <v>0</v>
      </c>
      <c r="O74" s="61">
        <f t="shared" si="12"/>
        <v>0</v>
      </c>
      <c r="P74" s="61">
        <f t="shared" si="12"/>
        <v>0</v>
      </c>
      <c r="Q74" s="61">
        <f t="shared" si="12"/>
        <v>0</v>
      </c>
      <c r="R74" s="61">
        <f t="shared" si="12"/>
        <v>0</v>
      </c>
      <c r="S74" s="61">
        <f t="shared" si="12"/>
        <v>0</v>
      </c>
      <c r="T74" s="61">
        <f t="shared" si="12"/>
        <v>0</v>
      </c>
      <c r="U74" s="61">
        <f t="shared" si="12"/>
        <v>0</v>
      </c>
      <c r="V74" s="61">
        <f t="shared" si="12"/>
        <v>0</v>
      </c>
      <c r="W74" s="61">
        <f t="shared" si="12"/>
        <v>0</v>
      </c>
      <c r="X74" s="61">
        <f t="shared" si="12"/>
        <v>0</v>
      </c>
      <c r="Y74" s="61">
        <f t="shared" si="12"/>
        <v>0</v>
      </c>
      <c r="Z74" s="61">
        <f t="shared" si="12"/>
        <v>0</v>
      </c>
      <c r="AA74" s="61">
        <f t="shared" si="12"/>
        <v>0</v>
      </c>
      <c r="AB74" s="61">
        <f t="shared" si="12"/>
        <v>0</v>
      </c>
      <c r="AC74" s="61">
        <f t="shared" si="12"/>
        <v>0</v>
      </c>
      <c r="AD74" s="61">
        <f t="shared" si="12"/>
        <v>0</v>
      </c>
      <c r="AE74" s="61">
        <f t="shared" si="12"/>
        <v>0</v>
      </c>
      <c r="AF74" s="61">
        <f t="shared" si="12"/>
        <v>0</v>
      </c>
      <c r="AG74" s="81">
        <f>SUM(AG63:AG73)</f>
        <v>0</v>
      </c>
      <c r="AH74" s="48">
        <f t="shared" si="2"/>
        <v>15</v>
      </c>
      <c r="AI74" s="49">
        <f t="shared" si="3"/>
        <v>0</v>
      </c>
      <c r="AK74" s="50"/>
    </row>
    <row r="75" spans="1:37" x14ac:dyDescent="0.25">
      <c r="A75" s="44" t="s">
        <v>83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75">
        <v>14.4</v>
      </c>
      <c r="AH76" s="48">
        <f t="shared" ref="AH76:AH109" si="13">MAX(B76:AF76)</f>
        <v>0</v>
      </c>
      <c r="AI76" s="49">
        <f t="shared" ref="AI76:AI109" si="14">MIN(B76:AF76)</f>
        <v>0</v>
      </c>
      <c r="AK76" s="50"/>
    </row>
    <row r="77" spans="1:37" ht="15.75" thickBot="1" x14ac:dyDescent="0.3">
      <c r="A77" s="78" t="s">
        <v>85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>
        <v>0</v>
      </c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79">
        <v>0</v>
      </c>
      <c r="AC77" s="79">
        <v>0</v>
      </c>
      <c r="AD77" s="79">
        <v>0</v>
      </c>
      <c r="AE77" s="79">
        <v>0</v>
      </c>
      <c r="AF77" s="79">
        <v>0</v>
      </c>
      <c r="AG77" s="80">
        <v>2</v>
      </c>
      <c r="AH77" s="48">
        <f t="shared" si="13"/>
        <v>0</v>
      </c>
      <c r="AI77" s="49">
        <f t="shared" si="14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13"/>
        <v>0</v>
      </c>
      <c r="AI78" s="49">
        <f t="shared" si="14"/>
        <v>0</v>
      </c>
    </row>
    <row r="79" spans="1:37" ht="15.75" thickBot="1" x14ac:dyDescent="0.3">
      <c r="A79" s="74" t="s">
        <v>87</v>
      </c>
      <c r="B79" s="83">
        <f t="shared" ref="B79:AG79" si="15">B40+B44+B62+B58+B74+B78</f>
        <v>892.94</v>
      </c>
      <c r="C79" s="83">
        <f t="shared" si="15"/>
        <v>1128.94</v>
      </c>
      <c r="D79" s="83">
        <f t="shared" si="15"/>
        <v>1137.6400000000001</v>
      </c>
      <c r="E79" s="83">
        <f t="shared" si="15"/>
        <v>1135.3400000000001</v>
      </c>
      <c r="F79" s="83">
        <f t="shared" si="15"/>
        <v>1164.1400000000001</v>
      </c>
      <c r="G79" s="83">
        <f t="shared" si="15"/>
        <v>1243.24</v>
      </c>
      <c r="H79" s="83">
        <f t="shared" si="15"/>
        <v>1309.44</v>
      </c>
      <c r="I79" s="83">
        <f t="shared" si="15"/>
        <v>1335.94</v>
      </c>
      <c r="J79" s="83">
        <f t="shared" si="15"/>
        <v>1435.24</v>
      </c>
      <c r="K79" s="83">
        <f t="shared" si="15"/>
        <v>1604.24</v>
      </c>
      <c r="L79" s="83">
        <f t="shared" si="15"/>
        <v>1596.24</v>
      </c>
      <c r="M79" s="83">
        <f t="shared" si="15"/>
        <v>1630.1399999999999</v>
      </c>
      <c r="N79" s="83">
        <f t="shared" si="15"/>
        <v>1549.1399999999999</v>
      </c>
      <c r="O79" s="83">
        <f t="shared" si="15"/>
        <v>1366.04</v>
      </c>
      <c r="P79" s="83">
        <f t="shared" si="15"/>
        <v>1392.94</v>
      </c>
      <c r="Q79" s="83">
        <f t="shared" si="15"/>
        <v>1315.44</v>
      </c>
      <c r="R79" s="83">
        <f t="shared" si="15"/>
        <v>1270.44</v>
      </c>
      <c r="S79" s="83">
        <f t="shared" si="15"/>
        <v>1256.24</v>
      </c>
      <c r="T79" s="83">
        <f t="shared" si="15"/>
        <v>1256.24</v>
      </c>
      <c r="U79" s="83">
        <f t="shared" si="15"/>
        <v>1187.24</v>
      </c>
      <c r="V79" s="83">
        <f t="shared" si="15"/>
        <v>1448.14</v>
      </c>
      <c r="W79" s="83">
        <f t="shared" si="15"/>
        <v>1577.04</v>
      </c>
      <c r="X79" s="83">
        <f t="shared" si="15"/>
        <v>1652.9399999999998</v>
      </c>
      <c r="Y79" s="83">
        <f t="shared" si="15"/>
        <v>1556.9399999999998</v>
      </c>
      <c r="Z79" s="83">
        <f t="shared" si="15"/>
        <v>1474.94</v>
      </c>
      <c r="AA79" s="83">
        <f t="shared" si="15"/>
        <v>1468.6399999999999</v>
      </c>
      <c r="AB79" s="83">
        <f t="shared" si="15"/>
        <v>1468.6399999999999</v>
      </c>
      <c r="AC79" s="83">
        <f t="shared" si="15"/>
        <v>1378.64</v>
      </c>
      <c r="AD79" s="83">
        <f t="shared" si="15"/>
        <v>1347.54</v>
      </c>
      <c r="AE79" s="83">
        <f t="shared" si="15"/>
        <v>1232.44</v>
      </c>
      <c r="AF79" s="83">
        <f t="shared" si="15"/>
        <v>1237.04</v>
      </c>
      <c r="AG79" s="62">
        <f t="shared" si="15"/>
        <v>1897.1900000000003</v>
      </c>
      <c r="AH79" s="48">
        <f t="shared" si="13"/>
        <v>1652.9399999999998</v>
      </c>
      <c r="AI79" s="49">
        <f t="shared" si="14"/>
        <v>892.94</v>
      </c>
    </row>
    <row r="80" spans="1:37" ht="15.75" thickBot="1" x14ac:dyDescent="0.3">
      <c r="A80" s="84" t="s">
        <v>88</v>
      </c>
      <c r="B80" s="85">
        <v>50</v>
      </c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>
        <v>140</v>
      </c>
      <c r="V80" s="85"/>
      <c r="W80" s="85">
        <v>10</v>
      </c>
      <c r="X80" s="85">
        <v>10</v>
      </c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13"/>
        <v>140</v>
      </c>
      <c r="AI80" s="49">
        <f t="shared" si="14"/>
        <v>10</v>
      </c>
    </row>
    <row r="81" spans="1:37" ht="15.75" thickBot="1" x14ac:dyDescent="0.3">
      <c r="A81" s="74" t="s">
        <v>89</v>
      </c>
      <c r="B81" s="83">
        <f t="shared" ref="B81:AF81" si="16">B79+B80</f>
        <v>942.94</v>
      </c>
      <c r="C81" s="83">
        <f t="shared" si="16"/>
        <v>1128.94</v>
      </c>
      <c r="D81" s="83">
        <f t="shared" si="16"/>
        <v>1137.6400000000001</v>
      </c>
      <c r="E81" s="83">
        <f t="shared" si="16"/>
        <v>1135.3400000000001</v>
      </c>
      <c r="F81" s="83">
        <f t="shared" si="16"/>
        <v>1164.1400000000001</v>
      </c>
      <c r="G81" s="83">
        <f t="shared" si="16"/>
        <v>1243.24</v>
      </c>
      <c r="H81" s="83">
        <f t="shared" si="16"/>
        <v>1309.44</v>
      </c>
      <c r="I81" s="83">
        <f t="shared" si="16"/>
        <v>1335.94</v>
      </c>
      <c r="J81" s="83">
        <f t="shared" si="16"/>
        <v>1435.24</v>
      </c>
      <c r="K81" s="83">
        <f t="shared" si="16"/>
        <v>1604.24</v>
      </c>
      <c r="L81" s="83">
        <f t="shared" si="16"/>
        <v>1596.24</v>
      </c>
      <c r="M81" s="83">
        <f t="shared" si="16"/>
        <v>1630.1399999999999</v>
      </c>
      <c r="N81" s="83">
        <f t="shared" si="16"/>
        <v>1549.1399999999999</v>
      </c>
      <c r="O81" s="83">
        <f t="shared" si="16"/>
        <v>1366.04</v>
      </c>
      <c r="P81" s="83">
        <f t="shared" si="16"/>
        <v>1392.94</v>
      </c>
      <c r="Q81" s="83">
        <f t="shared" si="16"/>
        <v>1315.44</v>
      </c>
      <c r="R81" s="83">
        <f t="shared" si="16"/>
        <v>1270.44</v>
      </c>
      <c r="S81" s="83">
        <f t="shared" si="16"/>
        <v>1256.24</v>
      </c>
      <c r="T81" s="83">
        <f t="shared" si="16"/>
        <v>1256.24</v>
      </c>
      <c r="U81" s="83">
        <f t="shared" si="16"/>
        <v>1327.24</v>
      </c>
      <c r="V81" s="83">
        <f t="shared" si="16"/>
        <v>1448.14</v>
      </c>
      <c r="W81" s="83">
        <f t="shared" si="16"/>
        <v>1587.04</v>
      </c>
      <c r="X81" s="83">
        <f t="shared" si="16"/>
        <v>1662.9399999999998</v>
      </c>
      <c r="Y81" s="83">
        <f t="shared" si="16"/>
        <v>1556.9399999999998</v>
      </c>
      <c r="Z81" s="83">
        <f t="shared" si="16"/>
        <v>1474.94</v>
      </c>
      <c r="AA81" s="83">
        <f t="shared" si="16"/>
        <v>1468.6399999999999</v>
      </c>
      <c r="AB81" s="83">
        <f t="shared" si="16"/>
        <v>1468.6399999999999</v>
      </c>
      <c r="AC81" s="83">
        <f t="shared" si="16"/>
        <v>1378.64</v>
      </c>
      <c r="AD81" s="83">
        <f t="shared" si="16"/>
        <v>1347.54</v>
      </c>
      <c r="AE81" s="83">
        <f t="shared" si="16"/>
        <v>1232.44</v>
      </c>
      <c r="AF81" s="83">
        <f t="shared" si="16"/>
        <v>1237.04</v>
      </c>
      <c r="AG81" s="81">
        <f>AG78+AG74+AG62+AG58+AG40+AG80</f>
        <v>1359.0900000000001</v>
      </c>
      <c r="AH81" s="48">
        <f t="shared" si="13"/>
        <v>1662.9399999999998</v>
      </c>
      <c r="AI81" s="49">
        <f t="shared" si="14"/>
        <v>942.94</v>
      </c>
    </row>
    <row r="82" spans="1:37" ht="15.75" thickBot="1" x14ac:dyDescent="0.3">
      <c r="A82" s="74" t="s">
        <v>90</v>
      </c>
      <c r="B82" s="83">
        <f t="shared" ref="B82:AF82" si="17">B81-B89</f>
        <v>717.94</v>
      </c>
      <c r="C82" s="83">
        <f t="shared" si="17"/>
        <v>888.94</v>
      </c>
      <c r="D82" s="83">
        <f t="shared" si="17"/>
        <v>907.6400000000001</v>
      </c>
      <c r="E82" s="83">
        <f t="shared" si="17"/>
        <v>901.34000000000015</v>
      </c>
      <c r="F82" s="83">
        <f t="shared" si="17"/>
        <v>919.1400000000001</v>
      </c>
      <c r="G82" s="83">
        <f t="shared" si="17"/>
        <v>990.24</v>
      </c>
      <c r="H82" s="83">
        <f t="shared" si="17"/>
        <v>1059.44</v>
      </c>
      <c r="I82" s="83">
        <f t="shared" si="17"/>
        <v>1080.94</v>
      </c>
      <c r="J82" s="83">
        <f t="shared" si="17"/>
        <v>1183.24</v>
      </c>
      <c r="K82" s="83">
        <f t="shared" si="17"/>
        <v>1307.24</v>
      </c>
      <c r="L82" s="83">
        <f t="shared" si="17"/>
        <v>1357.24</v>
      </c>
      <c r="M82" s="83">
        <f t="shared" si="17"/>
        <v>1322.54</v>
      </c>
      <c r="N82" s="83">
        <f t="shared" si="17"/>
        <v>1277.1399999999999</v>
      </c>
      <c r="O82" s="83">
        <f t="shared" si="17"/>
        <v>1121.04</v>
      </c>
      <c r="P82" s="83">
        <f t="shared" si="17"/>
        <v>1160.54</v>
      </c>
      <c r="Q82" s="83">
        <f t="shared" si="17"/>
        <v>1110.74</v>
      </c>
      <c r="R82" s="83">
        <f t="shared" si="17"/>
        <v>1072.1400000000001</v>
      </c>
      <c r="S82" s="83">
        <f t="shared" si="17"/>
        <v>1086.3399999999999</v>
      </c>
      <c r="T82" s="83">
        <f t="shared" si="17"/>
        <v>1076.24</v>
      </c>
      <c r="U82" s="83">
        <f t="shared" si="17"/>
        <v>1121.24</v>
      </c>
      <c r="V82" s="83">
        <f t="shared" si="17"/>
        <v>1215.3400000000001</v>
      </c>
      <c r="W82" s="83">
        <f t="shared" si="17"/>
        <v>1401.04</v>
      </c>
      <c r="X82" s="83">
        <f t="shared" si="17"/>
        <v>1448.9399999999998</v>
      </c>
      <c r="Y82" s="83">
        <f t="shared" si="17"/>
        <v>1328.9399999999998</v>
      </c>
      <c r="Z82" s="83">
        <f t="shared" si="17"/>
        <v>1208.44</v>
      </c>
      <c r="AA82" s="83">
        <f t="shared" si="17"/>
        <v>1187.1399999999999</v>
      </c>
      <c r="AB82" s="83">
        <f t="shared" si="17"/>
        <v>1172.6399999999999</v>
      </c>
      <c r="AC82" s="83">
        <f t="shared" si="17"/>
        <v>1078.6400000000001</v>
      </c>
      <c r="AD82" s="83">
        <f t="shared" si="17"/>
        <v>1037.54</v>
      </c>
      <c r="AE82" s="83">
        <f t="shared" si="17"/>
        <v>943.44</v>
      </c>
      <c r="AF82" s="83">
        <f t="shared" si="17"/>
        <v>936.04</v>
      </c>
      <c r="AG82" s="81"/>
      <c r="AH82" s="48">
        <f t="shared" si="13"/>
        <v>1448.9399999999998</v>
      </c>
      <c r="AI82" s="49">
        <f t="shared" si="14"/>
        <v>717.94</v>
      </c>
    </row>
    <row r="83" spans="1:37" x14ac:dyDescent="0.25">
      <c r="A83" s="44" t="s">
        <v>74</v>
      </c>
      <c r="B83" s="76">
        <f t="shared" ref="B83:AF83" si="18">IF(B66&lt;0,B66*-1,0)</f>
        <v>0</v>
      </c>
      <c r="C83" s="76">
        <f t="shared" si="18"/>
        <v>0</v>
      </c>
      <c r="D83" s="76">
        <f t="shared" si="18"/>
        <v>0</v>
      </c>
      <c r="E83" s="76">
        <f t="shared" si="18"/>
        <v>0</v>
      </c>
      <c r="F83" s="76">
        <f t="shared" si="18"/>
        <v>0</v>
      </c>
      <c r="G83" s="76">
        <f t="shared" si="18"/>
        <v>0</v>
      </c>
      <c r="H83" s="76">
        <f t="shared" si="18"/>
        <v>0</v>
      </c>
      <c r="I83" s="76">
        <f t="shared" si="18"/>
        <v>0</v>
      </c>
      <c r="J83" s="76">
        <f t="shared" si="18"/>
        <v>0</v>
      </c>
      <c r="K83" s="76">
        <f t="shared" si="18"/>
        <v>0</v>
      </c>
      <c r="L83" s="76">
        <f t="shared" si="18"/>
        <v>0</v>
      </c>
      <c r="M83" s="76">
        <f t="shared" si="18"/>
        <v>0</v>
      </c>
      <c r="N83" s="76">
        <f t="shared" si="18"/>
        <v>0</v>
      </c>
      <c r="O83" s="76">
        <f t="shared" si="18"/>
        <v>0</v>
      </c>
      <c r="P83" s="76">
        <f t="shared" si="18"/>
        <v>0</v>
      </c>
      <c r="Q83" s="76">
        <f t="shared" si="18"/>
        <v>0</v>
      </c>
      <c r="R83" s="76">
        <f t="shared" si="18"/>
        <v>0</v>
      </c>
      <c r="S83" s="76">
        <f t="shared" si="18"/>
        <v>0</v>
      </c>
      <c r="T83" s="76">
        <f t="shared" si="18"/>
        <v>0</v>
      </c>
      <c r="U83" s="76">
        <f t="shared" si="18"/>
        <v>0</v>
      </c>
      <c r="V83" s="76">
        <f t="shared" si="18"/>
        <v>0</v>
      </c>
      <c r="W83" s="76">
        <f t="shared" si="18"/>
        <v>0</v>
      </c>
      <c r="X83" s="76">
        <f t="shared" si="18"/>
        <v>0</v>
      </c>
      <c r="Y83" s="76">
        <f t="shared" si="18"/>
        <v>0</v>
      </c>
      <c r="Z83" s="76">
        <f t="shared" si="18"/>
        <v>0</v>
      </c>
      <c r="AA83" s="76">
        <f t="shared" si="18"/>
        <v>0</v>
      </c>
      <c r="AB83" s="76">
        <f t="shared" si="18"/>
        <v>0</v>
      </c>
      <c r="AC83" s="76">
        <f t="shared" si="18"/>
        <v>0</v>
      </c>
      <c r="AD83" s="76">
        <f t="shared" si="18"/>
        <v>0</v>
      </c>
      <c r="AE83" s="76">
        <f t="shared" si="18"/>
        <v>0</v>
      </c>
      <c r="AF83" s="76">
        <f t="shared" si="18"/>
        <v>0</v>
      </c>
      <c r="AG83" s="52"/>
      <c r="AH83" s="48">
        <f t="shared" si="13"/>
        <v>0</v>
      </c>
      <c r="AI83" s="49">
        <f t="shared" si="14"/>
        <v>0</v>
      </c>
    </row>
    <row r="84" spans="1:37" x14ac:dyDescent="0.25">
      <c r="A84" s="54" t="s">
        <v>72</v>
      </c>
      <c r="B84" s="76">
        <f t="shared" ref="B84:AF84" si="19">IF(B64&lt;0,B64*-1,0)</f>
        <v>0</v>
      </c>
      <c r="C84" s="76">
        <f t="shared" si="19"/>
        <v>0</v>
      </c>
      <c r="D84" s="76">
        <f t="shared" si="19"/>
        <v>0</v>
      </c>
      <c r="E84" s="76">
        <f t="shared" si="19"/>
        <v>0</v>
      </c>
      <c r="F84" s="76">
        <f t="shared" si="19"/>
        <v>0</v>
      </c>
      <c r="G84" s="76">
        <f t="shared" si="19"/>
        <v>0</v>
      </c>
      <c r="H84" s="76">
        <f t="shared" si="19"/>
        <v>0</v>
      </c>
      <c r="I84" s="76">
        <f t="shared" si="19"/>
        <v>0</v>
      </c>
      <c r="J84" s="76">
        <f t="shared" si="19"/>
        <v>0</v>
      </c>
      <c r="K84" s="76">
        <f t="shared" si="19"/>
        <v>0</v>
      </c>
      <c r="L84" s="76">
        <f t="shared" si="19"/>
        <v>0</v>
      </c>
      <c r="M84" s="76">
        <f t="shared" si="19"/>
        <v>0</v>
      </c>
      <c r="N84" s="76">
        <f t="shared" si="19"/>
        <v>0</v>
      </c>
      <c r="O84" s="76">
        <f t="shared" si="19"/>
        <v>0</v>
      </c>
      <c r="P84" s="76">
        <f t="shared" si="19"/>
        <v>0</v>
      </c>
      <c r="Q84" s="76">
        <f t="shared" si="19"/>
        <v>0</v>
      </c>
      <c r="R84" s="76">
        <f t="shared" si="19"/>
        <v>0</v>
      </c>
      <c r="S84" s="76">
        <f t="shared" si="19"/>
        <v>0</v>
      </c>
      <c r="T84" s="76">
        <f t="shared" si="19"/>
        <v>0</v>
      </c>
      <c r="U84" s="76">
        <f t="shared" si="19"/>
        <v>0</v>
      </c>
      <c r="V84" s="76">
        <f t="shared" si="19"/>
        <v>0</v>
      </c>
      <c r="W84" s="76">
        <f t="shared" si="19"/>
        <v>0</v>
      </c>
      <c r="X84" s="76">
        <f t="shared" si="19"/>
        <v>0</v>
      </c>
      <c r="Y84" s="76">
        <f t="shared" si="19"/>
        <v>0</v>
      </c>
      <c r="Z84" s="76">
        <f t="shared" si="19"/>
        <v>0</v>
      </c>
      <c r="AA84" s="76">
        <f t="shared" si="19"/>
        <v>0</v>
      </c>
      <c r="AB84" s="76">
        <f t="shared" si="19"/>
        <v>0</v>
      </c>
      <c r="AC84" s="76">
        <f t="shared" si="19"/>
        <v>0</v>
      </c>
      <c r="AD84" s="76">
        <f t="shared" si="19"/>
        <v>0</v>
      </c>
      <c r="AE84" s="76">
        <f t="shared" si="19"/>
        <v>0</v>
      </c>
      <c r="AF84" s="76">
        <f t="shared" si="19"/>
        <v>0</v>
      </c>
      <c r="AG84" s="55"/>
      <c r="AH84" s="48">
        <f t="shared" si="13"/>
        <v>0</v>
      </c>
      <c r="AI84" s="49">
        <f t="shared" si="14"/>
        <v>0</v>
      </c>
    </row>
    <row r="85" spans="1:37" x14ac:dyDescent="0.25">
      <c r="A85" s="78" t="s">
        <v>91</v>
      </c>
      <c r="B85" s="76">
        <f t="shared" ref="B85:AF85" si="20">IF(B67&lt;0,B67*-1,0)</f>
        <v>0</v>
      </c>
      <c r="C85" s="76">
        <f t="shared" si="20"/>
        <v>0</v>
      </c>
      <c r="D85" s="76">
        <f t="shared" si="20"/>
        <v>0</v>
      </c>
      <c r="E85" s="76">
        <f t="shared" si="20"/>
        <v>0</v>
      </c>
      <c r="F85" s="76">
        <f t="shared" si="20"/>
        <v>0</v>
      </c>
      <c r="G85" s="76">
        <f t="shared" si="20"/>
        <v>0</v>
      </c>
      <c r="H85" s="76">
        <f t="shared" si="20"/>
        <v>0</v>
      </c>
      <c r="I85" s="76">
        <f t="shared" si="20"/>
        <v>0</v>
      </c>
      <c r="J85" s="76">
        <f t="shared" si="20"/>
        <v>0</v>
      </c>
      <c r="K85" s="76">
        <f t="shared" si="20"/>
        <v>0</v>
      </c>
      <c r="L85" s="76">
        <f t="shared" si="20"/>
        <v>0</v>
      </c>
      <c r="M85" s="76">
        <f t="shared" si="20"/>
        <v>0</v>
      </c>
      <c r="N85" s="76">
        <f t="shared" si="20"/>
        <v>0</v>
      </c>
      <c r="O85" s="76">
        <f t="shared" si="20"/>
        <v>0</v>
      </c>
      <c r="P85" s="76">
        <f t="shared" si="20"/>
        <v>0</v>
      </c>
      <c r="Q85" s="76">
        <f t="shared" si="20"/>
        <v>0</v>
      </c>
      <c r="R85" s="76">
        <f t="shared" si="20"/>
        <v>0</v>
      </c>
      <c r="S85" s="76">
        <f t="shared" si="20"/>
        <v>0</v>
      </c>
      <c r="T85" s="76">
        <f t="shared" si="20"/>
        <v>0</v>
      </c>
      <c r="U85" s="76">
        <f t="shared" si="20"/>
        <v>0</v>
      </c>
      <c r="V85" s="76">
        <f t="shared" si="20"/>
        <v>0</v>
      </c>
      <c r="W85" s="76">
        <f t="shared" si="20"/>
        <v>0</v>
      </c>
      <c r="X85" s="76">
        <f t="shared" si="20"/>
        <v>0</v>
      </c>
      <c r="Y85" s="76">
        <f t="shared" si="20"/>
        <v>0</v>
      </c>
      <c r="Z85" s="76">
        <f t="shared" si="20"/>
        <v>0</v>
      </c>
      <c r="AA85" s="76">
        <f t="shared" si="20"/>
        <v>0</v>
      </c>
      <c r="AB85" s="76">
        <f t="shared" si="20"/>
        <v>0</v>
      </c>
      <c r="AC85" s="76">
        <f t="shared" si="20"/>
        <v>0</v>
      </c>
      <c r="AD85" s="76">
        <f t="shared" si="20"/>
        <v>0</v>
      </c>
      <c r="AE85" s="76">
        <f t="shared" si="20"/>
        <v>0</v>
      </c>
      <c r="AF85" s="76">
        <f t="shared" si="20"/>
        <v>0</v>
      </c>
      <c r="AG85" s="86"/>
      <c r="AH85" s="48">
        <f t="shared" si="13"/>
        <v>0</v>
      </c>
      <c r="AI85" s="49">
        <f t="shared" si="14"/>
        <v>0</v>
      </c>
    </row>
    <row r="86" spans="1:37" x14ac:dyDescent="0.25">
      <c r="A86" s="78" t="s">
        <v>92</v>
      </c>
      <c r="B86" s="76">
        <f t="shared" ref="B86:AF86" si="21">IF(B65&lt;0,B65*-1,0)</f>
        <v>225</v>
      </c>
      <c r="C86" s="76">
        <f t="shared" si="21"/>
        <v>240</v>
      </c>
      <c r="D86" s="76">
        <f t="shared" si="21"/>
        <v>230</v>
      </c>
      <c r="E86" s="76">
        <f t="shared" si="21"/>
        <v>234</v>
      </c>
      <c r="F86" s="76">
        <f t="shared" si="21"/>
        <v>245</v>
      </c>
      <c r="G86" s="76">
        <f t="shared" si="21"/>
        <v>253</v>
      </c>
      <c r="H86" s="76">
        <f t="shared" si="21"/>
        <v>250</v>
      </c>
      <c r="I86" s="76">
        <f t="shared" si="21"/>
        <v>255</v>
      </c>
      <c r="J86" s="76">
        <f t="shared" si="21"/>
        <v>252</v>
      </c>
      <c r="K86" s="76">
        <f t="shared" si="21"/>
        <v>297</v>
      </c>
      <c r="L86" s="76">
        <f t="shared" si="21"/>
        <v>239</v>
      </c>
      <c r="M86" s="76">
        <f t="shared" si="21"/>
        <v>307.60000000000002</v>
      </c>
      <c r="N86" s="76">
        <f t="shared" si="21"/>
        <v>272</v>
      </c>
      <c r="O86" s="76">
        <f t="shared" si="21"/>
        <v>245</v>
      </c>
      <c r="P86" s="76">
        <f t="shared" si="21"/>
        <v>232.4</v>
      </c>
      <c r="Q86" s="76">
        <f t="shared" si="21"/>
        <v>204.7</v>
      </c>
      <c r="R86" s="76">
        <f t="shared" si="21"/>
        <v>198.3</v>
      </c>
      <c r="S86" s="76">
        <f t="shared" si="21"/>
        <v>169.9</v>
      </c>
      <c r="T86" s="76">
        <f t="shared" si="21"/>
        <v>180</v>
      </c>
      <c r="U86" s="76">
        <f t="shared" si="21"/>
        <v>206</v>
      </c>
      <c r="V86" s="76">
        <f t="shared" si="21"/>
        <v>232.8</v>
      </c>
      <c r="W86" s="76">
        <f t="shared" si="21"/>
        <v>186</v>
      </c>
      <c r="X86" s="76">
        <f t="shared" si="21"/>
        <v>214</v>
      </c>
      <c r="Y86" s="76">
        <f t="shared" si="21"/>
        <v>228</v>
      </c>
      <c r="Z86" s="76">
        <f t="shared" si="21"/>
        <v>266.5</v>
      </c>
      <c r="AA86" s="76">
        <f t="shared" si="21"/>
        <v>281.5</v>
      </c>
      <c r="AB86" s="76">
        <f t="shared" si="21"/>
        <v>296</v>
      </c>
      <c r="AC86" s="76">
        <f t="shared" si="21"/>
        <v>300</v>
      </c>
      <c r="AD86" s="76">
        <f t="shared" si="21"/>
        <v>310</v>
      </c>
      <c r="AE86" s="76">
        <f t="shared" si="21"/>
        <v>289</v>
      </c>
      <c r="AF86" s="76">
        <f t="shared" si="21"/>
        <v>301</v>
      </c>
      <c r="AG86" s="86"/>
      <c r="AH86" s="48">
        <f t="shared" si="13"/>
        <v>310</v>
      </c>
      <c r="AI86" s="49">
        <f t="shared" si="14"/>
        <v>169.9</v>
      </c>
    </row>
    <row r="87" spans="1:37" x14ac:dyDescent="0.25">
      <c r="A87" s="78" t="s">
        <v>71</v>
      </c>
      <c r="B87" s="76">
        <f t="shared" ref="B87:AF87" si="22">IF(B63&lt;0,B63*-1,0)</f>
        <v>0</v>
      </c>
      <c r="C87" s="76">
        <f t="shared" si="22"/>
        <v>0</v>
      </c>
      <c r="D87" s="76">
        <f t="shared" si="22"/>
        <v>0</v>
      </c>
      <c r="E87" s="76">
        <f t="shared" si="22"/>
        <v>0</v>
      </c>
      <c r="F87" s="76">
        <f t="shared" si="22"/>
        <v>0</v>
      </c>
      <c r="G87" s="76">
        <f t="shared" si="22"/>
        <v>0</v>
      </c>
      <c r="H87" s="76">
        <f t="shared" si="22"/>
        <v>0</v>
      </c>
      <c r="I87" s="76">
        <f t="shared" si="22"/>
        <v>0</v>
      </c>
      <c r="J87" s="76">
        <f t="shared" si="22"/>
        <v>0</v>
      </c>
      <c r="K87" s="76">
        <f t="shared" si="22"/>
        <v>0</v>
      </c>
      <c r="L87" s="76">
        <f t="shared" si="22"/>
        <v>0</v>
      </c>
      <c r="M87" s="76">
        <f t="shared" si="22"/>
        <v>0</v>
      </c>
      <c r="N87" s="76">
        <f t="shared" si="22"/>
        <v>0</v>
      </c>
      <c r="O87" s="76">
        <f t="shared" si="22"/>
        <v>0</v>
      </c>
      <c r="P87" s="76">
        <f t="shared" si="22"/>
        <v>0</v>
      </c>
      <c r="Q87" s="76">
        <f t="shared" si="22"/>
        <v>0</v>
      </c>
      <c r="R87" s="76">
        <f t="shared" si="22"/>
        <v>0</v>
      </c>
      <c r="S87" s="76">
        <f t="shared" si="22"/>
        <v>0</v>
      </c>
      <c r="T87" s="76">
        <f t="shared" si="22"/>
        <v>0</v>
      </c>
      <c r="U87" s="76">
        <f t="shared" si="22"/>
        <v>0</v>
      </c>
      <c r="V87" s="76">
        <f t="shared" si="22"/>
        <v>0</v>
      </c>
      <c r="W87" s="76">
        <f t="shared" si="22"/>
        <v>0</v>
      </c>
      <c r="X87" s="76">
        <f t="shared" si="22"/>
        <v>0</v>
      </c>
      <c r="Y87" s="76">
        <f t="shared" si="22"/>
        <v>0</v>
      </c>
      <c r="Z87" s="76">
        <f t="shared" si="22"/>
        <v>0</v>
      </c>
      <c r="AA87" s="76">
        <f t="shared" si="22"/>
        <v>0</v>
      </c>
      <c r="AB87" s="76">
        <f t="shared" si="22"/>
        <v>0</v>
      </c>
      <c r="AC87" s="76">
        <f t="shared" si="22"/>
        <v>0</v>
      </c>
      <c r="AD87" s="76">
        <f t="shared" si="22"/>
        <v>0</v>
      </c>
      <c r="AE87" s="76">
        <f t="shared" si="22"/>
        <v>0</v>
      </c>
      <c r="AF87" s="76">
        <f t="shared" si="22"/>
        <v>0</v>
      </c>
      <c r="AG87" s="86"/>
      <c r="AH87" s="48">
        <f t="shared" si="13"/>
        <v>0</v>
      </c>
      <c r="AI87" s="49">
        <f t="shared" si="14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13"/>
        <v>0</v>
      </c>
      <c r="AI88" s="49">
        <f t="shared" si="14"/>
        <v>0</v>
      </c>
    </row>
    <row r="89" spans="1:37" ht="15.75" thickBot="1" x14ac:dyDescent="0.3">
      <c r="A89" s="87" t="s">
        <v>94</v>
      </c>
      <c r="B89" s="61">
        <f t="shared" ref="B89:AF89" si="23">SUM(B83:B88)</f>
        <v>225</v>
      </c>
      <c r="C89" s="61">
        <f t="shared" si="23"/>
        <v>240</v>
      </c>
      <c r="D89" s="61">
        <f t="shared" si="23"/>
        <v>230</v>
      </c>
      <c r="E89" s="61">
        <f t="shared" si="23"/>
        <v>234</v>
      </c>
      <c r="F89" s="61">
        <f t="shared" si="23"/>
        <v>245</v>
      </c>
      <c r="G89" s="61">
        <f t="shared" si="23"/>
        <v>253</v>
      </c>
      <c r="H89" s="61">
        <f t="shared" si="23"/>
        <v>250</v>
      </c>
      <c r="I89" s="61">
        <f t="shared" si="23"/>
        <v>255</v>
      </c>
      <c r="J89" s="61">
        <f t="shared" si="23"/>
        <v>252</v>
      </c>
      <c r="K89" s="61">
        <f t="shared" si="23"/>
        <v>297</v>
      </c>
      <c r="L89" s="61">
        <f t="shared" si="23"/>
        <v>239</v>
      </c>
      <c r="M89" s="61">
        <f t="shared" si="23"/>
        <v>307.60000000000002</v>
      </c>
      <c r="N89" s="61">
        <f t="shared" si="23"/>
        <v>272</v>
      </c>
      <c r="O89" s="61">
        <f t="shared" si="23"/>
        <v>245</v>
      </c>
      <c r="P89" s="61">
        <f t="shared" si="23"/>
        <v>232.4</v>
      </c>
      <c r="Q89" s="61">
        <f t="shared" si="23"/>
        <v>204.7</v>
      </c>
      <c r="R89" s="61">
        <f t="shared" si="23"/>
        <v>198.3</v>
      </c>
      <c r="S89" s="61">
        <f t="shared" si="23"/>
        <v>169.9</v>
      </c>
      <c r="T89" s="61">
        <f t="shared" si="23"/>
        <v>180</v>
      </c>
      <c r="U89" s="61">
        <f t="shared" si="23"/>
        <v>206</v>
      </c>
      <c r="V89" s="61">
        <f t="shared" si="23"/>
        <v>232.8</v>
      </c>
      <c r="W89" s="61">
        <f t="shared" si="23"/>
        <v>186</v>
      </c>
      <c r="X89" s="61">
        <f t="shared" si="23"/>
        <v>214</v>
      </c>
      <c r="Y89" s="61">
        <f t="shared" si="23"/>
        <v>228</v>
      </c>
      <c r="Z89" s="61">
        <f t="shared" si="23"/>
        <v>266.5</v>
      </c>
      <c r="AA89" s="61">
        <f t="shared" si="23"/>
        <v>281.5</v>
      </c>
      <c r="AB89" s="61">
        <f t="shared" si="23"/>
        <v>296</v>
      </c>
      <c r="AC89" s="61">
        <f t="shared" si="23"/>
        <v>300</v>
      </c>
      <c r="AD89" s="61">
        <f t="shared" si="23"/>
        <v>310</v>
      </c>
      <c r="AE89" s="61">
        <f t="shared" si="23"/>
        <v>289</v>
      </c>
      <c r="AF89" s="61">
        <f t="shared" si="23"/>
        <v>301</v>
      </c>
      <c r="AG89" s="81"/>
      <c r="AH89" s="48">
        <f t="shared" si="13"/>
        <v>310</v>
      </c>
      <c r="AI89" s="49">
        <f t="shared" si="14"/>
        <v>169.9</v>
      </c>
      <c r="AK89" s="50"/>
    </row>
    <row r="90" spans="1:37" ht="15.75" thickBot="1" x14ac:dyDescent="0.3">
      <c r="A90" s="74" t="s">
        <v>95</v>
      </c>
      <c r="B90" s="61">
        <f t="shared" ref="B90:AF90" si="24">B74-B89</f>
        <v>-210</v>
      </c>
      <c r="C90" s="61">
        <f t="shared" si="24"/>
        <v>-240</v>
      </c>
      <c r="D90" s="61">
        <f t="shared" si="24"/>
        <v>-230</v>
      </c>
      <c r="E90" s="61">
        <f t="shared" si="24"/>
        <v>-234</v>
      </c>
      <c r="F90" s="61">
        <f t="shared" si="24"/>
        <v>-245</v>
      </c>
      <c r="G90" s="61">
        <f t="shared" si="24"/>
        <v>-253</v>
      </c>
      <c r="H90" s="61">
        <f t="shared" si="24"/>
        <v>-250</v>
      </c>
      <c r="I90" s="61">
        <f t="shared" si="24"/>
        <v>-255</v>
      </c>
      <c r="J90" s="61">
        <f t="shared" si="24"/>
        <v>-252</v>
      </c>
      <c r="K90" s="61">
        <f t="shared" si="24"/>
        <v>-297</v>
      </c>
      <c r="L90" s="61">
        <f t="shared" si="24"/>
        <v>-239</v>
      </c>
      <c r="M90" s="61">
        <f t="shared" si="24"/>
        <v>-307.60000000000002</v>
      </c>
      <c r="N90" s="61">
        <f t="shared" si="24"/>
        <v>-272</v>
      </c>
      <c r="O90" s="61">
        <f t="shared" si="24"/>
        <v>-245</v>
      </c>
      <c r="P90" s="61">
        <f t="shared" si="24"/>
        <v>-232.4</v>
      </c>
      <c r="Q90" s="61">
        <f t="shared" si="24"/>
        <v>-204.7</v>
      </c>
      <c r="R90" s="61">
        <f t="shared" si="24"/>
        <v>-198.3</v>
      </c>
      <c r="S90" s="61">
        <f t="shared" si="24"/>
        <v>-169.9</v>
      </c>
      <c r="T90" s="61">
        <f t="shared" si="24"/>
        <v>-180</v>
      </c>
      <c r="U90" s="61">
        <f t="shared" si="24"/>
        <v>-206</v>
      </c>
      <c r="V90" s="61">
        <f t="shared" si="24"/>
        <v>-232.8</v>
      </c>
      <c r="W90" s="61">
        <f t="shared" si="24"/>
        <v>-186</v>
      </c>
      <c r="X90" s="61">
        <f t="shared" si="24"/>
        <v>-214</v>
      </c>
      <c r="Y90" s="61">
        <f t="shared" si="24"/>
        <v>-228</v>
      </c>
      <c r="Z90" s="61">
        <f t="shared" si="24"/>
        <v>-266.5</v>
      </c>
      <c r="AA90" s="61">
        <f t="shared" si="24"/>
        <v>-281.5</v>
      </c>
      <c r="AB90" s="61">
        <f t="shared" si="24"/>
        <v>-296</v>
      </c>
      <c r="AC90" s="61">
        <f t="shared" si="24"/>
        <v>-300</v>
      </c>
      <c r="AD90" s="61">
        <f t="shared" si="24"/>
        <v>-310</v>
      </c>
      <c r="AE90" s="61">
        <f t="shared" si="24"/>
        <v>-289</v>
      </c>
      <c r="AF90" s="61">
        <f t="shared" si="24"/>
        <v>-301</v>
      </c>
      <c r="AG90" s="81"/>
      <c r="AH90" s="48">
        <f t="shared" si="13"/>
        <v>-169.9</v>
      </c>
      <c r="AI90" s="49">
        <f t="shared" si="14"/>
        <v>-310</v>
      </c>
    </row>
    <row r="91" spans="1:37" x14ac:dyDescent="0.25">
      <c r="A91" s="88" t="s">
        <v>96</v>
      </c>
      <c r="B91" s="89"/>
      <c r="C91" s="89">
        <v>49.997</v>
      </c>
      <c r="D91" s="89">
        <v>50.015999999999998</v>
      </c>
      <c r="E91" s="89">
        <v>50.006</v>
      </c>
      <c r="F91" s="89">
        <v>50.02</v>
      </c>
      <c r="G91" s="89">
        <v>50.054000000000002</v>
      </c>
      <c r="H91" s="89">
        <v>50.024000000000001</v>
      </c>
      <c r="I91" s="89">
        <v>49.906999999999996</v>
      </c>
      <c r="J91" s="89">
        <v>50.031999999999996</v>
      </c>
      <c r="K91" s="89">
        <v>49.798000000000002</v>
      </c>
      <c r="L91" s="89">
        <v>49.878999999999998</v>
      </c>
      <c r="M91" s="89">
        <v>50.033000000000001</v>
      </c>
      <c r="N91" s="89">
        <v>49.936999999999998</v>
      </c>
      <c r="O91" s="89">
        <v>49.914999999999999</v>
      </c>
      <c r="P91" s="89">
        <v>49.951999999999998</v>
      </c>
      <c r="Q91" s="89">
        <v>50.02</v>
      </c>
      <c r="R91" s="89">
        <v>50.04</v>
      </c>
      <c r="S91" s="89">
        <v>49.988</v>
      </c>
      <c r="T91" s="89">
        <v>49.966999999999999</v>
      </c>
      <c r="U91" s="89">
        <v>49.966999999999999</v>
      </c>
      <c r="V91" s="89">
        <v>49.962000000000003</v>
      </c>
      <c r="W91" s="89">
        <v>50.012</v>
      </c>
      <c r="X91" s="89">
        <v>50.027000000000001</v>
      </c>
      <c r="Y91" s="89">
        <v>50.027000000000001</v>
      </c>
      <c r="Z91" s="89">
        <v>50.012</v>
      </c>
      <c r="AA91" s="89">
        <v>50.015000000000001</v>
      </c>
      <c r="AB91" s="89">
        <v>50.015000000000001</v>
      </c>
      <c r="AC91" s="89">
        <v>50.015000000000001</v>
      </c>
      <c r="AD91" s="89">
        <v>50.042000000000002</v>
      </c>
      <c r="AE91" s="89">
        <v>50.064</v>
      </c>
      <c r="AF91" s="89">
        <v>50</v>
      </c>
      <c r="AG91" s="90"/>
      <c r="AH91" s="48">
        <f t="shared" si="13"/>
        <v>50.064</v>
      </c>
      <c r="AI91" s="49">
        <f t="shared" si="14"/>
        <v>49.798000000000002</v>
      </c>
    </row>
    <row r="92" spans="1:37" x14ac:dyDescent="0.25">
      <c r="A92" s="91" t="s">
        <v>97</v>
      </c>
      <c r="B92" s="65"/>
      <c r="C92" s="65">
        <v>128.30000000000001</v>
      </c>
      <c r="D92" s="65">
        <v>129</v>
      </c>
      <c r="E92" s="65">
        <v>128.30000000000001</v>
      </c>
      <c r="F92" s="65">
        <v>129</v>
      </c>
      <c r="G92" s="65">
        <v>128</v>
      </c>
      <c r="H92" s="65">
        <v>127</v>
      </c>
      <c r="I92" s="65">
        <v>126</v>
      </c>
      <c r="J92" s="65">
        <v>126</v>
      </c>
      <c r="K92" s="65">
        <v>124</v>
      </c>
      <c r="L92" s="65">
        <v>123</v>
      </c>
      <c r="M92" s="65">
        <v>122.5</v>
      </c>
      <c r="N92" s="65">
        <v>122.9</v>
      </c>
      <c r="O92" s="65">
        <v>124.5</v>
      </c>
      <c r="P92" s="65">
        <v>126.6</v>
      </c>
      <c r="Q92" s="65">
        <v>125.7</v>
      </c>
      <c r="R92" s="65">
        <v>125.1</v>
      </c>
      <c r="S92" s="65">
        <v>125.8</v>
      </c>
      <c r="T92" s="65">
        <v>125.8</v>
      </c>
      <c r="U92" s="65">
        <v>125.8</v>
      </c>
      <c r="V92" s="65">
        <v>125.6</v>
      </c>
      <c r="W92" s="65">
        <v>125.1</v>
      </c>
      <c r="X92" s="65">
        <v>126.6</v>
      </c>
      <c r="Y92" s="65">
        <v>126.6</v>
      </c>
      <c r="Z92" s="65">
        <v>127.6</v>
      </c>
      <c r="AA92" s="65">
        <v>127.1</v>
      </c>
      <c r="AB92" s="65">
        <v>127.1</v>
      </c>
      <c r="AC92" s="65">
        <v>127.1</v>
      </c>
      <c r="AD92" s="65">
        <v>126.5</v>
      </c>
      <c r="AE92" s="65">
        <v>128.6</v>
      </c>
      <c r="AF92" s="65">
        <v>127.9</v>
      </c>
      <c r="AG92" s="92"/>
      <c r="AH92" s="48">
        <f t="shared" si="13"/>
        <v>129</v>
      </c>
      <c r="AI92" s="49">
        <f t="shared" si="14"/>
        <v>122.5</v>
      </c>
    </row>
    <row r="93" spans="1:37" x14ac:dyDescent="0.25">
      <c r="A93" s="91" t="s">
        <v>98</v>
      </c>
      <c r="B93" s="65"/>
      <c r="C93" s="65">
        <v>132.4</v>
      </c>
      <c r="D93" s="65">
        <v>132.9</v>
      </c>
      <c r="E93" s="65">
        <v>132.4</v>
      </c>
      <c r="F93" s="65">
        <v>132</v>
      </c>
      <c r="G93" s="65">
        <v>132</v>
      </c>
      <c r="H93" s="65">
        <v>131</v>
      </c>
      <c r="I93" s="65">
        <v>130</v>
      </c>
      <c r="J93" s="65">
        <v>130</v>
      </c>
      <c r="K93" s="65">
        <v>127</v>
      </c>
      <c r="L93" s="65">
        <v>127</v>
      </c>
      <c r="M93" s="65">
        <v>126.5</v>
      </c>
      <c r="N93" s="65">
        <v>126.7</v>
      </c>
      <c r="O93" s="65">
        <v>128</v>
      </c>
      <c r="P93" s="65">
        <v>128.5</v>
      </c>
      <c r="Q93" s="65">
        <v>129.1</v>
      </c>
      <c r="R93" s="65">
        <v>128.80000000000001</v>
      </c>
      <c r="S93" s="65">
        <v>129.19999999999999</v>
      </c>
      <c r="T93" s="65">
        <v>129</v>
      </c>
      <c r="U93" s="65">
        <v>129</v>
      </c>
      <c r="V93" s="65">
        <v>128.9</v>
      </c>
      <c r="W93" s="65">
        <v>128</v>
      </c>
      <c r="X93" s="65">
        <v>128.9</v>
      </c>
      <c r="Y93" s="65">
        <v>128.9</v>
      </c>
      <c r="Z93" s="65">
        <v>130.19999999999999</v>
      </c>
      <c r="AA93" s="65">
        <v>129.69999999999999</v>
      </c>
      <c r="AB93" s="65">
        <v>129.69999999999999</v>
      </c>
      <c r="AC93" s="65">
        <v>129.69999999999999</v>
      </c>
      <c r="AD93" s="65">
        <v>1301</v>
      </c>
      <c r="AE93" s="65">
        <v>132.4</v>
      </c>
      <c r="AF93" s="65">
        <v>132</v>
      </c>
      <c r="AG93" s="92"/>
      <c r="AH93" s="48">
        <f t="shared" si="13"/>
        <v>1301</v>
      </c>
      <c r="AI93" s="49">
        <f t="shared" si="14"/>
        <v>126.5</v>
      </c>
    </row>
    <row r="94" spans="1:37" x14ac:dyDescent="0.25">
      <c r="A94" s="91" t="s">
        <v>99</v>
      </c>
      <c r="B94" s="65"/>
      <c r="C94" s="65">
        <v>130.4</v>
      </c>
      <c r="D94" s="65">
        <v>130</v>
      </c>
      <c r="E94" s="65">
        <v>128.30000000000001</v>
      </c>
      <c r="F94" s="65">
        <v>132</v>
      </c>
      <c r="G94" s="65">
        <v>129</v>
      </c>
      <c r="H94" s="65">
        <v>130</v>
      </c>
      <c r="I94" s="65">
        <v>128</v>
      </c>
      <c r="J94" s="65">
        <v>128</v>
      </c>
      <c r="K94" s="65">
        <v>127</v>
      </c>
      <c r="L94" s="65">
        <v>127</v>
      </c>
      <c r="M94" s="65">
        <v>129.30000000000001</v>
      </c>
      <c r="N94" s="65">
        <v>129.9</v>
      </c>
      <c r="O94" s="65">
        <v>127.7</v>
      </c>
      <c r="P94" s="65">
        <v>128.6</v>
      </c>
      <c r="Q94" s="65">
        <v>128.69999999999999</v>
      </c>
      <c r="R94" s="65">
        <v>128.30000000000001</v>
      </c>
      <c r="S94" s="65">
        <v>129.9</v>
      </c>
      <c r="T94" s="65">
        <v>129.9</v>
      </c>
      <c r="U94" s="65">
        <v>129.9</v>
      </c>
      <c r="V94" s="65">
        <v>129.19999999999999</v>
      </c>
      <c r="W94" s="65">
        <v>130</v>
      </c>
      <c r="X94" s="65">
        <v>131.9</v>
      </c>
      <c r="Y94" s="65">
        <v>131.9</v>
      </c>
      <c r="Z94" s="65">
        <v>131.4</v>
      </c>
      <c r="AA94" s="65">
        <v>131.6</v>
      </c>
      <c r="AB94" s="65">
        <v>131.6</v>
      </c>
      <c r="AC94" s="65">
        <v>131.6</v>
      </c>
      <c r="AD94" s="65">
        <v>132</v>
      </c>
      <c r="AE94" s="65">
        <v>132</v>
      </c>
      <c r="AF94" s="65">
        <v>132</v>
      </c>
      <c r="AG94" s="92"/>
      <c r="AH94" s="48">
        <f t="shared" si="13"/>
        <v>132</v>
      </c>
      <c r="AI94" s="49">
        <f t="shared" si="14"/>
        <v>127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13"/>
        <v>0</v>
      </c>
      <c r="AI95" s="49">
        <f t="shared" si="14"/>
        <v>0</v>
      </c>
    </row>
    <row r="96" spans="1:37" x14ac:dyDescent="0.25">
      <c r="A96" s="93" t="s">
        <v>101</v>
      </c>
      <c r="B96" s="94"/>
      <c r="C96" s="94">
        <v>137.1</v>
      </c>
      <c r="D96" s="94">
        <v>135</v>
      </c>
      <c r="E96" s="94">
        <v>134.30000000000001</v>
      </c>
      <c r="F96" s="94">
        <v>129</v>
      </c>
      <c r="G96" s="94">
        <v>134</v>
      </c>
      <c r="H96" s="94">
        <v>134</v>
      </c>
      <c r="I96" s="94">
        <v>131</v>
      </c>
      <c r="J96" s="94">
        <v>131</v>
      </c>
      <c r="K96" s="94">
        <v>132</v>
      </c>
      <c r="L96" s="94">
        <v>132</v>
      </c>
      <c r="M96" s="94">
        <v>134.80000000000001</v>
      </c>
      <c r="N96" s="94">
        <v>130.69999999999999</v>
      </c>
      <c r="O96" s="94">
        <v>130.80000000000001</v>
      </c>
      <c r="P96" s="94">
        <v>134.1</v>
      </c>
      <c r="Q96" s="94">
        <v>133.80000000000001</v>
      </c>
      <c r="R96" s="94">
        <v>134</v>
      </c>
      <c r="S96" s="94">
        <v>133.4</v>
      </c>
      <c r="T96" s="94">
        <v>133.4</v>
      </c>
      <c r="U96" s="94">
        <v>133.4</v>
      </c>
      <c r="V96" s="94">
        <v>134</v>
      </c>
      <c r="W96" s="94">
        <v>131.6</v>
      </c>
      <c r="X96" s="94">
        <v>132.5</v>
      </c>
      <c r="Y96" s="94">
        <v>132.5</v>
      </c>
      <c r="Z96" s="94">
        <v>131.5</v>
      </c>
      <c r="AA96" s="94">
        <v>131.5</v>
      </c>
      <c r="AB96" s="94">
        <v>131.5</v>
      </c>
      <c r="AC96" s="94">
        <v>131.5</v>
      </c>
      <c r="AD96" s="94">
        <v>134.19999999999999</v>
      </c>
      <c r="AE96" s="94">
        <v>134.19999999999999</v>
      </c>
      <c r="AF96" s="94">
        <v>133.30000000000001</v>
      </c>
      <c r="AG96" s="95"/>
      <c r="AH96" s="48">
        <f t="shared" si="13"/>
        <v>137.1</v>
      </c>
      <c r="AI96" s="49">
        <f t="shared" si="14"/>
        <v>129</v>
      </c>
    </row>
    <row r="97" spans="1:37" x14ac:dyDescent="0.25">
      <c r="A97" s="91" t="s">
        <v>102</v>
      </c>
      <c r="B97" s="65"/>
      <c r="C97" s="65"/>
      <c r="D97" s="65"/>
      <c r="E97" s="65"/>
      <c r="F97" s="65"/>
      <c r="G97" s="65">
        <v>133</v>
      </c>
      <c r="H97" s="65">
        <v>131</v>
      </c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>
        <v>134.9</v>
      </c>
      <c r="AE97" s="65">
        <v>134.9</v>
      </c>
      <c r="AF97" s="65">
        <v>132.5</v>
      </c>
      <c r="AG97" s="92"/>
      <c r="AH97" s="48">
        <f t="shared" si="13"/>
        <v>134.9</v>
      </c>
      <c r="AI97" s="49">
        <f t="shared" si="14"/>
        <v>131</v>
      </c>
    </row>
    <row r="98" spans="1:37" ht="15.75" thickBot="1" x14ac:dyDescent="0.3">
      <c r="A98" s="91" t="s">
        <v>103</v>
      </c>
      <c r="B98" s="96"/>
      <c r="C98" s="96">
        <v>66.7</v>
      </c>
      <c r="D98" s="96">
        <v>66.900000000000006</v>
      </c>
      <c r="E98" s="96">
        <v>66.7</v>
      </c>
      <c r="F98" s="96">
        <v>66.7</v>
      </c>
      <c r="G98" s="96">
        <v>66.400000000000006</v>
      </c>
      <c r="H98" s="96">
        <v>66</v>
      </c>
      <c r="I98" s="96">
        <v>65.5</v>
      </c>
      <c r="J98" s="96">
        <v>65.5</v>
      </c>
      <c r="K98" s="96">
        <v>63.8</v>
      </c>
      <c r="L98" s="96">
        <v>63.8</v>
      </c>
      <c r="M98" s="96">
        <v>63.9</v>
      </c>
      <c r="N98" s="96">
        <v>63.7</v>
      </c>
      <c r="O98" s="96">
        <v>64.400000000000006</v>
      </c>
      <c r="P98" s="96">
        <v>65.2</v>
      </c>
      <c r="Q98" s="96">
        <v>64.900000000000006</v>
      </c>
      <c r="R98" s="96">
        <v>64.900000000000006</v>
      </c>
      <c r="S98" s="96">
        <v>65</v>
      </c>
      <c r="T98" s="96">
        <v>65</v>
      </c>
      <c r="U98" s="96">
        <v>65</v>
      </c>
      <c r="V98" s="96">
        <v>64.900000000000006</v>
      </c>
      <c r="W98" s="96">
        <v>64.5</v>
      </c>
      <c r="X98" s="96">
        <v>65</v>
      </c>
      <c r="Y98" s="96">
        <v>65</v>
      </c>
      <c r="Z98" s="96">
        <v>65.400000000000006</v>
      </c>
      <c r="AA98" s="96">
        <v>65.2</v>
      </c>
      <c r="AB98" s="96">
        <v>65.2</v>
      </c>
      <c r="AC98" s="96">
        <v>65.2</v>
      </c>
      <c r="AD98" s="96">
        <v>65.5</v>
      </c>
      <c r="AE98" s="96">
        <v>65.5</v>
      </c>
      <c r="AF98" s="96">
        <v>66.8</v>
      </c>
      <c r="AG98" s="97"/>
      <c r="AH98" s="48">
        <f t="shared" si="13"/>
        <v>66.900000000000006</v>
      </c>
      <c r="AI98" s="49">
        <f t="shared" si="14"/>
        <v>63.7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13"/>
        <v>0</v>
      </c>
      <c r="AI99" s="49">
        <f t="shared" si="14"/>
        <v>0</v>
      </c>
    </row>
    <row r="100" spans="1:37" ht="15.75" thickBot="1" x14ac:dyDescent="0.3">
      <c r="A100" s="99" t="s">
        <v>104</v>
      </c>
      <c r="B100" s="100">
        <f t="shared" ref="B100:AF100" si="25">SUM(B15,B20,B22:B23,B48,B50:B51,B53,B55,B101:B105,B127,B133,B139,B148,B150,B162,B169,B172:B173,B180,B182,B184,B188:B190,B192:B194,B199,B205:B206,B208:B210,B218,B223)</f>
        <v>136.5</v>
      </c>
      <c r="C100" s="100">
        <f t="shared" si="25"/>
        <v>52.739999999999995</v>
      </c>
      <c r="D100" s="100">
        <f t="shared" si="25"/>
        <v>50.64</v>
      </c>
      <c r="E100" s="100">
        <f t="shared" si="25"/>
        <v>53.139999999999979</v>
      </c>
      <c r="F100" s="100">
        <f t="shared" si="25"/>
        <v>57.44</v>
      </c>
      <c r="G100" s="100">
        <f t="shared" si="25"/>
        <v>76.44</v>
      </c>
      <c r="H100" s="100">
        <f t="shared" si="25"/>
        <v>112.44</v>
      </c>
      <c r="I100" s="100">
        <f t="shared" si="25"/>
        <v>111.44</v>
      </c>
      <c r="J100" s="100">
        <f t="shared" si="25"/>
        <v>186.44</v>
      </c>
      <c r="K100" s="100">
        <f t="shared" si="25"/>
        <v>239.44</v>
      </c>
      <c r="L100" s="100">
        <f t="shared" si="25"/>
        <v>252.44</v>
      </c>
      <c r="M100" s="100">
        <f t="shared" si="25"/>
        <v>248.74</v>
      </c>
      <c r="N100" s="100">
        <f t="shared" si="25"/>
        <v>230.54000000000005</v>
      </c>
      <c r="O100" s="100">
        <f t="shared" si="25"/>
        <v>196.93999999999997</v>
      </c>
      <c r="P100" s="100">
        <f t="shared" si="25"/>
        <v>197.64</v>
      </c>
      <c r="Q100" s="100">
        <f t="shared" si="25"/>
        <v>180.50000000000003</v>
      </c>
      <c r="R100" s="100">
        <f t="shared" si="25"/>
        <v>170.70000000000002</v>
      </c>
      <c r="S100" s="100">
        <f t="shared" si="25"/>
        <v>174.80000000000004</v>
      </c>
      <c r="T100" s="100">
        <f t="shared" si="25"/>
        <v>187.39999999999998</v>
      </c>
      <c r="U100" s="100">
        <f t="shared" si="25"/>
        <v>169.39999999999998</v>
      </c>
      <c r="V100" s="100">
        <f t="shared" si="25"/>
        <v>236.89999999999998</v>
      </c>
      <c r="W100" s="100">
        <f t="shared" si="25"/>
        <v>281.00000000000006</v>
      </c>
      <c r="X100" s="100">
        <f t="shared" si="25"/>
        <v>298.8</v>
      </c>
      <c r="Y100" s="100">
        <f t="shared" si="25"/>
        <v>296.90000000000003</v>
      </c>
      <c r="Z100" s="100">
        <f t="shared" si="25"/>
        <v>243.1</v>
      </c>
      <c r="AA100" s="100">
        <f t="shared" si="25"/>
        <v>240.29999999999998</v>
      </c>
      <c r="AB100" s="100">
        <f t="shared" si="25"/>
        <v>214.2</v>
      </c>
      <c r="AC100" s="100">
        <f t="shared" si="25"/>
        <v>195.2</v>
      </c>
      <c r="AD100" s="100">
        <f t="shared" si="25"/>
        <v>169.39999999999998</v>
      </c>
      <c r="AE100" s="100">
        <f t="shared" si="25"/>
        <v>108.00000000000003</v>
      </c>
      <c r="AF100" s="100">
        <f t="shared" si="25"/>
        <v>68.500000000000028</v>
      </c>
      <c r="AG100" s="101"/>
      <c r="AH100" s="48">
        <f t="shared" si="13"/>
        <v>298.8</v>
      </c>
      <c r="AI100" s="49">
        <f t="shared" si="14"/>
        <v>50.64</v>
      </c>
    </row>
    <row r="101" spans="1:37" x14ac:dyDescent="0.25">
      <c r="A101" s="88" t="s">
        <v>105</v>
      </c>
      <c r="B101" s="102"/>
      <c r="C101" s="102">
        <v>30.1</v>
      </c>
      <c r="D101" s="102">
        <v>30.4</v>
      </c>
      <c r="E101" s="102">
        <v>33</v>
      </c>
      <c r="F101" s="102">
        <v>35</v>
      </c>
      <c r="G101" s="102">
        <v>40</v>
      </c>
      <c r="H101" s="102">
        <v>44</v>
      </c>
      <c r="I101" s="102">
        <v>40</v>
      </c>
      <c r="J101" s="102">
        <v>51</v>
      </c>
      <c r="K101" s="102">
        <v>50</v>
      </c>
      <c r="L101" s="102">
        <v>48</v>
      </c>
      <c r="M101" s="102">
        <v>47.9</v>
      </c>
      <c r="N101" s="102">
        <v>53.4</v>
      </c>
      <c r="O101" s="102">
        <v>52.1</v>
      </c>
      <c r="P101" s="102">
        <v>48.1</v>
      </c>
      <c r="Q101" s="102">
        <v>49.6</v>
      </c>
      <c r="R101" s="102">
        <v>50</v>
      </c>
      <c r="S101" s="102">
        <v>48.2</v>
      </c>
      <c r="T101" s="102">
        <v>51</v>
      </c>
      <c r="U101" s="102">
        <v>51</v>
      </c>
      <c r="V101" s="102">
        <v>53.2</v>
      </c>
      <c r="W101" s="102">
        <v>50.3</v>
      </c>
      <c r="X101" s="102">
        <v>49.4</v>
      </c>
      <c r="Y101" s="102">
        <v>51.2</v>
      </c>
      <c r="Z101" s="102">
        <v>54.4</v>
      </c>
      <c r="AA101" s="102">
        <v>57.9</v>
      </c>
      <c r="AB101" s="102">
        <v>57.9</v>
      </c>
      <c r="AC101" s="102">
        <v>57.9</v>
      </c>
      <c r="AD101" s="102">
        <v>59.2</v>
      </c>
      <c r="AE101" s="102">
        <v>44.3</v>
      </c>
      <c r="AF101" s="102">
        <v>32.799999999999997</v>
      </c>
      <c r="AG101" s="103">
        <v>75</v>
      </c>
      <c r="AH101" s="48">
        <f t="shared" si="13"/>
        <v>59.2</v>
      </c>
      <c r="AI101" s="49">
        <f t="shared" si="14"/>
        <v>30.1</v>
      </c>
    </row>
    <row r="102" spans="1:37" x14ac:dyDescent="0.25">
      <c r="A102" s="91" t="s">
        <v>106</v>
      </c>
      <c r="B102" s="104"/>
      <c r="C102" s="104">
        <v>48</v>
      </c>
      <c r="D102" s="104">
        <v>48.4</v>
      </c>
      <c r="E102" s="104">
        <v>52.5</v>
      </c>
      <c r="F102" s="104">
        <v>55</v>
      </c>
      <c r="G102" s="104">
        <v>62</v>
      </c>
      <c r="H102" s="104">
        <v>70</v>
      </c>
      <c r="I102" s="104">
        <v>64</v>
      </c>
      <c r="J102" s="104">
        <v>78</v>
      </c>
      <c r="K102" s="104">
        <v>74</v>
      </c>
      <c r="L102" s="104">
        <v>70</v>
      </c>
      <c r="M102" s="104">
        <v>71</v>
      </c>
      <c r="N102" s="104">
        <v>80.900000000000006</v>
      </c>
      <c r="O102" s="104">
        <v>80.599999999999994</v>
      </c>
      <c r="P102" s="104">
        <v>73.2</v>
      </c>
      <c r="Q102" s="104">
        <v>76.900000000000006</v>
      </c>
      <c r="R102" s="104">
        <v>78.400000000000006</v>
      </c>
      <c r="S102" s="104">
        <v>72.8</v>
      </c>
      <c r="T102" s="104">
        <v>76</v>
      </c>
      <c r="U102" s="104">
        <v>76</v>
      </c>
      <c r="V102" s="104">
        <v>78.099999999999994</v>
      </c>
      <c r="W102" s="104">
        <v>69.8</v>
      </c>
      <c r="X102" s="104">
        <v>67.8</v>
      </c>
      <c r="Y102" s="104">
        <v>70.8</v>
      </c>
      <c r="Z102" s="104">
        <v>77.5</v>
      </c>
      <c r="AA102" s="104">
        <v>84.5</v>
      </c>
      <c r="AB102" s="104">
        <v>84.5</v>
      </c>
      <c r="AC102" s="104">
        <v>84.5</v>
      </c>
      <c r="AD102" s="104">
        <v>88.1</v>
      </c>
      <c r="AE102" s="104">
        <v>66.3</v>
      </c>
      <c r="AF102" s="104">
        <v>54.3</v>
      </c>
      <c r="AG102" s="103">
        <v>240</v>
      </c>
      <c r="AH102" s="48">
        <f t="shared" si="13"/>
        <v>88.1</v>
      </c>
      <c r="AI102" s="49">
        <f t="shared" si="14"/>
        <v>48</v>
      </c>
    </row>
    <row r="103" spans="1:37" x14ac:dyDescent="0.25">
      <c r="A103" s="91" t="s">
        <v>107</v>
      </c>
      <c r="B103" s="104"/>
      <c r="C103" s="104">
        <f>-73-77</f>
        <v>-150</v>
      </c>
      <c r="D103" s="104">
        <f>-66-69.7</f>
        <v>-135.69999999999999</v>
      </c>
      <c r="E103" s="104">
        <f>-68-71</f>
        <v>-139</v>
      </c>
      <c r="F103" s="104">
        <v>-137</v>
      </c>
      <c r="G103" s="104">
        <v>-134</v>
      </c>
      <c r="H103" s="104">
        <v>-132</v>
      </c>
      <c r="I103" s="104">
        <v>-126</v>
      </c>
      <c r="J103" s="104">
        <v>-103</v>
      </c>
      <c r="K103" s="104">
        <v>-57</v>
      </c>
      <c r="L103" s="104">
        <v>-38</v>
      </c>
      <c r="M103" s="104">
        <v>-44</v>
      </c>
      <c r="N103" s="104">
        <v>-74</v>
      </c>
      <c r="O103" s="104">
        <v>-96</v>
      </c>
      <c r="P103" s="104">
        <v>-86</v>
      </c>
      <c r="Q103" s="104">
        <f>-51.7-53.8</f>
        <v>-105.5</v>
      </c>
      <c r="R103" s="104">
        <f>-54.5-59.7</f>
        <v>-114.2</v>
      </c>
      <c r="S103" s="104">
        <f>-50.2-54.9</f>
        <v>-105.1</v>
      </c>
      <c r="T103" s="104">
        <v>-100</v>
      </c>
      <c r="U103" s="104">
        <v>-100</v>
      </c>
      <c r="V103" s="104">
        <f>-33.3-36</f>
        <v>-69.3</v>
      </c>
      <c r="W103" s="104">
        <v>-14.4</v>
      </c>
      <c r="X103" s="104">
        <v>-0.7</v>
      </c>
      <c r="Y103" s="104">
        <v>-6.7</v>
      </c>
      <c r="Z103" s="104">
        <v>-63</v>
      </c>
      <c r="AA103" s="104">
        <f>-36.2-38.7</f>
        <v>-74.900000000000006</v>
      </c>
      <c r="AB103" s="104">
        <v>-101</v>
      </c>
      <c r="AC103" s="104">
        <v>-120</v>
      </c>
      <c r="AD103" s="104">
        <v>-141</v>
      </c>
      <c r="AE103" s="104">
        <v>-135</v>
      </c>
      <c r="AF103" s="104">
        <v>-146</v>
      </c>
      <c r="AG103" s="103">
        <v>240</v>
      </c>
      <c r="AH103" s="48">
        <f t="shared" si="13"/>
        <v>-0.7</v>
      </c>
      <c r="AI103" s="49">
        <f t="shared" si="14"/>
        <v>-150</v>
      </c>
    </row>
    <row r="104" spans="1:37" x14ac:dyDescent="0.25">
      <c r="A104" s="91" t="s">
        <v>108</v>
      </c>
      <c r="B104" s="104"/>
      <c r="C104" s="104">
        <v>-12.8</v>
      </c>
      <c r="D104" s="104">
        <v>-11.2</v>
      </c>
      <c r="E104" s="104">
        <v>-12.1</v>
      </c>
      <c r="F104" s="104">
        <v>-14</v>
      </c>
      <c r="G104" s="104">
        <v>-10</v>
      </c>
      <c r="H104" s="104">
        <v>-8</v>
      </c>
      <c r="I104" s="104">
        <v>-5</v>
      </c>
      <c r="J104" s="104">
        <v>-3</v>
      </c>
      <c r="K104" s="104">
        <v>4</v>
      </c>
      <c r="L104" s="104">
        <v>4</v>
      </c>
      <c r="M104" s="104">
        <v>6</v>
      </c>
      <c r="N104" s="104">
        <v>-1.6</v>
      </c>
      <c r="O104" s="104">
        <v>-1.4</v>
      </c>
      <c r="P104" s="104">
        <v>-2</v>
      </c>
      <c r="Q104" s="104">
        <v>-3.6</v>
      </c>
      <c r="R104" s="104">
        <v>-5.6</v>
      </c>
      <c r="S104" s="104">
        <v>-3.5</v>
      </c>
      <c r="T104" s="104">
        <v>-2</v>
      </c>
      <c r="U104" s="104">
        <v>-2</v>
      </c>
      <c r="V104" s="104">
        <v>6.3</v>
      </c>
      <c r="W104" s="104">
        <v>14.7</v>
      </c>
      <c r="X104" s="104">
        <v>21.7</v>
      </c>
      <c r="Y104" s="104">
        <v>21</v>
      </c>
      <c r="Z104" s="104">
        <v>13.6</v>
      </c>
      <c r="AA104" s="104">
        <v>10.7</v>
      </c>
      <c r="AB104" s="104">
        <v>10.7</v>
      </c>
      <c r="AC104" s="104">
        <v>10.7</v>
      </c>
      <c r="AD104" s="104">
        <v>1</v>
      </c>
      <c r="AE104" s="104">
        <v>-5.0999999999999996</v>
      </c>
      <c r="AF104" s="104">
        <v>-9.4</v>
      </c>
      <c r="AG104" s="103">
        <v>60</v>
      </c>
      <c r="AH104" s="48">
        <f t="shared" si="13"/>
        <v>21.7</v>
      </c>
      <c r="AI104" s="49">
        <f t="shared" si="14"/>
        <v>-14</v>
      </c>
    </row>
    <row r="105" spans="1:37" x14ac:dyDescent="0.25">
      <c r="A105" s="105" t="s">
        <v>109</v>
      </c>
      <c r="B105" s="106"/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0</v>
      </c>
      <c r="Y105" s="106">
        <v>0</v>
      </c>
      <c r="Z105" s="106">
        <v>0</v>
      </c>
      <c r="AA105" s="106">
        <v>0</v>
      </c>
      <c r="AB105" s="106">
        <v>0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13"/>
        <v>0</v>
      </c>
      <c r="AI105" s="49">
        <f t="shared" si="14"/>
        <v>0</v>
      </c>
    </row>
    <row r="106" spans="1:37" x14ac:dyDescent="0.25">
      <c r="A106" s="105" t="s">
        <v>110</v>
      </c>
      <c r="B106" s="106"/>
      <c r="C106" s="106">
        <v>-25.4</v>
      </c>
      <c r="D106" s="106">
        <v>-19.8</v>
      </c>
      <c r="E106" s="106">
        <v>-23.5</v>
      </c>
      <c r="F106" s="106">
        <v>-29</v>
      </c>
      <c r="G106" s="106">
        <v>-22</v>
      </c>
      <c r="H106" s="106">
        <v>-12</v>
      </c>
      <c r="I106" s="106">
        <v>-8</v>
      </c>
      <c r="J106" s="106">
        <v>3</v>
      </c>
      <c r="K106" s="106">
        <v>52</v>
      </c>
      <c r="L106" s="106">
        <v>46</v>
      </c>
      <c r="M106" s="106">
        <v>60.1</v>
      </c>
      <c r="N106" s="106">
        <v>31.2</v>
      </c>
      <c r="O106" s="106">
        <v>15.3</v>
      </c>
      <c r="P106" s="106">
        <v>16</v>
      </c>
      <c r="Q106" s="106">
        <v>7.7</v>
      </c>
      <c r="R106" s="106">
        <v>8.9</v>
      </c>
      <c r="S106" s="106">
        <v>5.4</v>
      </c>
      <c r="T106" s="106">
        <v>10</v>
      </c>
      <c r="U106" s="106">
        <v>10</v>
      </c>
      <c r="V106" s="106">
        <v>17.7</v>
      </c>
      <c r="W106" s="106">
        <v>65.599999999999994</v>
      </c>
      <c r="X106" s="106">
        <v>65.099999999999994</v>
      </c>
      <c r="Y106" s="106">
        <v>61.9</v>
      </c>
      <c r="Z106" s="106">
        <v>14</v>
      </c>
      <c r="AA106" s="106">
        <v>4.8</v>
      </c>
      <c r="AB106" s="106">
        <v>4.8</v>
      </c>
      <c r="AC106" s="106">
        <v>4.8</v>
      </c>
      <c r="AD106" s="106">
        <v>-46.6</v>
      </c>
      <c r="AE106" s="106">
        <v>-35</v>
      </c>
      <c r="AF106" s="106">
        <v>-30</v>
      </c>
      <c r="AG106" s="107"/>
      <c r="AH106" s="48">
        <f t="shared" si="13"/>
        <v>65.599999999999994</v>
      </c>
      <c r="AI106" s="49">
        <f t="shared" si="14"/>
        <v>-46.6</v>
      </c>
    </row>
    <row r="107" spans="1:37" x14ac:dyDescent="0.25">
      <c r="A107" s="105" t="s">
        <v>111</v>
      </c>
      <c r="B107" s="106"/>
      <c r="C107" s="106">
        <v>0</v>
      </c>
      <c r="D107" s="106">
        <v>0</v>
      </c>
      <c r="E107" s="106">
        <v>0</v>
      </c>
      <c r="F107" s="106">
        <v>0</v>
      </c>
      <c r="G107" s="106">
        <v>0</v>
      </c>
      <c r="H107" s="106">
        <v>0</v>
      </c>
      <c r="I107" s="106">
        <v>0</v>
      </c>
      <c r="J107" s="106">
        <v>0</v>
      </c>
      <c r="K107" s="106">
        <v>0</v>
      </c>
      <c r="L107" s="106">
        <v>0</v>
      </c>
      <c r="M107" s="106">
        <v>0</v>
      </c>
      <c r="N107" s="106">
        <v>0</v>
      </c>
      <c r="O107" s="106">
        <v>0</v>
      </c>
      <c r="P107" s="106">
        <v>0</v>
      </c>
      <c r="Q107" s="106">
        <v>0</v>
      </c>
      <c r="R107" s="106">
        <v>0</v>
      </c>
      <c r="S107" s="106">
        <v>0</v>
      </c>
      <c r="T107" s="106">
        <v>0</v>
      </c>
      <c r="U107" s="106">
        <v>0</v>
      </c>
      <c r="V107" s="106">
        <v>0</v>
      </c>
      <c r="W107" s="106">
        <v>0</v>
      </c>
      <c r="X107" s="106">
        <v>0</v>
      </c>
      <c r="Y107" s="106">
        <v>0</v>
      </c>
      <c r="Z107" s="106">
        <v>0</v>
      </c>
      <c r="AA107" s="106">
        <v>0</v>
      </c>
      <c r="AB107" s="106">
        <v>0</v>
      </c>
      <c r="AC107" s="106">
        <v>0</v>
      </c>
      <c r="AD107" s="106">
        <v>0</v>
      </c>
      <c r="AE107" s="106">
        <v>0</v>
      </c>
      <c r="AF107" s="106">
        <v>0</v>
      </c>
      <c r="AG107" s="108"/>
      <c r="AH107" s="48">
        <f t="shared" si="13"/>
        <v>0</v>
      </c>
      <c r="AI107" s="49">
        <f t="shared" si="14"/>
        <v>0</v>
      </c>
    </row>
    <row r="108" spans="1:37" x14ac:dyDescent="0.25">
      <c r="A108" s="109" t="s">
        <v>112</v>
      </c>
      <c r="B108" s="94"/>
      <c r="C108" s="94">
        <v>74.400000000000006</v>
      </c>
      <c r="D108" s="94">
        <v>74.099999999999994</v>
      </c>
      <c r="E108" s="94">
        <v>82.1</v>
      </c>
      <c r="F108" s="94">
        <v>72</v>
      </c>
      <c r="G108" s="94">
        <v>66</v>
      </c>
      <c r="H108" s="94">
        <v>68</v>
      </c>
      <c r="I108" s="94">
        <v>62</v>
      </c>
      <c r="J108" s="94">
        <v>54</v>
      </c>
      <c r="K108" s="94">
        <v>54</v>
      </c>
      <c r="L108" s="94">
        <v>46</v>
      </c>
      <c r="M108" s="94">
        <v>42.8</v>
      </c>
      <c r="N108" s="94">
        <v>56.4</v>
      </c>
      <c r="O108" s="94">
        <v>48.1</v>
      </c>
      <c r="P108" s="94">
        <v>50.3</v>
      </c>
      <c r="Q108" s="94">
        <v>68.099999999999994</v>
      </c>
      <c r="R108" s="94">
        <v>65.2</v>
      </c>
      <c r="S108" s="94">
        <v>59.1</v>
      </c>
      <c r="T108" s="94">
        <v>58</v>
      </c>
      <c r="U108" s="94">
        <v>58</v>
      </c>
      <c r="V108" s="94">
        <v>30.7</v>
      </c>
      <c r="W108" s="94">
        <v>14.7</v>
      </c>
      <c r="X108" s="94">
        <v>33.799999999999997</v>
      </c>
      <c r="Y108" s="94">
        <v>34.4</v>
      </c>
      <c r="Z108" s="94">
        <v>60.6</v>
      </c>
      <c r="AA108" s="94">
        <v>62.5</v>
      </c>
      <c r="AB108" s="94">
        <v>62.5</v>
      </c>
      <c r="AC108" s="94">
        <v>62.5</v>
      </c>
      <c r="AD108" s="94">
        <v>74.5</v>
      </c>
      <c r="AE108" s="94">
        <v>74.5</v>
      </c>
      <c r="AF108" s="94">
        <v>75.5</v>
      </c>
      <c r="AG108" s="108"/>
      <c r="AH108" s="48">
        <f t="shared" si="13"/>
        <v>82.1</v>
      </c>
      <c r="AI108" s="49">
        <f t="shared" si="14"/>
        <v>14.7</v>
      </c>
    </row>
    <row r="109" spans="1:37" ht="15.75" thickBot="1" x14ac:dyDescent="0.3">
      <c r="A109" s="109" t="s">
        <v>113</v>
      </c>
      <c r="B109" s="94"/>
      <c r="C109" s="94">
        <v>104.5</v>
      </c>
      <c r="D109" s="94">
        <v>107.5</v>
      </c>
      <c r="E109" s="94">
        <v>104</v>
      </c>
      <c r="F109" s="94">
        <v>98</v>
      </c>
      <c r="G109" s="94">
        <v>99</v>
      </c>
      <c r="H109" s="94">
        <v>96</v>
      </c>
      <c r="I109" s="94">
        <v>89</v>
      </c>
      <c r="J109" s="94">
        <v>83</v>
      </c>
      <c r="K109" s="94">
        <v>48</v>
      </c>
      <c r="L109" s="94">
        <v>31</v>
      </c>
      <c r="M109" s="94">
        <v>36.200000000000003</v>
      </c>
      <c r="N109" s="94">
        <v>56.9</v>
      </c>
      <c r="O109" s="94">
        <v>68.400000000000006</v>
      </c>
      <c r="P109" s="94">
        <v>62.1</v>
      </c>
      <c r="Q109" s="94">
        <v>76.599999999999994</v>
      </c>
      <c r="R109" s="94">
        <v>81.8</v>
      </c>
      <c r="S109" s="94">
        <v>75.3</v>
      </c>
      <c r="T109" s="94">
        <v>72</v>
      </c>
      <c r="U109" s="94">
        <v>72</v>
      </c>
      <c r="V109" s="94">
        <v>52</v>
      </c>
      <c r="W109" s="94">
        <v>16.899999999999999</v>
      </c>
      <c r="X109" s="94">
        <v>7.9</v>
      </c>
      <c r="Y109" s="94">
        <v>12.2</v>
      </c>
      <c r="Z109" s="94">
        <v>49.7</v>
      </c>
      <c r="AA109" s="94">
        <v>59.6</v>
      </c>
      <c r="AB109" s="94">
        <v>59.6</v>
      </c>
      <c r="AC109" s="94">
        <v>59.6</v>
      </c>
      <c r="AD109" s="94">
        <v>103</v>
      </c>
      <c r="AE109" s="94">
        <v>103</v>
      </c>
      <c r="AF109" s="94">
        <v>104</v>
      </c>
      <c r="AG109" s="108"/>
      <c r="AH109" s="48">
        <f t="shared" si="13"/>
        <v>107.5</v>
      </c>
      <c r="AI109" s="49">
        <f t="shared" si="14"/>
        <v>7.9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73" t="s">
        <v>248</v>
      </c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26">SUM(B111:B215)</f>
        <v>0</v>
      </c>
      <c r="C216" s="125">
        <f t="shared" si="26"/>
        <v>0</v>
      </c>
      <c r="D216" s="125">
        <f t="shared" si="26"/>
        <v>0</v>
      </c>
      <c r="E216" s="125">
        <f t="shared" si="26"/>
        <v>0</v>
      </c>
      <c r="F216" s="125">
        <f t="shared" si="26"/>
        <v>0</v>
      </c>
      <c r="G216" s="125">
        <f t="shared" si="26"/>
        <v>0</v>
      </c>
      <c r="H216" s="125">
        <f t="shared" si="26"/>
        <v>0</v>
      </c>
      <c r="I216" s="125">
        <f t="shared" si="26"/>
        <v>0</v>
      </c>
      <c r="J216" s="125">
        <f t="shared" si="26"/>
        <v>0</v>
      </c>
      <c r="K216" s="125">
        <f t="shared" si="26"/>
        <v>0</v>
      </c>
      <c r="L216" s="125">
        <f t="shared" si="26"/>
        <v>0</v>
      </c>
      <c r="M216" s="125">
        <f t="shared" si="26"/>
        <v>0</v>
      </c>
      <c r="N216" s="125">
        <f t="shared" si="26"/>
        <v>0</v>
      </c>
      <c r="O216" s="125">
        <f t="shared" si="26"/>
        <v>0</v>
      </c>
      <c r="P216" s="125">
        <f t="shared" si="26"/>
        <v>0</v>
      </c>
      <c r="Q216" s="125">
        <f t="shared" si="26"/>
        <v>0</v>
      </c>
      <c r="R216" s="125">
        <f t="shared" si="26"/>
        <v>0</v>
      </c>
      <c r="S216" s="125">
        <f t="shared" si="26"/>
        <v>0</v>
      </c>
      <c r="T216" s="125">
        <f t="shared" si="26"/>
        <v>0</v>
      </c>
      <c r="U216" s="125">
        <f t="shared" si="26"/>
        <v>0</v>
      </c>
      <c r="V216" s="125">
        <f t="shared" si="26"/>
        <v>0</v>
      </c>
      <c r="W216" s="125">
        <f t="shared" si="26"/>
        <v>0</v>
      </c>
      <c r="X216" s="125">
        <f t="shared" si="26"/>
        <v>0</v>
      </c>
      <c r="Y216" s="125">
        <f t="shared" si="26"/>
        <v>0</v>
      </c>
      <c r="Z216" s="125">
        <f t="shared" si="26"/>
        <v>0</v>
      </c>
      <c r="AA216" s="125">
        <f t="shared" si="26"/>
        <v>0</v>
      </c>
      <c r="AB216" s="125">
        <f t="shared" si="26"/>
        <v>0</v>
      </c>
      <c r="AC216" s="125">
        <f t="shared" si="26"/>
        <v>0</v>
      </c>
      <c r="AD216" s="125">
        <f t="shared" si="26"/>
        <v>0</v>
      </c>
      <c r="AE216" s="125">
        <f t="shared" si="26"/>
        <v>0</v>
      </c>
      <c r="AF216" s="126">
        <f t="shared" si="26"/>
        <v>0</v>
      </c>
      <c r="AG216" s="127">
        <f t="shared" si="26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27">AF218</f>
        <v>0</v>
      </c>
      <c r="C218" s="129">
        <v>0.3</v>
      </c>
      <c r="D218" s="129">
        <f t="shared" ref="D218:P223" si="28">C218</f>
        <v>0.3</v>
      </c>
      <c r="E218" s="129">
        <f t="shared" si="28"/>
        <v>0.3</v>
      </c>
      <c r="F218" s="129">
        <f t="shared" si="28"/>
        <v>0.3</v>
      </c>
      <c r="G218" s="129">
        <f t="shared" si="28"/>
        <v>0.3</v>
      </c>
      <c r="H218" s="129">
        <f t="shared" si="28"/>
        <v>0.3</v>
      </c>
      <c r="I218" s="129">
        <f t="shared" si="28"/>
        <v>0.3</v>
      </c>
      <c r="J218" s="129">
        <f t="shared" si="28"/>
        <v>0.3</v>
      </c>
      <c r="K218" s="129">
        <f t="shared" si="28"/>
        <v>0.3</v>
      </c>
      <c r="L218" s="129">
        <f t="shared" si="28"/>
        <v>0.3</v>
      </c>
      <c r="M218" s="129">
        <f t="shared" si="28"/>
        <v>0.3</v>
      </c>
      <c r="N218" s="129">
        <f t="shared" si="28"/>
        <v>0.3</v>
      </c>
      <c r="O218" s="129">
        <f t="shared" si="28"/>
        <v>0.3</v>
      </c>
      <c r="P218" s="129">
        <f t="shared" si="28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27"/>
        <v>0</v>
      </c>
      <c r="C219" s="117">
        <v>0.4</v>
      </c>
      <c r="D219" s="117">
        <f t="shared" si="28"/>
        <v>0.4</v>
      </c>
      <c r="E219" s="117">
        <f t="shared" si="28"/>
        <v>0.4</v>
      </c>
      <c r="F219" s="117">
        <f t="shared" si="28"/>
        <v>0.4</v>
      </c>
      <c r="G219" s="117">
        <f t="shared" si="28"/>
        <v>0.4</v>
      </c>
      <c r="H219" s="117">
        <f t="shared" si="28"/>
        <v>0.4</v>
      </c>
      <c r="I219" s="117">
        <f t="shared" si="28"/>
        <v>0.4</v>
      </c>
      <c r="J219" s="117">
        <f t="shared" si="28"/>
        <v>0.4</v>
      </c>
      <c r="K219" s="117">
        <f t="shared" si="28"/>
        <v>0.4</v>
      </c>
      <c r="L219" s="117">
        <f t="shared" si="28"/>
        <v>0.4</v>
      </c>
      <c r="M219" s="117">
        <f t="shared" si="28"/>
        <v>0.4</v>
      </c>
      <c r="N219" s="117">
        <f t="shared" si="28"/>
        <v>0.4</v>
      </c>
      <c r="O219" s="117">
        <f t="shared" si="28"/>
        <v>0.4</v>
      </c>
      <c r="P219" s="117">
        <f t="shared" si="28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27"/>
        <v>0</v>
      </c>
      <c r="C220" s="117">
        <v>1.5</v>
      </c>
      <c r="D220" s="117">
        <f t="shared" si="28"/>
        <v>1.5</v>
      </c>
      <c r="E220" s="117">
        <f t="shared" si="28"/>
        <v>1.5</v>
      </c>
      <c r="F220" s="117">
        <f t="shared" si="28"/>
        <v>1.5</v>
      </c>
      <c r="G220" s="117">
        <f t="shared" si="28"/>
        <v>1.5</v>
      </c>
      <c r="H220" s="117">
        <f t="shared" si="28"/>
        <v>1.5</v>
      </c>
      <c r="I220" s="117">
        <f t="shared" si="28"/>
        <v>1.5</v>
      </c>
      <c r="J220" s="117">
        <f t="shared" si="28"/>
        <v>1.5</v>
      </c>
      <c r="K220" s="117">
        <f t="shared" si="28"/>
        <v>1.5</v>
      </c>
      <c r="L220" s="117">
        <f t="shared" si="28"/>
        <v>1.5</v>
      </c>
      <c r="M220" s="117">
        <f t="shared" si="28"/>
        <v>1.5</v>
      </c>
      <c r="N220" s="117">
        <f t="shared" si="28"/>
        <v>1.5</v>
      </c>
      <c r="O220" s="117">
        <f t="shared" si="28"/>
        <v>1.5</v>
      </c>
      <c r="P220" s="117">
        <f t="shared" si="28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27"/>
        <v>0</v>
      </c>
      <c r="C221" s="117">
        <v>0.3</v>
      </c>
      <c r="D221" s="117">
        <f t="shared" si="28"/>
        <v>0.3</v>
      </c>
      <c r="E221" s="117">
        <f t="shared" si="28"/>
        <v>0.3</v>
      </c>
      <c r="F221" s="117">
        <f t="shared" si="28"/>
        <v>0.3</v>
      </c>
      <c r="G221" s="117">
        <f t="shared" si="28"/>
        <v>0.3</v>
      </c>
      <c r="H221" s="117">
        <f t="shared" si="28"/>
        <v>0.3</v>
      </c>
      <c r="I221" s="117">
        <f t="shared" si="28"/>
        <v>0.3</v>
      </c>
      <c r="J221" s="117">
        <f t="shared" si="28"/>
        <v>0.3</v>
      </c>
      <c r="K221" s="117">
        <f t="shared" si="28"/>
        <v>0.3</v>
      </c>
      <c r="L221" s="117">
        <f t="shared" si="28"/>
        <v>0.3</v>
      </c>
      <c r="M221" s="117">
        <f t="shared" si="28"/>
        <v>0.3</v>
      </c>
      <c r="N221" s="117">
        <f t="shared" si="28"/>
        <v>0.3</v>
      </c>
      <c r="O221" s="117">
        <f t="shared" si="28"/>
        <v>0.3</v>
      </c>
      <c r="P221" s="117">
        <f t="shared" si="28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27"/>
        <v>0</v>
      </c>
      <c r="C222" s="117">
        <v>0.4</v>
      </c>
      <c r="D222" s="117">
        <f t="shared" si="28"/>
        <v>0.4</v>
      </c>
      <c r="E222" s="117">
        <f t="shared" si="28"/>
        <v>0.4</v>
      </c>
      <c r="F222" s="117">
        <f t="shared" si="28"/>
        <v>0.4</v>
      </c>
      <c r="G222" s="117">
        <f t="shared" si="28"/>
        <v>0.4</v>
      </c>
      <c r="H222" s="117">
        <f t="shared" si="28"/>
        <v>0.4</v>
      </c>
      <c r="I222" s="117">
        <f t="shared" si="28"/>
        <v>0.4</v>
      </c>
      <c r="J222" s="117">
        <f t="shared" si="28"/>
        <v>0.4</v>
      </c>
      <c r="K222" s="117">
        <f t="shared" si="28"/>
        <v>0.4</v>
      </c>
      <c r="L222" s="117">
        <f t="shared" si="28"/>
        <v>0.4</v>
      </c>
      <c r="M222" s="117">
        <f t="shared" si="28"/>
        <v>0.4</v>
      </c>
      <c r="N222" s="117">
        <f t="shared" si="28"/>
        <v>0.4</v>
      </c>
      <c r="O222" s="117">
        <f t="shared" si="28"/>
        <v>0.4</v>
      </c>
      <c r="P222" s="117">
        <f t="shared" si="28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27"/>
        <v>0</v>
      </c>
      <c r="C223" s="121">
        <v>0.64</v>
      </c>
      <c r="D223" s="121">
        <f t="shared" si="28"/>
        <v>0.64</v>
      </c>
      <c r="E223" s="121">
        <f t="shared" si="28"/>
        <v>0.64</v>
      </c>
      <c r="F223" s="121">
        <f t="shared" si="28"/>
        <v>0.64</v>
      </c>
      <c r="G223" s="121">
        <f t="shared" si="28"/>
        <v>0.64</v>
      </c>
      <c r="H223" s="121">
        <f t="shared" si="28"/>
        <v>0.64</v>
      </c>
      <c r="I223" s="121">
        <f t="shared" si="28"/>
        <v>0.64</v>
      </c>
      <c r="J223" s="121">
        <f t="shared" si="28"/>
        <v>0.64</v>
      </c>
      <c r="K223" s="121">
        <f t="shared" si="28"/>
        <v>0.64</v>
      </c>
      <c r="L223" s="121">
        <f t="shared" si="28"/>
        <v>0.64</v>
      </c>
      <c r="M223" s="121">
        <f t="shared" si="28"/>
        <v>0.64</v>
      </c>
      <c r="N223" s="121">
        <f t="shared" si="28"/>
        <v>0.64</v>
      </c>
      <c r="O223" s="121">
        <f t="shared" si="28"/>
        <v>0.64</v>
      </c>
      <c r="P223" s="121">
        <f t="shared" si="28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9">SUM(B218:B223)</f>
        <v>0</v>
      </c>
      <c r="C224" s="125">
        <f t="shared" si="29"/>
        <v>3.54</v>
      </c>
      <c r="D224" s="125">
        <f t="shared" si="29"/>
        <v>3.54</v>
      </c>
      <c r="E224" s="125">
        <f t="shared" si="29"/>
        <v>3.54</v>
      </c>
      <c r="F224" s="125">
        <f t="shared" si="29"/>
        <v>3.54</v>
      </c>
      <c r="G224" s="125">
        <f t="shared" si="29"/>
        <v>3.54</v>
      </c>
      <c r="H224" s="125">
        <f t="shared" si="29"/>
        <v>3.54</v>
      </c>
      <c r="I224" s="125">
        <f t="shared" si="29"/>
        <v>3.54</v>
      </c>
      <c r="J224" s="125">
        <f t="shared" si="29"/>
        <v>3.54</v>
      </c>
      <c r="K224" s="125">
        <f t="shared" si="29"/>
        <v>3.54</v>
      </c>
      <c r="L224" s="125">
        <f t="shared" si="29"/>
        <v>3.54</v>
      </c>
      <c r="M224" s="125">
        <f t="shared" si="29"/>
        <v>3.54</v>
      </c>
      <c r="N224" s="125">
        <f t="shared" si="29"/>
        <v>3.54</v>
      </c>
      <c r="O224" s="125">
        <f t="shared" si="29"/>
        <v>3.54</v>
      </c>
      <c r="P224" s="125">
        <f t="shared" si="29"/>
        <v>3.54</v>
      </c>
      <c r="Q224" s="125">
        <f t="shared" si="29"/>
        <v>0</v>
      </c>
      <c r="R224" s="125">
        <f t="shared" si="29"/>
        <v>0</v>
      </c>
      <c r="S224" s="125">
        <f t="shared" si="29"/>
        <v>0</v>
      </c>
      <c r="T224" s="125">
        <f t="shared" si="29"/>
        <v>0</v>
      </c>
      <c r="U224" s="125">
        <f t="shared" si="29"/>
        <v>0</v>
      </c>
      <c r="V224" s="125">
        <f t="shared" si="29"/>
        <v>0</v>
      </c>
      <c r="W224" s="125">
        <f t="shared" si="29"/>
        <v>0</v>
      </c>
      <c r="X224" s="125">
        <f t="shared" si="29"/>
        <v>0</v>
      </c>
      <c r="Y224" s="125">
        <f t="shared" si="29"/>
        <v>0</v>
      </c>
      <c r="Z224" s="125">
        <f t="shared" si="29"/>
        <v>0</v>
      </c>
      <c r="AA224" s="125">
        <f t="shared" si="29"/>
        <v>0</v>
      </c>
      <c r="AB224" s="125">
        <f t="shared" si="29"/>
        <v>0</v>
      </c>
      <c r="AC224" s="125">
        <f t="shared" si="29"/>
        <v>0</v>
      </c>
      <c r="AD224" s="125">
        <f t="shared" si="29"/>
        <v>0</v>
      </c>
      <c r="AE224" s="125">
        <f t="shared" si="29"/>
        <v>0</v>
      </c>
      <c r="AF224" s="125">
        <f t="shared" si="29"/>
        <v>0</v>
      </c>
      <c r="AG224" s="134">
        <f t="shared" si="29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1630.1399999999999</v>
      </c>
      <c r="C233" s="150">
        <f>INDEX(G9:N9,1,MATCH(MAX(G81:N81),G81:N81,0))</f>
        <v>0.33333333333333331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29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2079/06/29)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2079/06/29)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30">B81</f>
        <v>942.94</v>
      </c>
      <c r="U238" s="159">
        <f t="shared" si="30"/>
        <v>1128.94</v>
      </c>
      <c r="V238" s="159">
        <f t="shared" si="30"/>
        <v>1137.6400000000001</v>
      </c>
      <c r="W238" s="159">
        <f t="shared" si="30"/>
        <v>1135.3400000000001</v>
      </c>
      <c r="X238" s="159">
        <f t="shared" si="30"/>
        <v>1164.1400000000001</v>
      </c>
      <c r="Y238" s="159">
        <f t="shared" si="30"/>
        <v>1243.24</v>
      </c>
      <c r="Z238" s="159">
        <f t="shared" si="30"/>
        <v>1309.44</v>
      </c>
      <c r="AA238" s="159">
        <f t="shared" si="30"/>
        <v>1335.94</v>
      </c>
      <c r="AB238" s="159">
        <f t="shared" si="30"/>
        <v>1435.24</v>
      </c>
      <c r="AC238" s="159">
        <f t="shared" si="30"/>
        <v>1604.24</v>
      </c>
      <c r="AD238" s="159">
        <f t="shared" si="30"/>
        <v>1596.24</v>
      </c>
      <c r="AE238" s="159">
        <f t="shared" si="30"/>
        <v>1630.1399999999999</v>
      </c>
      <c r="AF238" s="159">
        <f t="shared" si="30"/>
        <v>1549.1399999999999</v>
      </c>
      <c r="AG238" s="159">
        <f t="shared" si="30"/>
        <v>1366.04</v>
      </c>
      <c r="AH238" s="159">
        <f t="shared" si="30"/>
        <v>1392.94</v>
      </c>
      <c r="AI238" s="159">
        <f t="shared" si="30"/>
        <v>1315.44</v>
      </c>
      <c r="AJ238" s="159">
        <f t="shared" si="30"/>
        <v>1270.44</v>
      </c>
      <c r="AK238" s="159">
        <f t="shared" si="30"/>
        <v>1256.24</v>
      </c>
      <c r="AL238" s="159">
        <f t="shared" si="30"/>
        <v>1256.24</v>
      </c>
      <c r="AM238" s="159">
        <f t="shared" si="30"/>
        <v>1327.24</v>
      </c>
      <c r="AN238" s="159">
        <f t="shared" si="30"/>
        <v>1448.14</v>
      </c>
      <c r="AO238" s="159">
        <f t="shared" si="30"/>
        <v>1587.04</v>
      </c>
      <c r="AP238" s="159">
        <f t="shared" si="30"/>
        <v>1662.9399999999998</v>
      </c>
      <c r="AQ238" s="159">
        <f t="shared" si="30"/>
        <v>1556.9399999999998</v>
      </c>
      <c r="AR238" s="159">
        <f t="shared" si="30"/>
        <v>1474.94</v>
      </c>
      <c r="AS238" s="159">
        <f t="shared" si="30"/>
        <v>1468.6399999999999</v>
      </c>
      <c r="AT238" s="159">
        <f t="shared" si="30"/>
        <v>1468.6399999999999</v>
      </c>
      <c r="AU238" s="159">
        <f t="shared" si="30"/>
        <v>1378.64</v>
      </c>
      <c r="AV238" s="159">
        <f t="shared" si="30"/>
        <v>1347.54</v>
      </c>
      <c r="AW238" s="159">
        <f t="shared" si="30"/>
        <v>1232.44</v>
      </c>
      <c r="AX238" s="159">
        <f t="shared" si="30"/>
        <v>1237.04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31">C223</f>
        <v>0.64</v>
      </c>
      <c r="C259" s="162">
        <f t="shared" si="31"/>
        <v>0.64</v>
      </c>
      <c r="D259" s="162">
        <f t="shared" si="31"/>
        <v>0.64</v>
      </c>
      <c r="E259" s="162">
        <f t="shared" si="31"/>
        <v>0.64</v>
      </c>
      <c r="F259" s="162">
        <f t="shared" si="31"/>
        <v>0.64</v>
      </c>
      <c r="G259" s="162">
        <f t="shared" si="31"/>
        <v>0.64</v>
      </c>
      <c r="H259" s="162">
        <f t="shared" si="31"/>
        <v>0.64</v>
      </c>
      <c r="I259" s="162">
        <f t="shared" si="31"/>
        <v>0.64</v>
      </c>
      <c r="J259" s="162">
        <f t="shared" si="31"/>
        <v>0.64</v>
      </c>
      <c r="K259" s="162">
        <f t="shared" si="31"/>
        <v>0.64</v>
      </c>
      <c r="L259" s="162">
        <f t="shared" si="31"/>
        <v>0.64</v>
      </c>
      <c r="M259" s="162">
        <f t="shared" si="31"/>
        <v>0.64</v>
      </c>
      <c r="N259" s="162">
        <f t="shared" si="31"/>
        <v>0.64</v>
      </c>
      <c r="O259" s="162">
        <f t="shared" si="31"/>
        <v>0.64</v>
      </c>
      <c r="P259" s="162">
        <f t="shared" si="31"/>
        <v>0</v>
      </c>
      <c r="Q259" s="162">
        <f t="shared" si="31"/>
        <v>0</v>
      </c>
      <c r="R259" s="162">
        <f t="shared" si="31"/>
        <v>0</v>
      </c>
      <c r="S259" s="162">
        <f t="shared" si="31"/>
        <v>0</v>
      </c>
      <c r="T259" s="162">
        <f t="shared" si="31"/>
        <v>0</v>
      </c>
      <c r="U259" s="162">
        <f t="shared" si="31"/>
        <v>0</v>
      </c>
      <c r="V259" s="162">
        <f t="shared" si="31"/>
        <v>0</v>
      </c>
      <c r="W259" s="162">
        <f t="shared" si="31"/>
        <v>0</v>
      </c>
      <c r="X259" s="162">
        <f t="shared" si="31"/>
        <v>0</v>
      </c>
      <c r="Y259" s="162">
        <f t="shared" si="31"/>
        <v>0</v>
      </c>
      <c r="Z259" s="162">
        <f t="shared" si="31"/>
        <v>0</v>
      </c>
      <c r="AA259" s="162">
        <f t="shared" si="31"/>
        <v>0</v>
      </c>
      <c r="AB259" s="162">
        <f t="shared" si="31"/>
        <v>0</v>
      </c>
      <c r="AC259" s="162">
        <f t="shared" si="31"/>
        <v>0</v>
      </c>
      <c r="AD259" s="162">
        <f t="shared" si="31"/>
        <v>0</v>
      </c>
      <c r="AE259" s="162">
        <f t="shared" si="31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32">IF(B227&lt;100,"",B227-520)</f>
        <v/>
      </c>
      <c r="C260" s="163" t="str">
        <f t="shared" si="32"/>
        <v/>
      </c>
      <c r="D260" s="163" t="str">
        <f t="shared" si="32"/>
        <v/>
      </c>
      <c r="E260" s="163" t="str">
        <f t="shared" si="32"/>
        <v/>
      </c>
      <c r="F260" s="163" t="str">
        <f t="shared" si="32"/>
        <v/>
      </c>
      <c r="G260" s="163" t="str">
        <f t="shared" si="32"/>
        <v/>
      </c>
      <c r="H260" s="163" t="str">
        <f t="shared" si="32"/>
        <v/>
      </c>
      <c r="I260" s="163" t="str">
        <f t="shared" si="32"/>
        <v/>
      </c>
      <c r="J260" s="163" t="str">
        <f t="shared" si="32"/>
        <v/>
      </c>
      <c r="K260" s="163" t="str">
        <f t="shared" si="32"/>
        <v/>
      </c>
      <c r="L260" s="163" t="str">
        <f t="shared" si="32"/>
        <v/>
      </c>
      <c r="M260" s="163" t="str">
        <f t="shared" si="32"/>
        <v/>
      </c>
      <c r="N260" s="163" t="str">
        <f t="shared" si="32"/>
        <v/>
      </c>
      <c r="O260" s="163" t="str">
        <f t="shared" si="32"/>
        <v/>
      </c>
      <c r="P260" s="163" t="str">
        <f t="shared" si="32"/>
        <v/>
      </c>
      <c r="Q260" s="163" t="str">
        <f t="shared" si="32"/>
        <v/>
      </c>
      <c r="R260" s="163" t="str">
        <f t="shared" si="32"/>
        <v/>
      </c>
      <c r="S260" s="163" t="str">
        <f t="shared" si="32"/>
        <v/>
      </c>
      <c r="T260" s="163" t="str">
        <f t="shared" si="32"/>
        <v/>
      </c>
      <c r="U260" s="163" t="str">
        <f t="shared" si="32"/>
        <v/>
      </c>
      <c r="V260" s="163" t="str">
        <f t="shared" si="32"/>
        <v/>
      </c>
      <c r="W260" s="163" t="str">
        <f t="shared" si="32"/>
        <v/>
      </c>
      <c r="X260" s="163" t="str">
        <f t="shared" si="32"/>
        <v/>
      </c>
      <c r="Y260" s="163" t="str">
        <f t="shared" si="32"/>
        <v/>
      </c>
      <c r="Z260" s="163" t="str">
        <f t="shared" si="32"/>
        <v/>
      </c>
      <c r="AA260" s="163" t="str">
        <f t="shared" si="32"/>
        <v/>
      </c>
      <c r="AB260" s="163" t="str">
        <f t="shared" si="32"/>
        <v/>
      </c>
      <c r="AC260" s="163" t="str">
        <f t="shared" si="32"/>
        <v/>
      </c>
      <c r="AD260" s="163" t="str">
        <f t="shared" si="32"/>
        <v/>
      </c>
      <c r="AE260" s="163" t="str">
        <f t="shared" si="32"/>
        <v/>
      </c>
      <c r="AF260" s="163" t="str">
        <f t="shared" si="32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33">IF(B228&lt;100,"",B228-620)</f>
        <v/>
      </c>
      <c r="C261" s="163" t="str">
        <f t="shared" si="33"/>
        <v/>
      </c>
      <c r="D261" s="163" t="str">
        <f t="shared" si="33"/>
        <v/>
      </c>
      <c r="E261" s="163" t="str">
        <f t="shared" si="33"/>
        <v/>
      </c>
      <c r="F261" s="163" t="str">
        <f t="shared" si="33"/>
        <v/>
      </c>
      <c r="G261" s="163" t="str">
        <f t="shared" si="33"/>
        <v/>
      </c>
      <c r="H261" s="163" t="str">
        <f t="shared" si="33"/>
        <v/>
      </c>
      <c r="I261" s="163" t="str">
        <f t="shared" si="33"/>
        <v/>
      </c>
      <c r="J261" s="163" t="str">
        <f t="shared" si="33"/>
        <v/>
      </c>
      <c r="K261" s="163" t="str">
        <f t="shared" si="33"/>
        <v/>
      </c>
      <c r="L261" s="163" t="str">
        <f t="shared" si="33"/>
        <v/>
      </c>
      <c r="M261" s="163" t="str">
        <f t="shared" si="33"/>
        <v/>
      </c>
      <c r="N261" s="163" t="str">
        <f t="shared" si="33"/>
        <v/>
      </c>
      <c r="O261" s="163" t="str">
        <f t="shared" si="33"/>
        <v/>
      </c>
      <c r="P261" s="163" t="str">
        <f t="shared" si="33"/>
        <v/>
      </c>
      <c r="Q261" s="163" t="str">
        <f t="shared" si="33"/>
        <v/>
      </c>
      <c r="R261" s="163" t="str">
        <f t="shared" si="33"/>
        <v/>
      </c>
      <c r="S261" s="163" t="str">
        <f t="shared" si="33"/>
        <v/>
      </c>
      <c r="T261" s="163" t="str">
        <f t="shared" si="33"/>
        <v/>
      </c>
      <c r="U261" s="163" t="str">
        <f t="shared" si="33"/>
        <v/>
      </c>
      <c r="V261" s="163" t="str">
        <f t="shared" si="33"/>
        <v/>
      </c>
      <c r="W261" s="163" t="str">
        <f t="shared" si="33"/>
        <v/>
      </c>
      <c r="X261" s="163" t="str">
        <f t="shared" si="33"/>
        <v/>
      </c>
      <c r="Y261" s="163" t="str">
        <f t="shared" si="33"/>
        <v/>
      </c>
      <c r="Z261" s="163" t="str">
        <f t="shared" si="33"/>
        <v/>
      </c>
      <c r="AA261" s="163" t="str">
        <f t="shared" si="33"/>
        <v/>
      </c>
      <c r="AB261" s="163" t="str">
        <f t="shared" si="33"/>
        <v/>
      </c>
      <c r="AC261" s="163" t="str">
        <f t="shared" si="33"/>
        <v/>
      </c>
      <c r="AD261" s="163" t="str">
        <f t="shared" si="33"/>
        <v/>
      </c>
      <c r="AE261" s="163" t="str">
        <f t="shared" si="33"/>
        <v/>
      </c>
      <c r="AF261" s="163" t="str">
        <f t="shared" si="33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4">IF(B229&lt;100,"",B229-330)</f>
        <v/>
      </c>
      <c r="C262" s="163" t="str">
        <f t="shared" si="34"/>
        <v/>
      </c>
      <c r="D262" s="163" t="str">
        <f t="shared" si="34"/>
        <v/>
      </c>
      <c r="E262" s="163" t="str">
        <f t="shared" si="34"/>
        <v/>
      </c>
      <c r="F262" s="163" t="str">
        <f t="shared" si="34"/>
        <v/>
      </c>
      <c r="G262" s="163" t="str">
        <f t="shared" si="34"/>
        <v/>
      </c>
      <c r="H262" s="163" t="str">
        <f t="shared" si="34"/>
        <v/>
      </c>
      <c r="I262" s="163" t="str">
        <f t="shared" si="34"/>
        <v/>
      </c>
      <c r="J262" s="163" t="str">
        <f t="shared" si="34"/>
        <v/>
      </c>
      <c r="K262" s="163" t="str">
        <f t="shared" si="34"/>
        <v/>
      </c>
      <c r="L262" s="163" t="str">
        <f t="shared" si="34"/>
        <v/>
      </c>
      <c r="M262" s="163" t="str">
        <f t="shared" si="34"/>
        <v/>
      </c>
      <c r="N262" s="163" t="str">
        <f t="shared" si="34"/>
        <v/>
      </c>
      <c r="O262" s="163" t="str">
        <f t="shared" si="34"/>
        <v/>
      </c>
      <c r="P262" s="163" t="str">
        <f t="shared" si="34"/>
        <v/>
      </c>
      <c r="Q262" s="163" t="str">
        <f t="shared" si="34"/>
        <v/>
      </c>
      <c r="R262" s="163" t="str">
        <f t="shared" si="34"/>
        <v/>
      </c>
      <c r="S262" s="163" t="str">
        <f t="shared" si="34"/>
        <v/>
      </c>
      <c r="T262" s="163" t="str">
        <f t="shared" si="34"/>
        <v/>
      </c>
      <c r="U262" s="163" t="str">
        <f t="shared" si="34"/>
        <v/>
      </c>
      <c r="V262" s="163" t="str">
        <f t="shared" si="34"/>
        <v/>
      </c>
      <c r="W262" s="163" t="str">
        <f t="shared" si="34"/>
        <v/>
      </c>
      <c r="X262" s="163" t="str">
        <f t="shared" si="34"/>
        <v/>
      </c>
      <c r="Y262" s="163" t="str">
        <f t="shared" si="34"/>
        <v/>
      </c>
      <c r="Z262" s="163" t="str">
        <f t="shared" si="34"/>
        <v/>
      </c>
      <c r="AA262" s="163" t="str">
        <f t="shared" si="34"/>
        <v/>
      </c>
      <c r="AB262" s="163" t="str">
        <f t="shared" si="34"/>
        <v/>
      </c>
      <c r="AC262" s="163" t="str">
        <f t="shared" si="34"/>
        <v/>
      </c>
      <c r="AD262" s="163" t="str">
        <f t="shared" si="34"/>
        <v/>
      </c>
      <c r="AE262" s="163" t="str">
        <f t="shared" si="34"/>
        <v/>
      </c>
      <c r="AF262" s="163" t="str">
        <f t="shared" si="34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5">IF(B230&lt;100,"",B230-1500)</f>
        <v/>
      </c>
      <c r="C263" s="163" t="str">
        <f t="shared" si="35"/>
        <v/>
      </c>
      <c r="D263" s="163" t="str">
        <f t="shared" si="35"/>
        <v/>
      </c>
      <c r="E263" s="163" t="str">
        <f t="shared" si="35"/>
        <v/>
      </c>
      <c r="F263" s="163" t="str">
        <f t="shared" si="35"/>
        <v/>
      </c>
      <c r="G263" s="163" t="str">
        <f t="shared" si="35"/>
        <v/>
      </c>
      <c r="H263" s="163" t="str">
        <f t="shared" si="35"/>
        <v/>
      </c>
      <c r="I263" s="163" t="str">
        <f t="shared" si="35"/>
        <v/>
      </c>
      <c r="J263" s="163" t="str">
        <f t="shared" si="35"/>
        <v/>
      </c>
      <c r="K263" s="163" t="str">
        <f t="shared" si="35"/>
        <v/>
      </c>
      <c r="L263" s="163" t="str">
        <f t="shared" si="35"/>
        <v/>
      </c>
      <c r="M263" s="163" t="str">
        <f t="shared" si="35"/>
        <v/>
      </c>
      <c r="N263" s="163" t="str">
        <f t="shared" si="35"/>
        <v/>
      </c>
      <c r="O263" s="163" t="str">
        <f t="shared" si="35"/>
        <v/>
      </c>
      <c r="P263" s="163" t="str">
        <f t="shared" si="35"/>
        <v/>
      </c>
      <c r="Q263" s="163" t="str">
        <f t="shared" si="35"/>
        <v/>
      </c>
      <c r="R263" s="163" t="str">
        <f t="shared" si="35"/>
        <v/>
      </c>
      <c r="S263" s="163" t="str">
        <f t="shared" si="35"/>
        <v/>
      </c>
      <c r="T263" s="163" t="str">
        <f t="shared" si="35"/>
        <v/>
      </c>
      <c r="U263" s="163" t="str">
        <f t="shared" si="35"/>
        <v/>
      </c>
      <c r="V263" s="163" t="str">
        <f t="shared" si="35"/>
        <v/>
      </c>
      <c r="W263" s="163" t="str">
        <f t="shared" si="35"/>
        <v/>
      </c>
      <c r="X263" s="163" t="str">
        <f t="shared" si="35"/>
        <v/>
      </c>
      <c r="Y263" s="163" t="str">
        <f t="shared" si="35"/>
        <v/>
      </c>
      <c r="Z263" s="163" t="str">
        <f t="shared" si="35"/>
        <v/>
      </c>
      <c r="AA263" s="163" t="str">
        <f t="shared" si="35"/>
        <v/>
      </c>
      <c r="AB263" s="163" t="str">
        <f t="shared" si="35"/>
        <v/>
      </c>
      <c r="AC263" s="163" t="str">
        <f t="shared" si="35"/>
        <v/>
      </c>
      <c r="AD263" s="163" t="str">
        <f t="shared" si="35"/>
        <v/>
      </c>
      <c r="AE263" s="163" t="str">
        <f t="shared" si="35"/>
        <v/>
      </c>
      <c r="AF263" s="163" t="str">
        <f t="shared" si="35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X11:AF11 B16:AF16 B20:AF23 C103:AF108">
    <cfRule type="expression" dxfId="2976" priority="239">
      <formula>B$9&gt;=20/24</formula>
    </cfRule>
    <cfRule type="expression" dxfId="2975" priority="240">
      <formula>AND(B$9&gt;=14/24,B$9&lt;20/24)</formula>
    </cfRule>
    <cfRule type="expression" dxfId="2974" priority="241">
      <formula>AND(B$9&gt;=8/24,B$9&lt;14/24)</formula>
    </cfRule>
    <cfRule type="expression" dxfId="2973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2972" priority="234">
      <formula>S$9&gt;=20/24</formula>
    </cfRule>
    <cfRule type="expression" dxfId="2971" priority="235">
      <formula>AND(S$9&gt;=14/24,S$9&lt;20/24)</formula>
    </cfRule>
    <cfRule type="expression" dxfId="2970" priority="236">
      <formula>AND(S$9&gt;=8/24,S$9&lt;14/24)</formula>
    </cfRule>
    <cfRule type="expression" dxfId="2969" priority="237">
      <formula>S$9&lt;8/24</formula>
    </cfRule>
  </conditionalFormatting>
  <conditionalFormatting sqref="AG57 X11:AE11 B12:AE16 S39:AF39 B18:AF18 B37:AF37 B20:AF23 AF11:AF16">
    <cfRule type="expression" dxfId="2968" priority="233">
      <formula>B11&gt;$AG11</formula>
    </cfRule>
  </conditionalFormatting>
  <conditionalFormatting sqref="A91:A101 A11:A14 A51:A78 A87:A89 A194:A224 A38:A49 A110:A181 A34:A35 A83:A85 A80:A81 A103:A105 A31:A32 A18:A29 A16">
    <cfRule type="expression" dxfId="2967" priority="232">
      <formula>$AH11=0</formula>
    </cfRule>
  </conditionalFormatting>
  <conditionalFormatting sqref="A106">
    <cfRule type="expression" dxfId="2966" priority="231">
      <formula>$AH106=0</formula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965" priority="229">
      <formula>$AH37=0</formula>
    </cfRule>
  </conditionalFormatting>
  <conditionalFormatting sqref="A90">
    <cfRule type="expression" dxfId="2964" priority="228">
      <formula>$AH90=0</formula>
    </cfRule>
  </conditionalFormatting>
  <conditionalFormatting sqref="A15">
    <cfRule type="expression" dxfId="2963" priority="227">
      <formula>$AH15=0</formula>
    </cfRule>
  </conditionalFormatting>
  <conditionalFormatting sqref="A188:A193">
    <cfRule type="expression" dxfId="2962" priority="226">
      <formula>$AH188=0</formula>
    </cfRule>
  </conditionalFormatting>
  <conditionalFormatting sqref="A182:A187">
    <cfRule type="expression" dxfId="2961" priority="225">
      <formula>$AH182=0</formula>
    </cfRule>
  </conditionalFormatting>
  <conditionalFormatting sqref="A50">
    <cfRule type="expression" dxfId="2960" priority="224">
      <formula>$AH50=0</formula>
    </cfRule>
  </conditionalFormatting>
  <conditionalFormatting sqref="A86">
    <cfRule type="expression" dxfId="2959" priority="223">
      <formula>$AH86=0</formula>
    </cfRule>
  </conditionalFormatting>
  <conditionalFormatting sqref="C91:AF91">
    <cfRule type="expression" dxfId="2958" priority="219">
      <formula>C$9&gt;=20/24</formula>
    </cfRule>
    <cfRule type="expression" dxfId="2957" priority="220">
      <formula>AND(C$9&gt;=14/24,C$9&lt;20/24)</formula>
    </cfRule>
    <cfRule type="expression" dxfId="2956" priority="221">
      <formula>AND(C$9&gt;=8/24,C$9&lt;14/24)</formula>
    </cfRule>
    <cfRule type="expression" dxfId="2955" priority="222">
      <formula>C$9&lt;8/24</formula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954" priority="245">
      <formula>C$9&gt;=20/24</formula>
    </cfRule>
    <cfRule type="expression" dxfId="2953" priority="246">
      <formula>AND(C$9&gt;=14/24,C$9&lt;20/24)</formula>
    </cfRule>
    <cfRule type="expression" dxfId="2952" priority="247">
      <formula>AND(C$9&gt;=8/24,C$9&lt;14/24)</formula>
    </cfRule>
    <cfRule type="expression" dxfId="2951" priority="248">
      <formula>C$9&lt;8/24</formula>
    </cfRule>
  </conditionalFormatting>
  <conditionalFormatting sqref="A225">
    <cfRule type="expression" dxfId="2950" priority="249">
      <formula>$AH225=0</formula>
    </cfRule>
  </conditionalFormatting>
  <conditionalFormatting sqref="AG237">
    <cfRule type="expression" dxfId="2949" priority="250">
      <formula>B$9&gt;=20/24</formula>
    </cfRule>
    <cfRule type="expression" dxfId="2948" priority="251">
      <formula>AND(B$9&gt;=14/24,B$9&lt;20/24)</formula>
    </cfRule>
    <cfRule type="expression" dxfId="2947" priority="252">
      <formula>AND(B$9&gt;=8/24,B$9&lt;14/24)</formula>
    </cfRule>
    <cfRule type="expression" dxfId="2946" priority="253">
      <formula>B$9&lt;8/24</formula>
    </cfRule>
  </conditionalFormatting>
  <conditionalFormatting sqref="S8">
    <cfRule type="expression" dxfId="2945" priority="214">
      <formula>U$9&gt;=20/24</formula>
    </cfRule>
    <cfRule type="expression" dxfId="2944" priority="215">
      <formula>AND(U$9&gt;=14/24,U$9&lt;20/24)</formula>
    </cfRule>
    <cfRule type="expression" dxfId="2943" priority="216">
      <formula>AND(U$9&gt;=8/24,U$9&lt;14/24)</formula>
    </cfRule>
    <cfRule type="expression" dxfId="2942" priority="217">
      <formula>U$9&lt;8/24</formula>
    </cfRule>
  </conditionalFormatting>
  <conditionalFormatting sqref="AB8">
    <cfRule type="expression" dxfId="2941" priority="210">
      <formula>AD$9&gt;=20/24</formula>
    </cfRule>
    <cfRule type="expression" dxfId="2940" priority="211">
      <formula>AND(AD$9&gt;=14/24,AD$9&lt;20/24)</formula>
    </cfRule>
    <cfRule type="expression" dxfId="2939" priority="212">
      <formula>AND(AD$9&gt;=8/24,AD$9&lt;14/24)</formula>
    </cfRule>
    <cfRule type="expression" dxfId="2938" priority="213">
      <formula>AD$9&lt;8/24</formula>
    </cfRule>
  </conditionalFormatting>
  <conditionalFormatting sqref="AH237:AX237">
    <cfRule type="expression" dxfId="2937" priority="254">
      <formula>AG$9&gt;=20/24</formula>
    </cfRule>
    <cfRule type="expression" dxfId="2936" priority="255">
      <formula>AND(AG$9&gt;=14/24,AG$9&lt;20/24)</formula>
    </cfRule>
    <cfRule type="expression" dxfId="2935" priority="256">
      <formula>AND(AG$9&gt;=8/24,AG$9&lt;14/24)</formula>
    </cfRule>
    <cfRule type="expression" dxfId="2934" priority="257">
      <formula>AG$9&lt;8/24</formula>
    </cfRule>
  </conditionalFormatting>
  <conditionalFormatting sqref="T237">
    <cfRule type="expression" dxfId="2933" priority="258">
      <formula>AX$9&gt;=20/24</formula>
    </cfRule>
    <cfRule type="expression" dxfId="2932" priority="259">
      <formula>AND(AX$9&gt;=14/24,AX$9&lt;20/24)</formula>
    </cfRule>
    <cfRule type="expression" dxfId="2931" priority="260">
      <formula>AND(AX$9&gt;=8/24,AX$9&lt;14/24)</formula>
    </cfRule>
    <cfRule type="expression" dxfId="2930" priority="261">
      <formula>AX$9&lt;8/24</formula>
    </cfRule>
  </conditionalFormatting>
  <conditionalFormatting sqref="A107:A108">
    <cfRule type="expression" dxfId="2929" priority="209">
      <formula>$AH107=0</formula>
    </cfRule>
  </conditionalFormatting>
  <conditionalFormatting sqref="V46:W47 E46:O47 E63:AF63 Z46:AF47">
    <cfRule type="expression" dxfId="2928" priority="205">
      <formula>E$9&gt;=20/24</formula>
    </cfRule>
    <cfRule type="expression" dxfId="2927" priority="206">
      <formula>AND(E$9&gt;=14/24,E$9&lt;20/24)</formula>
    </cfRule>
    <cfRule type="expression" dxfId="2926" priority="207">
      <formula>AND(E$9&gt;=8/24,E$9&lt;14/24)</formula>
    </cfRule>
    <cfRule type="expression" dxfId="2925" priority="208">
      <formula>E$9&lt;8/24</formula>
    </cfRule>
  </conditionalFormatting>
  <conditionalFormatting sqref="E45:O45 S45:W45 Z45:AF45">
    <cfRule type="expression" dxfId="2924" priority="201">
      <formula>E$9&gt;=20/24</formula>
    </cfRule>
    <cfRule type="expression" dxfId="2923" priority="202">
      <formula>AND(E$9&gt;=14/24,E$9&lt;20/24)</formula>
    </cfRule>
    <cfRule type="expression" dxfId="2922" priority="203">
      <formula>AND(E$9&gt;=8/24,E$9&lt;14/24)</formula>
    </cfRule>
    <cfRule type="expression" dxfId="2921" priority="204">
      <formula>E$9&lt;8/24</formula>
    </cfRule>
  </conditionalFormatting>
  <conditionalFormatting sqref="E45:O47 V45:W47 S45:U45 Z45:AF47">
    <cfRule type="expression" dxfId="2920" priority="200">
      <formula>E45&gt;$AG45</formula>
    </cfRule>
  </conditionalFormatting>
  <conditionalFormatting sqref="C88:AF88 E65:J65 E64:L64 M39:R39 M64:AC65 Z66:AC66 AD64:AD66 C75:AF78 D92:AF98 X25:AF27 X29:AF29 X18:AF18 X31:AF34 X12:AF14 S59:AF61 AE64:AF67">
    <cfRule type="expression" dxfId="2919" priority="196">
      <formula>C$9&gt;=20/24</formula>
    </cfRule>
    <cfRule type="expression" dxfId="2918" priority="197">
      <formula>AND(C$9&gt;=14/24,C$9&lt;20/24)</formula>
    </cfRule>
    <cfRule type="expression" dxfId="2917" priority="198">
      <formula>AND(C$9&gt;=8/24,C$9&lt;14/24)</formula>
    </cfRule>
    <cfRule type="expression" dxfId="2916" priority="199">
      <formula>C$9&lt;8/24</formula>
    </cfRule>
  </conditionalFormatting>
  <conditionalFormatting sqref="X35:AF35">
    <cfRule type="expression" dxfId="2915" priority="192">
      <formula>X$9&gt;=20/24</formula>
    </cfRule>
    <cfRule type="expression" dxfId="2914" priority="193">
      <formula>AND(X$9&gt;=14/24,X$9&lt;20/24)</formula>
    </cfRule>
    <cfRule type="expression" dxfId="2913" priority="194">
      <formula>AND(X$9&gt;=8/24,X$9&lt;14/24)</formula>
    </cfRule>
    <cfRule type="expression" dxfId="2912" priority="195">
      <formula>X$9&lt;8/24</formula>
    </cfRule>
  </conditionalFormatting>
  <conditionalFormatting sqref="AF48:AF49 E48:O48 M39:R39 C57:AF57 X25:AF29 X31:AF35 S59:AF61">
    <cfRule type="expression" dxfId="2911" priority="191">
      <formula>C25&gt;$AG25</formula>
    </cfRule>
  </conditionalFormatting>
  <conditionalFormatting sqref="X37:AF37">
    <cfRule type="expression" dxfId="2910" priority="187">
      <formula>X$9&gt;=20/24</formula>
    </cfRule>
    <cfRule type="expression" dxfId="2909" priority="188">
      <formula>AND(X$9&gt;=14/24,X$9&lt;20/24)</formula>
    </cfRule>
    <cfRule type="expression" dxfId="2908" priority="189">
      <formula>AND(X$9&gt;=8/24,X$9&lt;14/24)</formula>
    </cfRule>
    <cfRule type="expression" dxfId="2907" priority="190">
      <formula>X$9&lt;8/24</formula>
    </cfRule>
  </conditionalFormatting>
  <conditionalFormatting sqref="X15:AF15">
    <cfRule type="expression" dxfId="2906" priority="183">
      <formula>X$9&gt;=20/24</formula>
    </cfRule>
    <cfRule type="expression" dxfId="2905" priority="184">
      <formula>AND(X$9&gt;=14/24,X$9&lt;20/24)</formula>
    </cfRule>
    <cfRule type="expression" dxfId="2904" priority="185">
      <formula>AND(X$9&gt;=8/24,X$9&lt;14/24)</formula>
    </cfRule>
    <cfRule type="expression" dxfId="2903" priority="186">
      <formula>X$9&lt;8/24</formula>
    </cfRule>
  </conditionalFormatting>
  <conditionalFormatting sqref="X36:AF36">
    <cfRule type="expression" dxfId="2902" priority="179">
      <formula>X$9&gt;=20/24</formula>
    </cfRule>
    <cfRule type="expression" dxfId="2901" priority="180">
      <formula>AND(X$9&gt;=14/24,X$9&lt;20/24)</formula>
    </cfRule>
    <cfRule type="expression" dxfId="2900" priority="181">
      <formula>AND(X$9&gt;=8/24,X$9&lt;14/24)</formula>
    </cfRule>
    <cfRule type="expression" dxfId="2899" priority="182">
      <formula>X$9&lt;8/24</formula>
    </cfRule>
  </conditionalFormatting>
  <conditionalFormatting sqref="X36:AF36">
    <cfRule type="expression" dxfId="2898" priority="178">
      <formula>X36&gt;$AG36</formula>
    </cfRule>
  </conditionalFormatting>
  <conditionalFormatting sqref="V48:AE49">
    <cfRule type="expression" dxfId="2897" priority="174">
      <formula>V$9&gt;=20/24</formula>
    </cfRule>
    <cfRule type="expression" dxfId="2896" priority="175">
      <formula>AND(V$9&gt;=14/24,V$9&lt;20/24)</formula>
    </cfRule>
    <cfRule type="expression" dxfId="2895" priority="176">
      <formula>AND(V$9&gt;=8/24,V$9&lt;14/24)</formula>
    </cfRule>
    <cfRule type="expression" dxfId="2894" priority="177">
      <formula>V$9&lt;8/24</formula>
    </cfRule>
  </conditionalFormatting>
  <conditionalFormatting sqref="V48:AE49">
    <cfRule type="expression" dxfId="2893" priority="173">
      <formula>V48&gt;$AG48</formula>
    </cfRule>
  </conditionalFormatting>
  <conditionalFormatting sqref="R50:R51 P45:R49 S46:U51 V50:AF51">
    <cfRule type="expression" dxfId="2892" priority="169">
      <formula>P$9&gt;=20/24</formula>
    </cfRule>
    <cfRule type="expression" dxfId="2891" priority="170">
      <formula>AND(P$9&gt;=14/24,P$9&lt;20/24)</formula>
    </cfRule>
    <cfRule type="expression" dxfId="2890" priority="171">
      <formula>AND(P$9&gt;=8/24,P$9&lt;14/24)</formula>
    </cfRule>
    <cfRule type="expression" dxfId="2889" priority="172">
      <formula>P$9&lt;8/24</formula>
    </cfRule>
  </conditionalFormatting>
  <conditionalFormatting sqref="R50:R51 P45:R49 S46:U51 V50:AF51">
    <cfRule type="expression" dxfId="2888" priority="168">
      <formula>P45&gt;$AG45</formula>
    </cfRule>
  </conditionalFormatting>
  <conditionalFormatting sqref="X28:AF28">
    <cfRule type="expression" dxfId="2887" priority="164">
      <formula>X$9&gt;=20/24</formula>
    </cfRule>
    <cfRule type="expression" dxfId="2886" priority="165">
      <formula>AND(X$9&gt;=14/24,X$9&lt;20/24)</formula>
    </cfRule>
    <cfRule type="expression" dxfId="2885" priority="166">
      <formula>AND(X$9&gt;=8/24,X$9&lt;14/24)</formula>
    </cfRule>
    <cfRule type="expression" dxfId="2884" priority="167">
      <formula>X$9&lt;8/24</formula>
    </cfRule>
  </conditionalFormatting>
  <conditionalFormatting sqref="X19:AF19 X24:AF24">
    <cfRule type="expression" dxfId="2883" priority="160">
      <formula>X$9&gt;=20/24</formula>
    </cfRule>
    <cfRule type="expression" dxfId="2882" priority="161">
      <formula>AND(X$9&gt;=14/24,X$9&lt;20/24)</formula>
    </cfRule>
    <cfRule type="expression" dxfId="2881" priority="162">
      <formula>AND(X$9&gt;=8/24,X$9&lt;14/24)</formula>
    </cfRule>
    <cfRule type="expression" dxfId="2880" priority="163">
      <formula>X$9&lt;8/24</formula>
    </cfRule>
  </conditionalFormatting>
  <conditionalFormatting sqref="X19:AF19 X24:AF24">
    <cfRule type="expression" dxfId="2879" priority="159">
      <formula>X19&gt;$AG19</formula>
    </cfRule>
  </conditionalFormatting>
  <conditionalFormatting sqref="D45">
    <cfRule type="expression" dxfId="2878" priority="155">
      <formula>D$9&gt;=20/24</formula>
    </cfRule>
    <cfRule type="expression" dxfId="2877" priority="156">
      <formula>AND(D$9&gt;=14/24,D$9&lt;20/24)</formula>
    </cfRule>
    <cfRule type="expression" dxfId="2876" priority="157">
      <formula>AND(D$9&gt;=8/24,D$9&lt;14/24)</formula>
    </cfRule>
    <cfRule type="expression" dxfId="2875" priority="158">
      <formula>D$9&lt;8/24</formula>
    </cfRule>
  </conditionalFormatting>
  <conditionalFormatting sqref="D45">
    <cfRule type="expression" dxfId="2874" priority="154">
      <formula>D45&gt;$AG45</formula>
    </cfRule>
  </conditionalFormatting>
  <conditionalFormatting sqref="X46:Y47">
    <cfRule type="expression" dxfId="2873" priority="150">
      <formula>X$9&gt;=20/24</formula>
    </cfRule>
    <cfRule type="expression" dxfId="2872" priority="151">
      <formula>AND(X$9&gt;=14/24,X$9&lt;20/24)</formula>
    </cfRule>
    <cfRule type="expression" dxfId="2871" priority="152">
      <formula>AND(X$9&gt;=8/24,X$9&lt;14/24)</formula>
    </cfRule>
    <cfRule type="expression" dxfId="2870" priority="153">
      <formula>X$9&lt;8/24</formula>
    </cfRule>
  </conditionalFormatting>
  <conditionalFormatting sqref="X45:Y45">
    <cfRule type="expression" dxfId="2869" priority="146">
      <formula>X$9&gt;=20/24</formula>
    </cfRule>
    <cfRule type="expression" dxfId="2868" priority="147">
      <formula>AND(X$9&gt;=14/24,X$9&lt;20/24)</formula>
    </cfRule>
    <cfRule type="expression" dxfId="2867" priority="148">
      <formula>AND(X$9&gt;=8/24,X$9&lt;14/24)</formula>
    </cfRule>
    <cfRule type="expression" dxfId="2866" priority="149">
      <formula>X$9&lt;8/24</formula>
    </cfRule>
  </conditionalFormatting>
  <conditionalFormatting sqref="X45:Y47">
    <cfRule type="expression" dxfId="2865" priority="145">
      <formula>X45&gt;$AG45</formula>
    </cfRule>
  </conditionalFormatting>
  <conditionalFormatting sqref="B101 B80:AF80 B89:AF89 B103:B108 B11:W11">
    <cfRule type="expression" dxfId="2864" priority="141">
      <formula>B$9&gt;=20/24</formula>
    </cfRule>
    <cfRule type="expression" dxfId="2863" priority="142">
      <formula>AND(B$9&gt;=14/24,B$9&lt;20/24)</formula>
    </cfRule>
    <cfRule type="expression" dxfId="2862" priority="143">
      <formula>AND(B$9&gt;=8/24,B$9&lt;14/24)</formula>
    </cfRule>
    <cfRule type="expression" dxfId="2861" priority="144">
      <formula>B$9&lt;8/24</formula>
    </cfRule>
  </conditionalFormatting>
  <conditionalFormatting sqref="B39:L39">
    <cfRule type="expression" dxfId="2860" priority="137">
      <formula>B$9&gt;=20/24</formula>
    </cfRule>
    <cfRule type="expression" dxfId="2859" priority="138">
      <formula>AND(B$9&gt;=14/24,B$9&lt;20/24)</formula>
    </cfRule>
    <cfRule type="expression" dxfId="2858" priority="139">
      <formula>AND(B$9&gt;=8/24,B$9&lt;14/24)</formula>
    </cfRule>
    <cfRule type="expression" dxfId="2857" priority="140">
      <formula>B$9&lt;8/24</formula>
    </cfRule>
  </conditionalFormatting>
  <conditionalFormatting sqref="B39:L39 B11:W11">
    <cfRule type="expression" dxfId="2856" priority="136">
      <formula>B11&gt;$AG11</formula>
    </cfRule>
  </conditionalFormatting>
  <conditionalFormatting sqref="B91">
    <cfRule type="expression" dxfId="2855" priority="132">
      <formula>B$9&gt;=20/24</formula>
    </cfRule>
    <cfRule type="expression" dxfId="2854" priority="133">
      <formula>AND(B$9&gt;=14/24,B$9&lt;20/24)</formula>
    </cfRule>
    <cfRule type="expression" dxfId="2853" priority="134">
      <formula>AND(B$9&gt;=8/24,B$9&lt;14/24)</formula>
    </cfRule>
    <cfRule type="expression" dxfId="2852" priority="135">
      <formula>B$9&lt;8/24</formula>
    </cfRule>
  </conditionalFormatting>
  <conditionalFormatting sqref="B46:D47 B63:D63 B38:AF38">
    <cfRule type="expression" dxfId="2851" priority="128">
      <formula>B$9&gt;=20/24</formula>
    </cfRule>
    <cfRule type="expression" dxfId="2850" priority="129">
      <formula>AND(B$9&gt;=14/24,B$9&lt;20/24)</formula>
    </cfRule>
    <cfRule type="expression" dxfId="2849" priority="130">
      <formula>AND(B$9&gt;=8/24,B$9&lt;14/24)</formula>
    </cfRule>
    <cfRule type="expression" dxfId="2848" priority="131">
      <formula>B$9&lt;8/24</formula>
    </cfRule>
  </conditionalFormatting>
  <conditionalFormatting sqref="B45:C45">
    <cfRule type="expression" dxfId="2847" priority="124">
      <formula>B$9&gt;=20/24</formula>
    </cfRule>
    <cfRule type="expression" dxfId="2846" priority="125">
      <formula>AND(B$9&gt;=14/24,B$9&lt;20/24)</formula>
    </cfRule>
    <cfRule type="expression" dxfId="2845" priority="126">
      <formula>AND(B$9&gt;=8/24,B$9&lt;14/24)</formula>
    </cfRule>
    <cfRule type="expression" dxfId="2844" priority="127">
      <formula>B$9&lt;8/24</formula>
    </cfRule>
  </conditionalFormatting>
  <conditionalFormatting sqref="B45:C47 D46:D47 B38:AF38">
    <cfRule type="expression" dxfId="2843" priority="123">
      <formula>B38&gt;$AG38</formula>
    </cfRule>
  </conditionalFormatting>
  <conditionalFormatting sqref="B59:B62 B75:B79 B81:AF81 B88 C62:AG62 C79:AG79 B90:AF90 B92:C98 B64:D73 C59:R61 E66:K73 K65 L65:L73 B12:W14 B18:W18 B25:W27 B29:W29 B31:W34 M66:Y73 Z67:AD73 AE68:AF73">
    <cfRule type="expression" dxfId="2842" priority="119">
      <formula>B$9&gt;=20/24</formula>
    </cfRule>
    <cfRule type="expression" dxfId="2841" priority="120">
      <formula>AND(B$9&gt;=14/24,B$9&lt;20/24)</formula>
    </cfRule>
    <cfRule type="expression" dxfId="2840" priority="121">
      <formula>AND(B$9&gt;=8/24,B$9&lt;14/24)</formula>
    </cfRule>
    <cfRule type="expression" dxfId="2839" priority="122">
      <formula>B$9&lt;8/24</formula>
    </cfRule>
  </conditionalFormatting>
  <conditionalFormatting sqref="B35:W35">
    <cfRule type="expression" dxfId="2838" priority="115">
      <formula>B$9&gt;=20/24</formula>
    </cfRule>
    <cfRule type="expression" dxfId="2837" priority="116">
      <formula>AND(B$9&gt;=14/24,B$9&lt;20/24)</formula>
    </cfRule>
    <cfRule type="expression" dxfId="2836" priority="117">
      <formula>AND(B$9&gt;=8/24,B$9&lt;14/24)</formula>
    </cfRule>
    <cfRule type="expression" dxfId="2835" priority="118">
      <formula>B$9&lt;8/24</formula>
    </cfRule>
  </conditionalFormatting>
  <conditionalFormatting sqref="B57:B62 B40:AG40 C58:AG58 C62:AG62 B48:D49 C59:R61 E49:O49 B25:W29 B31:W35">
    <cfRule type="expression" dxfId="2834" priority="114">
      <formula>B25&gt;$AG25</formula>
    </cfRule>
  </conditionalFormatting>
  <conditionalFormatting sqref="B37:W37">
    <cfRule type="expression" dxfId="2833" priority="110">
      <formula>B$9&gt;=20/24</formula>
    </cfRule>
    <cfRule type="expression" dxfId="2832" priority="111">
      <formula>AND(B$9&gt;=14/24,B$9&lt;20/24)</formula>
    </cfRule>
    <cfRule type="expression" dxfId="2831" priority="112">
      <formula>AND(B$9&gt;=8/24,B$9&lt;14/24)</formula>
    </cfRule>
    <cfRule type="expression" dxfId="2830" priority="113">
      <formula>B$9&lt;8/24</formula>
    </cfRule>
  </conditionalFormatting>
  <conditionalFormatting sqref="B15:W15">
    <cfRule type="expression" dxfId="2829" priority="106">
      <formula>B$9&gt;=20/24</formula>
    </cfRule>
    <cfRule type="expression" dxfId="2828" priority="107">
      <formula>AND(B$9&gt;=14/24,B$9&lt;20/24)</formula>
    </cfRule>
    <cfRule type="expression" dxfId="2827" priority="108">
      <formula>AND(B$9&gt;=8/24,B$9&lt;14/24)</formula>
    </cfRule>
    <cfRule type="expression" dxfId="2826" priority="109">
      <formula>B$9&lt;8/24</formula>
    </cfRule>
  </conditionalFormatting>
  <conditionalFormatting sqref="B36:W36">
    <cfRule type="expression" dxfId="2825" priority="102">
      <formula>B$9&gt;=20/24</formula>
    </cfRule>
    <cfRule type="expression" dxfId="2824" priority="103">
      <formula>AND(B$9&gt;=14/24,B$9&lt;20/24)</formula>
    </cfRule>
    <cfRule type="expression" dxfId="2823" priority="104">
      <formula>AND(B$9&gt;=8/24,B$9&lt;14/24)</formula>
    </cfRule>
    <cfRule type="expression" dxfId="2822" priority="105">
      <formula>B$9&lt;8/24</formula>
    </cfRule>
  </conditionalFormatting>
  <conditionalFormatting sqref="B36:W36">
    <cfRule type="expression" dxfId="2821" priority="101">
      <formula>B36&gt;$AG36</formula>
    </cfRule>
  </conditionalFormatting>
  <conditionalFormatting sqref="B50:Q56 R52:W56">
    <cfRule type="expression" dxfId="2820" priority="97">
      <formula>B$9&gt;=20/24</formula>
    </cfRule>
    <cfRule type="expression" dxfId="2819" priority="98">
      <formula>AND(B$9&gt;=14/24,B$9&lt;20/24)</formula>
    </cfRule>
    <cfRule type="expression" dxfId="2818" priority="99">
      <formula>AND(B$9&gt;=8/24,B$9&lt;14/24)</formula>
    </cfRule>
    <cfRule type="expression" dxfId="2817" priority="100">
      <formula>B$9&lt;8/24</formula>
    </cfRule>
  </conditionalFormatting>
  <conditionalFormatting sqref="B50:Q56 R52:W56">
    <cfRule type="expression" dxfId="2816" priority="96">
      <formula>B50&gt;$AG50</formula>
    </cfRule>
  </conditionalFormatting>
  <conditionalFormatting sqref="B28:W28">
    <cfRule type="expression" dxfId="2815" priority="92">
      <formula>B$9&gt;=20/24</formula>
    </cfRule>
    <cfRule type="expression" dxfId="2814" priority="93">
      <formula>AND(B$9&gt;=14/24,B$9&lt;20/24)</formula>
    </cfRule>
    <cfRule type="expression" dxfId="2813" priority="94">
      <formula>AND(B$9&gt;=8/24,B$9&lt;14/24)</formula>
    </cfRule>
    <cfRule type="expression" dxfId="2812" priority="95">
      <formula>B$9&lt;8/24</formula>
    </cfRule>
  </conditionalFormatting>
  <conditionalFormatting sqref="B19:W19 B24:W24">
    <cfRule type="expression" dxfId="2811" priority="88">
      <formula>B$9&gt;=20/24</formula>
    </cfRule>
    <cfRule type="expression" dxfId="2810" priority="89">
      <formula>AND(B$9&gt;=14/24,B$9&lt;20/24)</formula>
    </cfRule>
    <cfRule type="expression" dxfId="2809" priority="90">
      <formula>AND(B$9&gt;=8/24,B$9&lt;14/24)</formula>
    </cfRule>
    <cfRule type="expression" dxfId="2808" priority="91">
      <formula>B$9&lt;8/24</formula>
    </cfRule>
  </conditionalFormatting>
  <conditionalFormatting sqref="B19:W19 B24:W24">
    <cfRule type="expression" dxfId="2807" priority="87">
      <formula>B19&gt;$AG19</formula>
    </cfRule>
  </conditionalFormatting>
  <conditionalFormatting sqref="A36">
    <cfRule type="expression" dxfId="2806" priority="86">
      <formula>$AH36=0</formula>
    </cfRule>
  </conditionalFormatting>
  <conditionalFormatting sqref="B74:AF74">
    <cfRule type="expression" dxfId="2805" priority="82">
      <formula>B$9&gt;=20/24</formula>
    </cfRule>
    <cfRule type="expression" dxfId="2804" priority="83">
      <formula>AND(B$9&gt;=14/24,B$9&lt;20/24)</formula>
    </cfRule>
    <cfRule type="expression" dxfId="2803" priority="84">
      <formula>AND(B$9&gt;=8/24,B$9&lt;14/24)</formula>
    </cfRule>
    <cfRule type="expression" dxfId="2802" priority="85">
      <formula>B$9&lt;8/24</formula>
    </cfRule>
  </conditionalFormatting>
  <conditionalFormatting sqref="B83:AF87">
    <cfRule type="expression" dxfId="2801" priority="78">
      <formula>B$9&gt;=20/24</formula>
    </cfRule>
    <cfRule type="expression" dxfId="2800" priority="79">
      <formula>AND(B$9&gt;=14/24,B$9&lt;20/24)</formula>
    </cfRule>
    <cfRule type="expression" dxfId="2799" priority="80">
      <formula>AND(B$9&gt;=8/24,B$9&lt;14/24)</formula>
    </cfRule>
    <cfRule type="expression" dxfId="2798" priority="81">
      <formula>B$9&lt;8/24</formula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C41:AF43">
    <cfRule type="expression" dxfId="2797" priority="74">
      <formula>C$9&gt;=20/24</formula>
    </cfRule>
    <cfRule type="expression" dxfId="2796" priority="75">
      <formula>AND(C$9&gt;=14/24,C$9&lt;20/24)</formula>
    </cfRule>
    <cfRule type="expression" dxfId="2795" priority="76">
      <formula>AND(C$9&gt;=8/24,C$9&lt;14/24)</formula>
    </cfRule>
    <cfRule type="expression" dxfId="2794" priority="77">
      <formula>C$9&lt;8/24</formula>
    </cfRule>
  </conditionalFormatting>
  <conditionalFormatting sqref="C41:AF43">
    <cfRule type="expression" dxfId="2793" priority="73">
      <formula>C41&gt;$AG41</formula>
    </cfRule>
  </conditionalFormatting>
  <conditionalFormatting sqref="B41:B44 C44:AG44">
    <cfRule type="expression" dxfId="2792" priority="69">
      <formula>B$9&gt;=20/24</formula>
    </cfRule>
    <cfRule type="expression" dxfId="2791" priority="70">
      <formula>AND(B$9&gt;=14/24,B$9&lt;20/24)</formula>
    </cfRule>
    <cfRule type="expression" dxfId="2790" priority="71">
      <formula>AND(B$9&gt;=8/24,B$9&lt;14/24)</formula>
    </cfRule>
    <cfRule type="expression" dxfId="2789" priority="72">
      <formula>B$9&lt;8/24</formula>
    </cfRule>
  </conditionalFormatting>
  <conditionalFormatting sqref="B41:B44 C44:AG44">
    <cfRule type="expression" dxfId="2788" priority="68">
      <formula>B41&gt;$AG41</formula>
    </cfRule>
  </conditionalFormatting>
  <conditionalFormatting sqref="C99:AF99">
    <cfRule type="expression" dxfId="2787" priority="64">
      <formula>C$9&gt;=20/24</formula>
    </cfRule>
    <cfRule type="expression" dxfId="2786" priority="65">
      <formula>AND(C$9&gt;=14/24,C$9&lt;20/24)</formula>
    </cfRule>
    <cfRule type="expression" dxfId="2785" priority="66">
      <formula>AND(C$9&gt;=8/24,C$9&lt;14/24)</formula>
    </cfRule>
    <cfRule type="expression" dxfId="2784" priority="67">
      <formula>C$9&lt;8/24</formula>
    </cfRule>
  </conditionalFormatting>
  <conditionalFormatting sqref="B99">
    <cfRule type="expression" dxfId="2783" priority="60">
      <formula>B$9&gt;=20/24</formula>
    </cfRule>
    <cfRule type="expression" dxfId="2782" priority="61">
      <formula>AND(B$9&gt;=14/24,B$9&lt;20/24)</formula>
    </cfRule>
    <cfRule type="expression" dxfId="2781" priority="62">
      <formula>AND(B$9&gt;=8/24,B$9&lt;14/24)</formula>
    </cfRule>
    <cfRule type="expression" dxfId="2780" priority="63">
      <formula>B$9&lt;8/24</formula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2779" priority="54">
      <formula>$AH33=0</formula>
    </cfRule>
  </conditionalFormatting>
  <conditionalFormatting sqref="A82">
    <cfRule type="expression" dxfId="2778" priority="52">
      <formula>$AH82=0</formula>
    </cfRule>
  </conditionalFormatting>
  <conditionalFormatting sqref="A79">
    <cfRule type="expression" dxfId="2777" priority="53">
      <formula>$AH79=0</formula>
    </cfRule>
  </conditionalFormatting>
  <conditionalFormatting sqref="A109">
    <cfRule type="expression" dxfId="2776" priority="43">
      <formula>$AH109=0</formula>
    </cfRule>
  </conditionalFormatting>
  <conditionalFormatting sqref="C102:AF102">
    <cfRule type="expression" dxfId="2775" priority="39">
      <formula>C$9&gt;=20/24</formula>
    </cfRule>
    <cfRule type="expression" dxfId="2774" priority="40">
      <formula>AND(C$9&gt;=14/24,C$9&lt;20/24)</formula>
    </cfRule>
    <cfRule type="expression" dxfId="2773" priority="41">
      <formula>AND(C$9&gt;=8/24,C$9&lt;14/24)</formula>
    </cfRule>
    <cfRule type="expression" dxfId="2772" priority="42">
      <formula>C$9&lt;8/24</formula>
    </cfRule>
  </conditionalFormatting>
  <conditionalFormatting sqref="A102">
    <cfRule type="expression" dxfId="2771" priority="38">
      <formula>$AH102=0</formula>
    </cfRule>
  </conditionalFormatting>
  <conditionalFormatting sqref="B102">
    <cfRule type="expression" dxfId="2770" priority="34">
      <formula>B$9&gt;=20/24</formula>
    </cfRule>
    <cfRule type="expression" dxfId="2769" priority="35">
      <formula>AND(B$9&gt;=14/24,B$9&lt;20/24)</formula>
    </cfRule>
    <cfRule type="expression" dxfId="2768" priority="36">
      <formula>AND(B$9&gt;=8/24,B$9&lt;14/24)</formula>
    </cfRule>
    <cfRule type="expression" dxfId="2767" priority="37">
      <formula>B$9&lt;8/24</formula>
    </cfRule>
  </conditionalFormatting>
  <conditionalFormatting sqref="X52:AF56">
    <cfRule type="expression" dxfId="2766" priority="30">
      <formula>X$9&gt;=20/24</formula>
    </cfRule>
    <cfRule type="expression" dxfId="2765" priority="31">
      <formula>AND(X$9&gt;=14/24,X$9&lt;20/24)</formula>
    </cfRule>
    <cfRule type="expression" dxfId="2764" priority="32">
      <formula>AND(X$9&gt;=8/24,X$9&lt;14/24)</formula>
    </cfRule>
    <cfRule type="expression" dxfId="2763" priority="33">
      <formula>X$9&lt;8/24</formula>
    </cfRule>
  </conditionalFormatting>
  <conditionalFormatting sqref="X52:AF56">
    <cfRule type="expression" dxfId="2762" priority="29">
      <formula>X52&gt;$AG52</formula>
    </cfRule>
  </conditionalFormatting>
  <conditionalFormatting sqref="B17:AF17">
    <cfRule type="expression" dxfId="2761" priority="27">
      <formula>B17&gt;$AG17</formula>
    </cfRule>
  </conditionalFormatting>
  <conditionalFormatting sqref="A17">
    <cfRule type="expression" dxfId="2760" priority="26">
      <formula>$AH17=0</formula>
    </cfRule>
  </conditionalFormatting>
  <conditionalFormatting sqref="X17:AF17">
    <cfRule type="expression" dxfId="2759" priority="22">
      <formula>X$9&gt;=20/24</formula>
    </cfRule>
    <cfRule type="expression" dxfId="2758" priority="23">
      <formula>AND(X$9&gt;=14/24,X$9&lt;20/24)</formula>
    </cfRule>
    <cfRule type="expression" dxfId="2757" priority="24">
      <formula>AND(X$9&gt;=8/24,X$9&lt;14/24)</formula>
    </cfRule>
    <cfRule type="expression" dxfId="2756" priority="25">
      <formula>X$9&lt;8/24</formula>
    </cfRule>
  </conditionalFormatting>
  <conditionalFormatting sqref="B17:W17">
    <cfRule type="expression" dxfId="2755" priority="18">
      <formula>B$9&gt;=20/24</formula>
    </cfRule>
    <cfRule type="expression" dxfId="2754" priority="19">
      <formula>AND(B$9&gt;=14/24,B$9&lt;20/24)</formula>
    </cfRule>
    <cfRule type="expression" dxfId="2753" priority="20">
      <formula>AND(B$9&gt;=8/24,B$9&lt;14/24)</formula>
    </cfRule>
    <cfRule type="expression" dxfId="2752" priority="21">
      <formula>B$9&lt;8/24</formula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2751" priority="16">
      <formula>$AH30=0</formula>
    </cfRule>
  </conditionalFormatting>
  <conditionalFormatting sqref="X30:AF30">
    <cfRule type="expression" dxfId="2750" priority="12">
      <formula>X$9&gt;=20/24</formula>
    </cfRule>
    <cfRule type="expression" dxfId="2749" priority="13">
      <formula>AND(X$9&gt;=14/24,X$9&lt;20/24)</formula>
    </cfRule>
    <cfRule type="expression" dxfId="2748" priority="14">
      <formula>AND(X$9&gt;=8/24,X$9&lt;14/24)</formula>
    </cfRule>
    <cfRule type="expression" dxfId="2747" priority="15">
      <formula>X$9&lt;8/24</formula>
    </cfRule>
  </conditionalFormatting>
  <conditionalFormatting sqref="X30:AF30">
    <cfRule type="expression" dxfId="2746" priority="11">
      <formula>X30&gt;$AG30</formula>
    </cfRule>
  </conditionalFormatting>
  <conditionalFormatting sqref="B30:W30">
    <cfRule type="expression" dxfId="2745" priority="2">
      <formula>B$9&gt;=20/24</formula>
    </cfRule>
    <cfRule type="expression" dxfId="2744" priority="3">
      <formula>AND(B$9&gt;=14/24,B$9&lt;20/24)</formula>
    </cfRule>
    <cfRule type="expression" dxfId="2743" priority="4">
      <formula>AND(B$9&gt;=8/24,B$9&lt;14/24)</formula>
    </cfRule>
    <cfRule type="expression" dxfId="2742" priority="5">
      <formula>B$9&lt;8/24</formula>
    </cfRule>
  </conditionalFormatting>
  <conditionalFormatting sqref="B30:W30">
    <cfRule type="expression" dxfId="2741" priority="1">
      <formula>B30&gt;$AG30</formula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137FCE21-4C9F-4D7C-B305-AD0513FD02F1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CFF0E2FA-B466-42CD-A97E-6F090785C09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E07C51FF-2C0A-4986-B337-42AD02953CB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D52D2472-92E3-4359-9B81-D5F50561AB2B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8" id="{52589579-0A14-4BBC-AA10-9A96E49D3AC2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8F2EE796-86B4-4108-B74D-A84C9B0CC4B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1BD8552E-01D6-4B20-A7E8-FA28042213E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0A7C17DE-8C4C-4656-AB39-781E2A85A72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4" id="{52080C3B-A725-4B1B-84CD-CDD55151BA04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28A12F32-7504-4A51-8D1A-122F63CB8A5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C76F8CE4-7035-4F0E-BBC6-A455035DB21F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3BED4DD6-6398-470B-ABC6-A4EDA211B17E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J270"/>
  <sheetViews>
    <sheetView tabSelected="1"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J45" sqref="J4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str">
        <f ca="1">"2079/"&amp;"06/"&amp;INT(MID(CELL("filename",D6),FIND("]",CELL("filename",D6))+1,200))</f>
        <v>2079/06/30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35.299999999999997</v>
      </c>
      <c r="X5" s="30">
        <f t="shared" si="0"/>
        <v>21.6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1640MW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Load=1103</v>
      </c>
      <c r="B7" s="35">
        <f t="shared" ref="B7:AF7" si="1">B81</f>
        <v>1177.04</v>
      </c>
      <c r="C7" s="35">
        <f t="shared" si="1"/>
        <v>1116.1399999999999</v>
      </c>
      <c r="D7" s="35">
        <f t="shared" si="1"/>
        <v>1102.6400000000001</v>
      </c>
      <c r="E7" s="35">
        <f t="shared" si="1"/>
        <v>1107.6400000000001</v>
      </c>
      <c r="F7" s="35">
        <f t="shared" si="1"/>
        <v>1120.54</v>
      </c>
      <c r="G7" s="35">
        <f t="shared" si="1"/>
        <v>1206.54</v>
      </c>
      <c r="H7" s="35">
        <f t="shared" si="1"/>
        <v>1273.54</v>
      </c>
      <c r="I7" s="35">
        <f t="shared" si="1"/>
        <v>1300.54</v>
      </c>
      <c r="J7" s="35">
        <f t="shared" si="1"/>
        <v>1388.54</v>
      </c>
      <c r="K7" s="35">
        <f t="shared" si="1"/>
        <v>1561.44</v>
      </c>
      <c r="L7" s="35">
        <f t="shared" si="1"/>
        <v>1628.44</v>
      </c>
      <c r="M7" s="35">
        <f t="shared" si="1"/>
        <v>1640.14</v>
      </c>
      <c r="N7" s="35">
        <f t="shared" si="1"/>
        <v>1485.94</v>
      </c>
      <c r="O7" s="35">
        <f t="shared" si="1"/>
        <v>1425.04</v>
      </c>
      <c r="P7" s="35">
        <f t="shared" si="1"/>
        <v>1378.64</v>
      </c>
      <c r="Q7" s="35">
        <f t="shared" si="1"/>
        <v>1303.54</v>
      </c>
      <c r="R7" s="35">
        <f t="shared" si="1"/>
        <v>1300.6400000000001</v>
      </c>
      <c r="S7" s="35">
        <f t="shared" si="1"/>
        <v>1267.94</v>
      </c>
      <c r="T7" s="35">
        <f t="shared" si="1"/>
        <v>1267.3400000000001</v>
      </c>
      <c r="U7" s="35">
        <f t="shared" si="1"/>
        <v>1289.6400000000001</v>
      </c>
      <c r="V7" s="35">
        <f t="shared" si="1"/>
        <v>1359.64</v>
      </c>
      <c r="W7" s="35">
        <f t="shared" si="1"/>
        <v>1563.64</v>
      </c>
      <c r="X7" s="35">
        <f t="shared" si="1"/>
        <v>1635.8400000000001</v>
      </c>
      <c r="Y7" s="35">
        <f t="shared" si="1"/>
        <v>1553.3400000000001</v>
      </c>
      <c r="Z7" s="35">
        <f t="shared" si="1"/>
        <v>1485.0400000000002</v>
      </c>
      <c r="AA7" s="35">
        <f t="shared" si="1"/>
        <v>1485.0400000000002</v>
      </c>
      <c r="AB7" s="35">
        <f t="shared" si="1"/>
        <v>1416.0400000000002</v>
      </c>
      <c r="AC7" s="35">
        <f t="shared" si="1"/>
        <v>1335.6399999999999</v>
      </c>
      <c r="AD7" s="35">
        <f t="shared" si="1"/>
        <v>1300.54</v>
      </c>
      <c r="AE7" s="35">
        <f t="shared" si="1"/>
        <v>1205.6399999999999</v>
      </c>
      <c r="AF7" s="35">
        <f t="shared" si="1"/>
        <v>1173.1399999999999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41.8</v>
      </c>
      <c r="C11" s="45">
        <v>38.9</v>
      </c>
      <c r="D11" s="45">
        <v>38</v>
      </c>
      <c r="E11" s="45">
        <v>38</v>
      </c>
      <c r="F11" s="45">
        <v>38</v>
      </c>
      <c r="G11" s="45">
        <v>38</v>
      </c>
      <c r="H11" s="45">
        <v>38</v>
      </c>
      <c r="I11" s="45">
        <v>38</v>
      </c>
      <c r="J11" s="45">
        <v>38</v>
      </c>
      <c r="K11" s="45">
        <v>41</v>
      </c>
      <c r="L11" s="45">
        <v>41</v>
      </c>
      <c r="M11" s="45">
        <v>39.700000000000003</v>
      </c>
      <c r="N11" s="45">
        <v>39.700000000000003</v>
      </c>
      <c r="O11" s="45">
        <v>40.799999999999997</v>
      </c>
      <c r="P11" s="45">
        <v>40.799999999999997</v>
      </c>
      <c r="Q11" s="45">
        <v>40.799999999999997</v>
      </c>
      <c r="R11" s="45">
        <v>40.799999999999997</v>
      </c>
      <c r="S11" s="45">
        <v>40.799999999999997</v>
      </c>
      <c r="T11" s="45">
        <v>40.799999999999997</v>
      </c>
      <c r="U11" s="46">
        <v>38</v>
      </c>
      <c r="V11" s="46">
        <v>38</v>
      </c>
      <c r="W11" s="46">
        <v>38</v>
      </c>
      <c r="X11" s="46">
        <v>38</v>
      </c>
      <c r="Y11" s="46">
        <v>38</v>
      </c>
      <c r="Z11" s="46">
        <v>38</v>
      </c>
      <c r="AA11" s="46">
        <v>38</v>
      </c>
      <c r="AB11" s="46">
        <v>33.200000000000003</v>
      </c>
      <c r="AC11" s="46">
        <v>33.200000000000003</v>
      </c>
      <c r="AD11" s="46">
        <v>37.799999999999997</v>
      </c>
      <c r="AE11" s="46">
        <v>40.5</v>
      </c>
      <c r="AF11" s="46">
        <v>40.5</v>
      </c>
      <c r="AG11" s="47">
        <v>52.4</v>
      </c>
      <c r="AH11" s="48">
        <f>MAX(B11:AF11)</f>
        <v>41.8</v>
      </c>
      <c r="AI11" s="49">
        <f>MIN(B11:AF11)</f>
        <v>33.200000000000003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50.3</v>
      </c>
      <c r="C12" s="45">
        <v>50.3</v>
      </c>
      <c r="D12" s="45">
        <v>50.4</v>
      </c>
      <c r="E12" s="45">
        <v>50.4</v>
      </c>
      <c r="F12" s="45">
        <v>50.4</v>
      </c>
      <c r="G12" s="45">
        <v>50.4</v>
      </c>
      <c r="H12" s="45">
        <v>50.4</v>
      </c>
      <c r="I12" s="45">
        <v>50.4</v>
      </c>
      <c r="J12" s="45">
        <v>50.4</v>
      </c>
      <c r="K12" s="45">
        <v>50</v>
      </c>
      <c r="L12" s="45">
        <v>50</v>
      </c>
      <c r="M12" s="45">
        <v>50.9</v>
      </c>
      <c r="N12" s="45">
        <v>50.9</v>
      </c>
      <c r="O12" s="45">
        <v>50.5</v>
      </c>
      <c r="P12" s="45">
        <v>50.5</v>
      </c>
      <c r="Q12" s="45">
        <v>50.5</v>
      </c>
      <c r="R12" s="45">
        <v>50.5</v>
      </c>
      <c r="S12" s="45">
        <v>50.5</v>
      </c>
      <c r="T12" s="45">
        <v>50.5</v>
      </c>
      <c r="U12" s="45">
        <v>50.6</v>
      </c>
      <c r="V12" s="45">
        <v>50.6</v>
      </c>
      <c r="W12" s="45">
        <v>50.6</v>
      </c>
      <c r="X12" s="45">
        <v>50.6</v>
      </c>
      <c r="Y12" s="45">
        <v>50.6</v>
      </c>
      <c r="Z12" s="45">
        <v>50.6</v>
      </c>
      <c r="AA12" s="45">
        <v>50.6</v>
      </c>
      <c r="AB12" s="45">
        <v>50.6</v>
      </c>
      <c r="AC12" s="45">
        <v>35</v>
      </c>
      <c r="AD12" s="45">
        <v>20</v>
      </c>
      <c r="AE12" s="45">
        <v>0</v>
      </c>
      <c r="AF12" s="45">
        <v>0</v>
      </c>
      <c r="AG12" s="51">
        <v>50</v>
      </c>
      <c r="AH12" s="48">
        <f t="shared" ref="AH12:AH75" si="2">MAX(B12:AF12)</f>
        <v>50.9</v>
      </c>
      <c r="AI12" s="49">
        <f t="shared" ref="AI12:AI75" si="3">MIN(B12:AF12)</f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36.200000000000003</v>
      </c>
      <c r="C13" s="45">
        <v>36.200000000000003</v>
      </c>
      <c r="D13" s="45">
        <v>36.299999999999997</v>
      </c>
      <c r="E13" s="45">
        <v>36.299999999999997</v>
      </c>
      <c r="F13" s="45">
        <v>36.299999999999997</v>
      </c>
      <c r="G13" s="45">
        <v>36.299999999999997</v>
      </c>
      <c r="H13" s="45">
        <v>36.299999999999997</v>
      </c>
      <c r="I13" s="45">
        <v>36.299999999999997</v>
      </c>
      <c r="J13" s="45">
        <v>36.299999999999997</v>
      </c>
      <c r="K13" s="45">
        <v>33.6</v>
      </c>
      <c r="L13" s="45">
        <v>33.6</v>
      </c>
      <c r="M13" s="45">
        <v>31.8</v>
      </c>
      <c r="N13" s="45">
        <v>31.8</v>
      </c>
      <c r="O13" s="45">
        <v>31.8</v>
      </c>
      <c r="P13" s="45">
        <v>31.8</v>
      </c>
      <c r="Q13" s="45">
        <v>31.8</v>
      </c>
      <c r="R13" s="45">
        <v>31.8</v>
      </c>
      <c r="S13" s="45">
        <v>31.8</v>
      </c>
      <c r="T13" s="45">
        <v>31.8</v>
      </c>
      <c r="U13" s="45">
        <v>35.9</v>
      </c>
      <c r="V13" s="45">
        <v>35.9</v>
      </c>
      <c r="W13" s="45">
        <v>35.9</v>
      </c>
      <c r="X13" s="45">
        <v>35.9</v>
      </c>
      <c r="Y13" s="45">
        <v>35.9</v>
      </c>
      <c r="Z13" s="45">
        <v>35.9</v>
      </c>
      <c r="AA13" s="45">
        <v>35.9</v>
      </c>
      <c r="AB13" s="45">
        <v>35.9</v>
      </c>
      <c r="AC13" s="45">
        <v>35.9</v>
      </c>
      <c r="AD13" s="45">
        <v>35.6</v>
      </c>
      <c r="AE13" s="45">
        <v>36.9</v>
      </c>
      <c r="AF13" s="45">
        <v>36.4</v>
      </c>
      <c r="AG13" s="51">
        <v>45</v>
      </c>
      <c r="AH13" s="48">
        <f t="shared" si="2"/>
        <v>36.9</v>
      </c>
      <c r="AI13" s="49">
        <f t="shared" si="3"/>
        <v>31.8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21</v>
      </c>
      <c r="C14" s="45">
        <v>21</v>
      </c>
      <c r="D14" s="45">
        <v>21</v>
      </c>
      <c r="E14" s="45">
        <v>21</v>
      </c>
      <c r="F14" s="45">
        <v>21</v>
      </c>
      <c r="G14" s="45">
        <v>21</v>
      </c>
      <c r="H14" s="45">
        <v>21</v>
      </c>
      <c r="I14" s="45">
        <v>21</v>
      </c>
      <c r="J14" s="45">
        <v>21</v>
      </c>
      <c r="K14" s="45">
        <v>21</v>
      </c>
      <c r="L14" s="45">
        <v>21</v>
      </c>
      <c r="M14" s="45">
        <v>21</v>
      </c>
      <c r="N14" s="45">
        <v>21</v>
      </c>
      <c r="O14" s="45">
        <v>21</v>
      </c>
      <c r="P14" s="45">
        <v>21</v>
      </c>
      <c r="Q14" s="45">
        <v>21</v>
      </c>
      <c r="R14" s="45">
        <v>18.5</v>
      </c>
      <c r="S14" s="45">
        <v>18.5</v>
      </c>
      <c r="T14" s="45">
        <v>18.5</v>
      </c>
      <c r="U14" s="45">
        <v>21.5</v>
      </c>
      <c r="V14" s="45">
        <v>21.5</v>
      </c>
      <c r="W14" s="45">
        <v>21.5</v>
      </c>
      <c r="X14" s="45">
        <v>21.5</v>
      </c>
      <c r="Y14" s="45">
        <v>21.5</v>
      </c>
      <c r="Z14" s="45">
        <v>21.5</v>
      </c>
      <c r="AA14" s="45">
        <v>21.5</v>
      </c>
      <c r="AB14" s="45">
        <v>21.5</v>
      </c>
      <c r="AC14" s="45">
        <v>21.5</v>
      </c>
      <c r="AD14" s="45">
        <v>21</v>
      </c>
      <c r="AE14" s="45">
        <v>21</v>
      </c>
      <c r="AF14" s="45">
        <v>21</v>
      </c>
      <c r="AG14" s="51">
        <v>42</v>
      </c>
      <c r="AH14" s="48">
        <f t="shared" si="2"/>
        <v>21.5</v>
      </c>
      <c r="AI14" s="49">
        <f t="shared" si="3"/>
        <v>18.5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6</v>
      </c>
      <c r="J15" s="45">
        <v>20</v>
      </c>
      <c r="K15" s="45">
        <v>29</v>
      </c>
      <c r="L15" s="45">
        <v>20</v>
      </c>
      <c r="M15" s="45">
        <v>19</v>
      </c>
      <c r="N15" s="45">
        <v>18.8</v>
      </c>
      <c r="O15" s="45">
        <v>17.8</v>
      </c>
      <c r="P15" s="45">
        <v>20.9</v>
      </c>
      <c r="Q15" s="45">
        <v>20.7</v>
      </c>
      <c r="R15" s="45">
        <v>10.3</v>
      </c>
      <c r="S15" s="45">
        <v>22.6</v>
      </c>
      <c r="T15" s="45">
        <v>22.6</v>
      </c>
      <c r="U15" s="45">
        <v>21.8</v>
      </c>
      <c r="V15" s="45">
        <v>21.8</v>
      </c>
      <c r="W15" s="45">
        <v>21.8</v>
      </c>
      <c r="X15" s="45">
        <v>21.8</v>
      </c>
      <c r="Y15" s="45">
        <v>21.8</v>
      </c>
      <c r="Z15" s="45">
        <v>21.8</v>
      </c>
      <c r="AA15" s="45">
        <v>21.8</v>
      </c>
      <c r="AB15" s="45">
        <v>21.8</v>
      </c>
      <c r="AC15" s="45">
        <v>21.8</v>
      </c>
      <c r="AD15" s="45">
        <v>19.8</v>
      </c>
      <c r="AE15" s="45">
        <v>11.4</v>
      </c>
      <c r="AF15" s="45">
        <v>0</v>
      </c>
      <c r="AG15" s="52">
        <v>30</v>
      </c>
      <c r="AH15" s="48">
        <f t="shared" si="2"/>
        <v>29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17.100000000000001</v>
      </c>
      <c r="C16" s="45">
        <v>17.100000000000001</v>
      </c>
      <c r="D16" s="45">
        <v>17.100000000000001</v>
      </c>
      <c r="E16" s="45">
        <v>17.100000000000001</v>
      </c>
      <c r="F16" s="45">
        <v>17.100000000000001</v>
      </c>
      <c r="G16" s="45">
        <v>17.100000000000001</v>
      </c>
      <c r="H16" s="45">
        <v>17.100000000000001</v>
      </c>
      <c r="I16" s="45">
        <v>17.100000000000001</v>
      </c>
      <c r="J16" s="45">
        <v>17.100000000000001</v>
      </c>
      <c r="K16" s="45">
        <v>17.100000000000001</v>
      </c>
      <c r="L16" s="45">
        <v>17.100000000000001</v>
      </c>
      <c r="M16" s="45">
        <v>17.100000000000001</v>
      </c>
      <c r="N16" s="45">
        <v>17.100000000000001</v>
      </c>
      <c r="O16" s="45">
        <v>17.100000000000001</v>
      </c>
      <c r="P16" s="45">
        <v>17.100000000000001</v>
      </c>
      <c r="Q16" s="45">
        <v>17.100000000000001</v>
      </c>
      <c r="R16" s="45">
        <v>17.100000000000001</v>
      </c>
      <c r="S16" s="45">
        <v>17.100000000000001</v>
      </c>
      <c r="T16" s="45">
        <v>17.100000000000001</v>
      </c>
      <c r="U16" s="45">
        <v>17.100000000000001</v>
      </c>
      <c r="V16" s="45">
        <v>17.100000000000001</v>
      </c>
      <c r="W16" s="45">
        <v>17.100000000000001</v>
      </c>
      <c r="X16" s="45">
        <v>17.100000000000001</v>
      </c>
      <c r="Y16" s="45">
        <v>17.100000000000001</v>
      </c>
      <c r="Z16" s="45">
        <v>17.100000000000001</v>
      </c>
      <c r="AA16" s="45">
        <v>17.100000000000001</v>
      </c>
      <c r="AB16" s="45">
        <v>17.100000000000001</v>
      </c>
      <c r="AC16" s="45">
        <v>17.100000000000001</v>
      </c>
      <c r="AD16" s="45">
        <v>17.100000000000001</v>
      </c>
      <c r="AE16" s="45">
        <v>17.100000000000001</v>
      </c>
      <c r="AF16" s="45">
        <v>17.100000000000001</v>
      </c>
      <c r="AG16" s="51">
        <v>24.2</v>
      </c>
      <c r="AH16" s="48">
        <f t="shared" si="2"/>
        <v>17.100000000000001</v>
      </c>
      <c r="AI16" s="49">
        <f t="shared" si="3"/>
        <v>17.100000000000001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6</v>
      </c>
      <c r="J17" s="45">
        <v>20</v>
      </c>
      <c r="K17" s="45">
        <v>27</v>
      </c>
      <c r="L17" s="45">
        <v>27</v>
      </c>
      <c r="M17" s="45">
        <v>22</v>
      </c>
      <c r="N17" s="45">
        <v>22</v>
      </c>
      <c r="O17" s="45">
        <v>22</v>
      </c>
      <c r="P17" s="45">
        <v>22</v>
      </c>
      <c r="Q17" s="45">
        <v>22</v>
      </c>
      <c r="R17" s="45">
        <v>12</v>
      </c>
      <c r="S17" s="45">
        <v>12</v>
      </c>
      <c r="T17" s="45">
        <v>12</v>
      </c>
      <c r="U17" s="45">
        <v>21</v>
      </c>
      <c r="V17" s="45">
        <v>21</v>
      </c>
      <c r="W17" s="45">
        <v>21</v>
      </c>
      <c r="X17" s="45">
        <v>21</v>
      </c>
      <c r="Y17" s="45">
        <v>21</v>
      </c>
      <c r="Z17" s="45">
        <v>21</v>
      </c>
      <c r="AA17" s="45">
        <v>21</v>
      </c>
      <c r="AB17" s="45">
        <v>21</v>
      </c>
      <c r="AC17" s="45">
        <v>21</v>
      </c>
      <c r="AD17" s="45">
        <v>21</v>
      </c>
      <c r="AE17" s="45">
        <v>10</v>
      </c>
      <c r="AF17" s="45">
        <v>0</v>
      </c>
      <c r="AG17" s="52">
        <v>30</v>
      </c>
      <c r="AH17" s="48">
        <f t="shared" si="2"/>
        <v>27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20.3</v>
      </c>
      <c r="C18" s="45">
        <v>20.3</v>
      </c>
      <c r="D18" s="45">
        <v>20.3</v>
      </c>
      <c r="E18" s="45">
        <v>20.3</v>
      </c>
      <c r="F18" s="45">
        <v>20.3</v>
      </c>
      <c r="G18" s="45">
        <v>20.3</v>
      </c>
      <c r="H18" s="45">
        <v>20.3</v>
      </c>
      <c r="I18" s="45">
        <v>20.3</v>
      </c>
      <c r="J18" s="45">
        <v>20.3</v>
      </c>
      <c r="K18" s="45">
        <v>20.3</v>
      </c>
      <c r="L18" s="45">
        <v>20.3</v>
      </c>
      <c r="M18" s="45">
        <v>19.3</v>
      </c>
      <c r="N18" s="45">
        <v>19.3</v>
      </c>
      <c r="O18" s="45">
        <v>19.3</v>
      </c>
      <c r="P18" s="45">
        <v>19.3</v>
      </c>
      <c r="Q18" s="45">
        <v>19.3</v>
      </c>
      <c r="R18" s="45">
        <v>19.3</v>
      </c>
      <c r="S18" s="45">
        <v>19.3</v>
      </c>
      <c r="T18" s="45">
        <v>19.3</v>
      </c>
      <c r="U18" s="45">
        <v>20.2</v>
      </c>
      <c r="V18" s="45">
        <v>20.2</v>
      </c>
      <c r="W18" s="45">
        <v>20.2</v>
      </c>
      <c r="X18" s="45">
        <v>20.2</v>
      </c>
      <c r="Y18" s="45">
        <v>20.2</v>
      </c>
      <c r="Z18" s="45">
        <v>20.2</v>
      </c>
      <c r="AA18" s="45">
        <v>20.2</v>
      </c>
      <c r="AB18" s="45">
        <v>20.2</v>
      </c>
      <c r="AC18" s="45">
        <v>20.2</v>
      </c>
      <c r="AD18" s="45">
        <v>20.2</v>
      </c>
      <c r="AE18" s="45">
        <v>20.2</v>
      </c>
      <c r="AF18" s="45">
        <v>20.2</v>
      </c>
      <c r="AG18" s="51">
        <v>25</v>
      </c>
      <c r="AH18" s="48">
        <f t="shared" si="2"/>
        <v>20.3</v>
      </c>
      <c r="AI18" s="49">
        <f t="shared" si="3"/>
        <v>19.3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18</v>
      </c>
      <c r="C19" s="45">
        <v>18</v>
      </c>
      <c r="D19" s="45">
        <v>18</v>
      </c>
      <c r="E19" s="45">
        <v>18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18</v>
      </c>
      <c r="Z19" s="45">
        <v>18</v>
      </c>
      <c r="AA19" s="45">
        <v>18</v>
      </c>
      <c r="AB19" s="45">
        <v>18</v>
      </c>
      <c r="AC19" s="45">
        <v>18</v>
      </c>
      <c r="AD19" s="45">
        <v>18</v>
      </c>
      <c r="AE19" s="45">
        <v>18</v>
      </c>
      <c r="AF19" s="45">
        <v>18</v>
      </c>
      <c r="AG19" s="51">
        <v>25</v>
      </c>
      <c r="AH19" s="48">
        <f t="shared" si="2"/>
        <v>18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18</v>
      </c>
      <c r="C20" s="45">
        <v>18</v>
      </c>
      <c r="D20" s="45">
        <v>18</v>
      </c>
      <c r="E20" s="45">
        <v>18</v>
      </c>
      <c r="F20" s="45">
        <v>18</v>
      </c>
      <c r="G20" s="45">
        <v>18</v>
      </c>
      <c r="H20" s="45">
        <v>18</v>
      </c>
      <c r="I20" s="45">
        <v>18</v>
      </c>
      <c r="J20" s="45">
        <v>18</v>
      </c>
      <c r="K20" s="45">
        <v>18</v>
      </c>
      <c r="L20" s="45">
        <v>18</v>
      </c>
      <c r="M20" s="45">
        <v>18</v>
      </c>
      <c r="N20" s="45">
        <v>18</v>
      </c>
      <c r="O20" s="45">
        <v>18</v>
      </c>
      <c r="P20" s="45">
        <v>18</v>
      </c>
      <c r="Q20" s="45">
        <v>18</v>
      </c>
      <c r="R20" s="45">
        <v>18</v>
      </c>
      <c r="S20" s="45">
        <v>18</v>
      </c>
      <c r="T20" s="45">
        <v>18</v>
      </c>
      <c r="U20" s="45">
        <v>18</v>
      </c>
      <c r="V20" s="45">
        <v>18</v>
      </c>
      <c r="W20" s="45">
        <v>18</v>
      </c>
      <c r="X20" s="45">
        <v>18</v>
      </c>
      <c r="Y20" s="45">
        <v>18</v>
      </c>
      <c r="Z20" s="45">
        <v>18</v>
      </c>
      <c r="AA20" s="45">
        <v>18</v>
      </c>
      <c r="AB20" s="45">
        <v>18</v>
      </c>
      <c r="AC20" s="45">
        <v>18</v>
      </c>
      <c r="AD20" s="45">
        <v>18</v>
      </c>
      <c r="AE20" s="45">
        <v>18</v>
      </c>
      <c r="AF20" s="45">
        <v>18</v>
      </c>
      <c r="AG20" s="51">
        <v>25</v>
      </c>
      <c r="AH20" s="48">
        <f t="shared" si="2"/>
        <v>18</v>
      </c>
      <c r="AI20" s="49">
        <f t="shared" si="3"/>
        <v>18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17.600000000000001</v>
      </c>
      <c r="C21" s="45">
        <v>17.600000000000001</v>
      </c>
      <c r="D21" s="45">
        <v>17.600000000000001</v>
      </c>
      <c r="E21" s="45">
        <v>17.600000000000001</v>
      </c>
      <c r="F21" s="45">
        <v>17.600000000000001</v>
      </c>
      <c r="G21" s="45">
        <v>17.600000000000001</v>
      </c>
      <c r="H21" s="45">
        <v>17.600000000000001</v>
      </c>
      <c r="I21" s="45">
        <v>17.600000000000001</v>
      </c>
      <c r="J21" s="45">
        <v>17.600000000000001</v>
      </c>
      <c r="K21" s="45">
        <v>17.600000000000001</v>
      </c>
      <c r="L21" s="45">
        <v>17.600000000000001</v>
      </c>
      <c r="M21" s="45">
        <v>17.600000000000001</v>
      </c>
      <c r="N21" s="45">
        <v>17.600000000000001</v>
      </c>
      <c r="O21" s="45">
        <v>17.600000000000001</v>
      </c>
      <c r="P21" s="45">
        <v>17.600000000000001</v>
      </c>
      <c r="Q21" s="45">
        <v>17.600000000000001</v>
      </c>
      <c r="R21" s="45">
        <v>17.600000000000001</v>
      </c>
      <c r="S21" s="45">
        <v>17.600000000000001</v>
      </c>
      <c r="T21" s="45">
        <v>17.600000000000001</v>
      </c>
      <c r="U21" s="45">
        <v>17.600000000000001</v>
      </c>
      <c r="V21" s="45">
        <v>17.600000000000001</v>
      </c>
      <c r="W21" s="45">
        <v>17.600000000000001</v>
      </c>
      <c r="X21" s="45">
        <v>17.600000000000001</v>
      </c>
      <c r="Y21" s="45">
        <v>17.600000000000001</v>
      </c>
      <c r="Z21" s="45">
        <v>17.600000000000001</v>
      </c>
      <c r="AA21" s="45">
        <v>17.600000000000001</v>
      </c>
      <c r="AB21" s="45">
        <v>17.600000000000001</v>
      </c>
      <c r="AC21" s="45">
        <v>17.600000000000001</v>
      </c>
      <c r="AD21" s="45">
        <v>17.2</v>
      </c>
      <c r="AE21" s="45">
        <v>17.2</v>
      </c>
      <c r="AF21" s="45">
        <v>17.2</v>
      </c>
      <c r="AG21" s="51">
        <v>23.5</v>
      </c>
      <c r="AH21" s="48">
        <f t="shared" si="2"/>
        <v>17.600000000000001</v>
      </c>
      <c r="AI21" s="49">
        <f t="shared" si="3"/>
        <v>17.2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51">
        <v>22.2</v>
      </c>
      <c r="AH22" s="48">
        <f t="shared" si="2"/>
        <v>0</v>
      </c>
      <c r="AI22" s="49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18</v>
      </c>
      <c r="C23" s="45">
        <v>18</v>
      </c>
      <c r="D23" s="45">
        <v>18</v>
      </c>
      <c r="E23" s="45">
        <v>18</v>
      </c>
      <c r="F23" s="45">
        <v>18</v>
      </c>
      <c r="G23" s="45">
        <v>18</v>
      </c>
      <c r="H23" s="45">
        <v>18</v>
      </c>
      <c r="I23" s="45">
        <v>18</v>
      </c>
      <c r="J23" s="45">
        <v>18</v>
      </c>
      <c r="K23" s="45">
        <v>18</v>
      </c>
      <c r="L23" s="45">
        <v>18</v>
      </c>
      <c r="M23" s="45">
        <v>18</v>
      </c>
      <c r="N23" s="45">
        <v>18</v>
      </c>
      <c r="O23" s="45">
        <v>18</v>
      </c>
      <c r="P23" s="45">
        <v>18</v>
      </c>
      <c r="Q23" s="45">
        <v>18</v>
      </c>
      <c r="R23" s="45">
        <v>18</v>
      </c>
      <c r="S23" s="45">
        <v>18</v>
      </c>
      <c r="T23" s="45">
        <v>18</v>
      </c>
      <c r="U23" s="45">
        <v>10.5</v>
      </c>
      <c r="V23" s="45">
        <v>10.5</v>
      </c>
      <c r="W23" s="45">
        <v>10.5</v>
      </c>
      <c r="X23" s="45">
        <v>10.5</v>
      </c>
      <c r="Y23" s="45">
        <v>10.5</v>
      </c>
      <c r="Z23" s="45">
        <v>10.5</v>
      </c>
      <c r="AA23" s="45">
        <v>10.5</v>
      </c>
      <c r="AB23" s="45">
        <v>10.5</v>
      </c>
      <c r="AC23" s="45">
        <v>10.5</v>
      </c>
      <c r="AD23" s="45">
        <v>10.5</v>
      </c>
      <c r="AE23" s="45">
        <v>10.5</v>
      </c>
      <c r="AF23" s="45">
        <v>10.5</v>
      </c>
      <c r="AG23" s="51">
        <v>22.1</v>
      </c>
      <c r="AH23" s="48">
        <f t="shared" si="2"/>
        <v>18</v>
      </c>
      <c r="AI23" s="49">
        <f t="shared" si="3"/>
        <v>10.5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14</v>
      </c>
      <c r="C24" s="45">
        <v>14</v>
      </c>
      <c r="D24" s="45">
        <v>14</v>
      </c>
      <c r="E24" s="45">
        <v>14</v>
      </c>
      <c r="F24" s="45">
        <v>14</v>
      </c>
      <c r="G24" s="45">
        <v>14</v>
      </c>
      <c r="H24" s="45">
        <v>14</v>
      </c>
      <c r="I24" s="45">
        <v>14</v>
      </c>
      <c r="J24" s="45">
        <v>14</v>
      </c>
      <c r="K24" s="45">
        <v>14</v>
      </c>
      <c r="L24" s="45">
        <v>14</v>
      </c>
      <c r="M24" s="45">
        <v>14</v>
      </c>
      <c r="N24" s="45">
        <v>14</v>
      </c>
      <c r="O24" s="45">
        <v>14</v>
      </c>
      <c r="P24" s="45">
        <v>14</v>
      </c>
      <c r="Q24" s="45">
        <v>14</v>
      </c>
      <c r="R24" s="45">
        <v>14</v>
      </c>
      <c r="S24" s="45">
        <v>14</v>
      </c>
      <c r="T24" s="45">
        <v>14</v>
      </c>
      <c r="U24" s="45">
        <v>15</v>
      </c>
      <c r="V24" s="45">
        <v>15</v>
      </c>
      <c r="W24" s="45">
        <v>15</v>
      </c>
      <c r="X24" s="45">
        <v>15</v>
      </c>
      <c r="Y24" s="45">
        <v>15</v>
      </c>
      <c r="Z24" s="45">
        <v>15</v>
      </c>
      <c r="AA24" s="45">
        <v>15</v>
      </c>
      <c r="AB24" s="45">
        <v>15</v>
      </c>
      <c r="AC24" s="45">
        <v>15</v>
      </c>
      <c r="AD24" s="45">
        <v>14</v>
      </c>
      <c r="AE24" s="45">
        <v>14</v>
      </c>
      <c r="AF24" s="45">
        <v>14</v>
      </c>
      <c r="AG24" s="51">
        <v>22</v>
      </c>
      <c r="AH24" s="48">
        <f t="shared" si="2"/>
        <v>15</v>
      </c>
      <c r="AI24" s="49">
        <f t="shared" si="3"/>
        <v>14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10</v>
      </c>
      <c r="C25" s="45">
        <v>10</v>
      </c>
      <c r="D25" s="45">
        <v>10</v>
      </c>
      <c r="E25" s="45">
        <v>10</v>
      </c>
      <c r="F25" s="45">
        <v>10</v>
      </c>
      <c r="G25" s="45">
        <v>10</v>
      </c>
      <c r="H25" s="45">
        <v>10</v>
      </c>
      <c r="I25" s="45">
        <v>10</v>
      </c>
      <c r="J25" s="45">
        <v>10</v>
      </c>
      <c r="K25" s="45">
        <v>10</v>
      </c>
      <c r="L25" s="45">
        <v>10</v>
      </c>
      <c r="M25" s="45">
        <v>10</v>
      </c>
      <c r="N25" s="45">
        <v>10</v>
      </c>
      <c r="O25" s="45">
        <v>10</v>
      </c>
      <c r="P25" s="45">
        <v>10</v>
      </c>
      <c r="Q25" s="45">
        <v>10</v>
      </c>
      <c r="R25" s="45">
        <v>10</v>
      </c>
      <c r="S25" s="45">
        <v>10</v>
      </c>
      <c r="T25" s="45">
        <v>10</v>
      </c>
      <c r="U25" s="45">
        <v>10</v>
      </c>
      <c r="V25" s="45">
        <v>10</v>
      </c>
      <c r="W25" s="45">
        <v>10</v>
      </c>
      <c r="X25" s="45">
        <v>10</v>
      </c>
      <c r="Y25" s="45">
        <v>10</v>
      </c>
      <c r="Z25" s="45">
        <v>10</v>
      </c>
      <c r="AA25" s="45">
        <v>10</v>
      </c>
      <c r="AB25" s="45">
        <v>10</v>
      </c>
      <c r="AC25" s="45">
        <v>10</v>
      </c>
      <c r="AD25" s="45">
        <v>10</v>
      </c>
      <c r="AE25" s="45">
        <v>10</v>
      </c>
      <c r="AF25" s="45">
        <v>10</v>
      </c>
      <c r="AG25" s="51">
        <v>22</v>
      </c>
      <c r="AH25" s="48">
        <f t="shared" si="2"/>
        <v>10</v>
      </c>
      <c r="AI25" s="49">
        <f t="shared" si="3"/>
        <v>10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5</v>
      </c>
      <c r="I26" s="45">
        <v>5</v>
      </c>
      <c r="J26" s="45">
        <v>5</v>
      </c>
      <c r="K26" s="45">
        <v>10</v>
      </c>
      <c r="L26" s="45">
        <v>10</v>
      </c>
      <c r="M26" s="45">
        <v>10</v>
      </c>
      <c r="N26" s="45">
        <v>10</v>
      </c>
      <c r="O26" s="45">
        <v>10</v>
      </c>
      <c r="P26" s="45">
        <v>10</v>
      </c>
      <c r="Q26" s="45">
        <v>10</v>
      </c>
      <c r="R26" s="45">
        <v>10</v>
      </c>
      <c r="S26" s="45">
        <v>5</v>
      </c>
      <c r="T26" s="45">
        <v>5</v>
      </c>
      <c r="U26" s="45">
        <v>10</v>
      </c>
      <c r="V26" s="45">
        <v>10</v>
      </c>
      <c r="W26" s="45">
        <v>10</v>
      </c>
      <c r="X26" s="45">
        <v>10</v>
      </c>
      <c r="Y26" s="45">
        <v>10</v>
      </c>
      <c r="Z26" s="45">
        <v>10</v>
      </c>
      <c r="AA26" s="45">
        <v>10</v>
      </c>
      <c r="AB26" s="45">
        <v>10</v>
      </c>
      <c r="AC26" s="45">
        <v>10</v>
      </c>
      <c r="AD26" s="45">
        <v>10</v>
      </c>
      <c r="AE26" s="45">
        <v>0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11</v>
      </c>
      <c r="C27" s="45">
        <v>11</v>
      </c>
      <c r="D27" s="45">
        <v>11</v>
      </c>
      <c r="E27" s="45">
        <v>11</v>
      </c>
      <c r="F27" s="45">
        <v>11</v>
      </c>
      <c r="G27" s="45">
        <v>11</v>
      </c>
      <c r="H27" s="45">
        <v>11</v>
      </c>
      <c r="I27" s="45">
        <v>11</v>
      </c>
      <c r="J27" s="45">
        <v>11</v>
      </c>
      <c r="K27" s="45">
        <v>11</v>
      </c>
      <c r="L27" s="45">
        <v>11</v>
      </c>
      <c r="M27" s="45">
        <v>11</v>
      </c>
      <c r="N27" s="45">
        <v>11</v>
      </c>
      <c r="O27" s="45">
        <v>11</v>
      </c>
      <c r="P27" s="45">
        <v>11</v>
      </c>
      <c r="Q27" s="45">
        <v>11</v>
      </c>
      <c r="R27" s="45">
        <v>11</v>
      </c>
      <c r="S27" s="45">
        <v>11</v>
      </c>
      <c r="T27" s="45">
        <v>11</v>
      </c>
      <c r="U27" s="45">
        <v>6.3</v>
      </c>
      <c r="V27" s="45">
        <v>6.3</v>
      </c>
      <c r="W27" s="45">
        <v>6.3</v>
      </c>
      <c r="X27" s="45">
        <v>6.3</v>
      </c>
      <c r="Y27" s="45">
        <v>6.3</v>
      </c>
      <c r="Z27" s="45">
        <v>6.3</v>
      </c>
      <c r="AA27" s="45">
        <v>6.3</v>
      </c>
      <c r="AB27" s="45">
        <v>6.3</v>
      </c>
      <c r="AC27" s="45">
        <v>6.3</v>
      </c>
      <c r="AD27" s="45">
        <v>6.3</v>
      </c>
      <c r="AE27" s="45">
        <v>6.3</v>
      </c>
      <c r="AF27" s="45">
        <v>6.3</v>
      </c>
      <c r="AG27" s="51">
        <v>14.9</v>
      </c>
      <c r="AH27" s="48">
        <f t="shared" si="2"/>
        <v>11</v>
      </c>
      <c r="AI27" s="49">
        <f t="shared" si="3"/>
        <v>6.3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3.5</v>
      </c>
      <c r="C28" s="45">
        <v>3.5</v>
      </c>
      <c r="D28" s="45">
        <v>3.5</v>
      </c>
      <c r="E28" s="45">
        <v>3.5</v>
      </c>
      <c r="F28" s="45">
        <v>3.5</v>
      </c>
      <c r="G28" s="45">
        <v>3.5</v>
      </c>
      <c r="H28" s="45">
        <v>3.5</v>
      </c>
      <c r="I28" s="45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>
        <v>3.5</v>
      </c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45">
        <v>3.5</v>
      </c>
      <c r="Y28" s="45">
        <v>3.5</v>
      </c>
      <c r="Z28" s="45">
        <v>3.5</v>
      </c>
      <c r="AA28" s="45">
        <v>3.5</v>
      </c>
      <c r="AB28" s="45">
        <v>3.5</v>
      </c>
      <c r="AC28" s="45">
        <v>3.5</v>
      </c>
      <c r="AD28" s="45">
        <v>3.5</v>
      </c>
      <c r="AE28" s="45">
        <v>3.5</v>
      </c>
      <c r="AF28" s="45">
        <v>3.5</v>
      </c>
      <c r="AG28" s="51">
        <v>13.6</v>
      </c>
      <c r="AH28" s="48">
        <f t="shared" si="2"/>
        <v>3.5</v>
      </c>
      <c r="AI28" s="49">
        <f t="shared" si="3"/>
        <v>3.5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9</v>
      </c>
      <c r="C29" s="45">
        <v>9</v>
      </c>
      <c r="D29" s="45">
        <v>9</v>
      </c>
      <c r="E29" s="45">
        <v>9</v>
      </c>
      <c r="F29" s="45">
        <v>9</v>
      </c>
      <c r="G29" s="45">
        <v>9</v>
      </c>
      <c r="H29" s="45">
        <v>9</v>
      </c>
      <c r="I29" s="45">
        <v>9</v>
      </c>
      <c r="J29" s="45">
        <v>9</v>
      </c>
      <c r="K29" s="45">
        <v>9</v>
      </c>
      <c r="L29" s="45">
        <v>9</v>
      </c>
      <c r="M29" s="45">
        <v>9</v>
      </c>
      <c r="N29" s="45">
        <v>9</v>
      </c>
      <c r="O29" s="45">
        <v>9</v>
      </c>
      <c r="P29" s="45">
        <v>9</v>
      </c>
      <c r="Q29" s="45">
        <v>9</v>
      </c>
      <c r="R29" s="45">
        <v>9</v>
      </c>
      <c r="S29" s="45">
        <v>9</v>
      </c>
      <c r="T29" s="45">
        <v>9</v>
      </c>
      <c r="U29" s="45">
        <v>9</v>
      </c>
      <c r="V29" s="45">
        <v>9</v>
      </c>
      <c r="W29" s="45">
        <v>9</v>
      </c>
      <c r="X29" s="45">
        <v>9</v>
      </c>
      <c r="Y29" s="45">
        <v>9</v>
      </c>
      <c r="Z29" s="45">
        <v>9</v>
      </c>
      <c r="AA29" s="45">
        <v>9</v>
      </c>
      <c r="AB29" s="45">
        <v>9</v>
      </c>
      <c r="AC29" s="45">
        <v>9</v>
      </c>
      <c r="AD29" s="45">
        <v>9</v>
      </c>
      <c r="AE29" s="45">
        <v>9</v>
      </c>
      <c r="AF29" s="45">
        <v>9</v>
      </c>
      <c r="AG29" s="51">
        <v>13</v>
      </c>
      <c r="AH29" s="48">
        <f t="shared" si="2"/>
        <v>9</v>
      </c>
      <c r="AI29" s="49">
        <f t="shared" si="3"/>
        <v>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12</v>
      </c>
      <c r="L30" s="45">
        <v>12</v>
      </c>
      <c r="M30" s="45">
        <v>10</v>
      </c>
      <c r="N30" s="45">
        <v>10</v>
      </c>
      <c r="O30" s="45">
        <v>10</v>
      </c>
      <c r="P30" s="45">
        <v>10</v>
      </c>
      <c r="Q30" s="45">
        <v>10</v>
      </c>
      <c r="R30" s="45">
        <v>10</v>
      </c>
      <c r="S30" s="45">
        <v>10</v>
      </c>
      <c r="T30" s="45">
        <v>10</v>
      </c>
      <c r="U30" s="45">
        <v>10</v>
      </c>
      <c r="V30" s="45">
        <v>10</v>
      </c>
      <c r="W30" s="45">
        <v>10</v>
      </c>
      <c r="X30" s="45">
        <v>10</v>
      </c>
      <c r="Y30" s="45">
        <v>10</v>
      </c>
      <c r="Z30" s="45">
        <v>10</v>
      </c>
      <c r="AA30" s="45">
        <v>10</v>
      </c>
      <c r="AB30" s="45">
        <v>10</v>
      </c>
      <c r="AC30" s="45">
        <v>10</v>
      </c>
      <c r="AD30" s="45">
        <v>10</v>
      </c>
      <c r="AE30" s="45">
        <v>0</v>
      </c>
      <c r="AF30" s="45">
        <v>0</v>
      </c>
      <c r="AG30" s="51">
        <v>12</v>
      </c>
      <c r="AH30" s="48">
        <f t="shared" si="2"/>
        <v>12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12</v>
      </c>
      <c r="C31" s="45">
        <v>12</v>
      </c>
      <c r="D31" s="45">
        <v>12</v>
      </c>
      <c r="E31" s="45">
        <v>12</v>
      </c>
      <c r="F31" s="45">
        <v>12</v>
      </c>
      <c r="G31" s="45">
        <v>12</v>
      </c>
      <c r="H31" s="45">
        <v>12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2"/>
        <v>12</v>
      </c>
      <c r="AI31" s="49">
        <f t="shared" si="3"/>
        <v>12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5</v>
      </c>
      <c r="C32" s="45">
        <v>5</v>
      </c>
      <c r="D32" s="45">
        <v>5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45">
        <v>5</v>
      </c>
      <c r="L32" s="45">
        <v>5</v>
      </c>
      <c r="M32" s="45">
        <v>5</v>
      </c>
      <c r="N32" s="45">
        <v>5</v>
      </c>
      <c r="O32" s="45">
        <v>5</v>
      </c>
      <c r="P32" s="45">
        <v>5</v>
      </c>
      <c r="Q32" s="45">
        <v>5</v>
      </c>
      <c r="R32" s="45">
        <v>5</v>
      </c>
      <c r="S32" s="45">
        <v>5</v>
      </c>
      <c r="T32" s="45">
        <v>5</v>
      </c>
      <c r="U32" s="45">
        <v>5</v>
      </c>
      <c r="V32" s="45">
        <v>5</v>
      </c>
      <c r="W32" s="45">
        <v>5</v>
      </c>
      <c r="X32" s="45">
        <v>5</v>
      </c>
      <c r="Y32" s="45">
        <v>5</v>
      </c>
      <c r="Z32" s="45">
        <v>5</v>
      </c>
      <c r="AA32" s="45">
        <v>5</v>
      </c>
      <c r="AB32" s="45">
        <v>5</v>
      </c>
      <c r="AC32" s="45">
        <v>5</v>
      </c>
      <c r="AD32" s="45">
        <v>5</v>
      </c>
      <c r="AE32" s="45">
        <v>5</v>
      </c>
      <c r="AF32" s="45">
        <v>5</v>
      </c>
      <c r="AG32" s="51">
        <v>12</v>
      </c>
      <c r="AH32" s="48">
        <f t="shared" si="2"/>
        <v>5</v>
      </c>
      <c r="AI32" s="49">
        <f t="shared" si="3"/>
        <v>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8</v>
      </c>
      <c r="C33" s="45">
        <v>8</v>
      </c>
      <c r="D33" s="45">
        <v>8</v>
      </c>
      <c r="E33" s="45">
        <v>8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5.2</v>
      </c>
      <c r="V33" s="45">
        <v>5.2</v>
      </c>
      <c r="W33" s="45">
        <v>5.2</v>
      </c>
      <c r="X33" s="45">
        <v>5.2</v>
      </c>
      <c r="Y33" s="45">
        <v>5.2</v>
      </c>
      <c r="Z33" s="45">
        <v>5.2</v>
      </c>
      <c r="AA33" s="45">
        <v>5.2</v>
      </c>
      <c r="AB33" s="45">
        <v>5.2</v>
      </c>
      <c r="AC33" s="45">
        <v>5.2</v>
      </c>
      <c r="AD33" s="45">
        <v>5.2</v>
      </c>
      <c r="AE33" s="45">
        <v>5.2</v>
      </c>
      <c r="AF33" s="45">
        <v>5.2</v>
      </c>
      <c r="AG33" s="53">
        <v>22</v>
      </c>
      <c r="AH33" s="48">
        <f t="shared" si="2"/>
        <v>8</v>
      </c>
      <c r="AI33" s="49">
        <f t="shared" si="3"/>
        <v>5.2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8.5</v>
      </c>
      <c r="C34" s="45">
        <v>8.5</v>
      </c>
      <c r="D34" s="45">
        <v>8.5</v>
      </c>
      <c r="E34" s="45">
        <v>8.5</v>
      </c>
      <c r="F34" s="45">
        <v>8.5</v>
      </c>
      <c r="G34" s="45">
        <v>8.5</v>
      </c>
      <c r="H34" s="45">
        <v>8.5</v>
      </c>
      <c r="I34" s="45">
        <v>8.5</v>
      </c>
      <c r="J34" s="45">
        <v>8.5</v>
      </c>
      <c r="K34" s="45">
        <v>8.5</v>
      </c>
      <c r="L34" s="45">
        <v>8.5</v>
      </c>
      <c r="M34" s="45">
        <v>8.5</v>
      </c>
      <c r="N34" s="45">
        <v>8.5</v>
      </c>
      <c r="O34" s="45">
        <v>8.5</v>
      </c>
      <c r="P34" s="45">
        <v>8.5</v>
      </c>
      <c r="Q34" s="45">
        <v>8.5</v>
      </c>
      <c r="R34" s="45">
        <v>8.5</v>
      </c>
      <c r="S34" s="45">
        <v>8.5</v>
      </c>
      <c r="T34" s="45">
        <v>8.5</v>
      </c>
      <c r="U34" s="45">
        <v>8.5</v>
      </c>
      <c r="V34" s="45">
        <v>8.5</v>
      </c>
      <c r="W34" s="45">
        <v>8.5</v>
      </c>
      <c r="X34" s="45">
        <v>8.5</v>
      </c>
      <c r="Y34" s="45">
        <v>8.5</v>
      </c>
      <c r="Z34" s="45">
        <v>8.5</v>
      </c>
      <c r="AA34" s="45">
        <v>8.5</v>
      </c>
      <c r="AB34" s="45">
        <v>8.5</v>
      </c>
      <c r="AC34" s="45">
        <v>8.5</v>
      </c>
      <c r="AD34" s="45">
        <v>8.5</v>
      </c>
      <c r="AE34" s="45">
        <v>8.5</v>
      </c>
      <c r="AF34" s="45">
        <v>8.5</v>
      </c>
      <c r="AG34" s="52">
        <v>11.88</v>
      </c>
      <c r="AH34" s="48">
        <f t="shared" si="2"/>
        <v>8.5</v>
      </c>
      <c r="AI34" s="49">
        <f t="shared" si="3"/>
        <v>8.5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8</v>
      </c>
      <c r="C35" s="45">
        <v>8</v>
      </c>
      <c r="D35" s="45">
        <v>8</v>
      </c>
      <c r="E35" s="45">
        <v>8</v>
      </c>
      <c r="F35" s="45">
        <v>8</v>
      </c>
      <c r="G35" s="45">
        <v>8</v>
      </c>
      <c r="H35" s="45">
        <v>8</v>
      </c>
      <c r="I35" s="45">
        <v>8</v>
      </c>
      <c r="J35" s="45">
        <v>8</v>
      </c>
      <c r="K35" s="45">
        <v>8</v>
      </c>
      <c r="L35" s="45">
        <v>8</v>
      </c>
      <c r="M35" s="45">
        <v>8</v>
      </c>
      <c r="N35" s="45">
        <v>8</v>
      </c>
      <c r="O35" s="45">
        <v>8</v>
      </c>
      <c r="P35" s="45">
        <v>8</v>
      </c>
      <c r="Q35" s="45">
        <v>8</v>
      </c>
      <c r="R35" s="45">
        <v>8</v>
      </c>
      <c r="S35" s="45">
        <v>8</v>
      </c>
      <c r="T35" s="45">
        <v>8</v>
      </c>
      <c r="U35" s="45">
        <v>8</v>
      </c>
      <c r="V35" s="45">
        <v>8</v>
      </c>
      <c r="W35" s="45">
        <v>8</v>
      </c>
      <c r="X35" s="45">
        <v>8</v>
      </c>
      <c r="Y35" s="45">
        <v>8</v>
      </c>
      <c r="Z35" s="45">
        <v>8</v>
      </c>
      <c r="AA35" s="45">
        <v>8</v>
      </c>
      <c r="AB35" s="45">
        <v>8</v>
      </c>
      <c r="AC35" s="45">
        <v>8</v>
      </c>
      <c r="AD35" s="45">
        <v>8</v>
      </c>
      <c r="AE35" s="45">
        <v>8</v>
      </c>
      <c r="AF35" s="45">
        <v>8</v>
      </c>
      <c r="AG35" s="55">
        <v>11</v>
      </c>
      <c r="AH35" s="48">
        <f t="shared" si="2"/>
        <v>8</v>
      </c>
      <c r="AI35" s="49">
        <f t="shared" si="3"/>
        <v>8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5</v>
      </c>
      <c r="C36" s="45">
        <v>5</v>
      </c>
      <c r="D36" s="45">
        <v>5</v>
      </c>
      <c r="E36" s="45">
        <v>5</v>
      </c>
      <c r="F36" s="45">
        <v>5</v>
      </c>
      <c r="G36" s="45">
        <v>5</v>
      </c>
      <c r="H36" s="45">
        <v>5</v>
      </c>
      <c r="I36" s="45">
        <v>5</v>
      </c>
      <c r="J36" s="45">
        <v>5</v>
      </c>
      <c r="K36" s="45">
        <v>5</v>
      </c>
      <c r="L36" s="45">
        <v>5</v>
      </c>
      <c r="M36" s="45">
        <v>5</v>
      </c>
      <c r="N36" s="45">
        <v>5</v>
      </c>
      <c r="O36" s="45">
        <v>5</v>
      </c>
      <c r="P36" s="45">
        <v>5</v>
      </c>
      <c r="Q36" s="45">
        <v>5</v>
      </c>
      <c r="R36" s="45">
        <v>5</v>
      </c>
      <c r="S36" s="45">
        <v>5</v>
      </c>
      <c r="T36" s="45">
        <v>5</v>
      </c>
      <c r="U36" s="45">
        <v>5</v>
      </c>
      <c r="V36" s="45">
        <v>5</v>
      </c>
      <c r="W36" s="45">
        <v>5</v>
      </c>
      <c r="X36" s="45">
        <v>5</v>
      </c>
      <c r="Y36" s="45">
        <v>5</v>
      </c>
      <c r="Z36" s="45">
        <v>5</v>
      </c>
      <c r="AA36" s="45">
        <v>5</v>
      </c>
      <c r="AB36" s="45">
        <v>5</v>
      </c>
      <c r="AC36" s="45">
        <v>5</v>
      </c>
      <c r="AD36" s="45">
        <v>5</v>
      </c>
      <c r="AE36" s="45">
        <v>5</v>
      </c>
      <c r="AF36" s="45">
        <v>5</v>
      </c>
      <c r="AG36" s="55">
        <v>10</v>
      </c>
      <c r="AH36" s="48">
        <f t="shared" si="2"/>
        <v>5</v>
      </c>
      <c r="AI36" s="49">
        <f t="shared" si="3"/>
        <v>5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2</v>
      </c>
      <c r="N37" s="45">
        <v>2</v>
      </c>
      <c r="O37" s="45">
        <v>2</v>
      </c>
      <c r="P37" s="45">
        <v>2</v>
      </c>
      <c r="Q37" s="45">
        <v>2</v>
      </c>
      <c r="R37" s="45">
        <v>2</v>
      </c>
      <c r="S37" s="45">
        <v>2</v>
      </c>
      <c r="T37" s="45">
        <v>2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2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270</v>
      </c>
      <c r="C38" s="57">
        <v>270</v>
      </c>
      <c r="D38" s="57">
        <v>270</v>
      </c>
      <c r="E38" s="57">
        <v>270</v>
      </c>
      <c r="F38" s="57">
        <v>270</v>
      </c>
      <c r="G38" s="57">
        <v>270</v>
      </c>
      <c r="H38" s="57">
        <v>270</v>
      </c>
      <c r="I38" s="57">
        <v>270</v>
      </c>
      <c r="J38" s="57">
        <v>270</v>
      </c>
      <c r="K38" s="57">
        <v>270</v>
      </c>
      <c r="L38" s="57">
        <v>270</v>
      </c>
      <c r="M38" s="57">
        <v>270</v>
      </c>
      <c r="N38" s="57">
        <v>270</v>
      </c>
      <c r="O38" s="57">
        <v>270</v>
      </c>
      <c r="P38" s="57">
        <v>270</v>
      </c>
      <c r="Q38" s="57">
        <v>270</v>
      </c>
      <c r="R38" s="57">
        <v>270</v>
      </c>
      <c r="S38" s="57">
        <v>270</v>
      </c>
      <c r="T38" s="57">
        <v>270</v>
      </c>
      <c r="U38" s="57">
        <v>270</v>
      </c>
      <c r="V38" s="57">
        <v>270</v>
      </c>
      <c r="W38" s="57">
        <v>270</v>
      </c>
      <c r="X38" s="57">
        <v>270</v>
      </c>
      <c r="Y38" s="57">
        <v>270</v>
      </c>
      <c r="Z38" s="57">
        <v>270</v>
      </c>
      <c r="AA38" s="57">
        <v>270</v>
      </c>
      <c r="AB38" s="57">
        <v>270</v>
      </c>
      <c r="AC38" s="57">
        <v>270</v>
      </c>
      <c r="AD38" s="57">
        <v>270</v>
      </c>
      <c r="AE38" s="57">
        <v>270</v>
      </c>
      <c r="AF38" s="57">
        <v>270</v>
      </c>
      <c r="AG38" s="55">
        <v>85</v>
      </c>
      <c r="AH38" s="48">
        <f t="shared" si="2"/>
        <v>270</v>
      </c>
      <c r="AI38" s="49">
        <f t="shared" si="3"/>
        <v>270</v>
      </c>
      <c r="AK38" s="50"/>
    </row>
    <row r="39" spans="1:88" ht="15.75" thickBot="1" x14ac:dyDescent="0.3">
      <c r="A39" s="58" t="s">
        <v>47</v>
      </c>
      <c r="B39" s="59">
        <v>110</v>
      </c>
      <c r="C39" s="59">
        <v>110</v>
      </c>
      <c r="D39" s="59">
        <v>109</v>
      </c>
      <c r="E39" s="59">
        <v>109</v>
      </c>
      <c r="F39" s="59">
        <f>19+61</f>
        <v>80</v>
      </c>
      <c r="G39" s="59">
        <f>19+61</f>
        <v>80</v>
      </c>
      <c r="H39" s="59">
        <f>19+61</f>
        <v>80</v>
      </c>
      <c r="I39" s="59">
        <f>19+61</f>
        <v>80</v>
      </c>
      <c r="J39" s="59">
        <f>19+61</f>
        <v>80</v>
      </c>
      <c r="K39" s="59">
        <v>74</v>
      </c>
      <c r="L39" s="59">
        <v>74</v>
      </c>
      <c r="M39" s="57">
        <v>66</v>
      </c>
      <c r="N39" s="57">
        <f>20.1+60.9</f>
        <v>81</v>
      </c>
      <c r="O39" s="57">
        <f>22.5+58.7</f>
        <v>81.2</v>
      </c>
      <c r="P39" s="57">
        <f>22+57.4</f>
        <v>79.400000000000006</v>
      </c>
      <c r="Q39" s="57">
        <f>20.9+55.4</f>
        <v>76.3</v>
      </c>
      <c r="R39" s="57">
        <f>20.7+57</f>
        <v>77.7</v>
      </c>
      <c r="S39" s="59">
        <f>14.7+58</f>
        <v>72.7</v>
      </c>
      <c r="T39" s="59">
        <f>14.7+56.2</f>
        <v>70.900000000000006</v>
      </c>
      <c r="U39" s="59">
        <f>14.7+56.2</f>
        <v>70.900000000000006</v>
      </c>
      <c r="V39" s="59">
        <f>15.1+56.6</f>
        <v>71.7</v>
      </c>
      <c r="W39" s="59">
        <f>14.7+55.6</f>
        <v>70.3</v>
      </c>
      <c r="X39" s="59">
        <v>69.900000000000006</v>
      </c>
      <c r="Y39" s="59">
        <v>69.900000000000006</v>
      </c>
      <c r="Z39" s="59">
        <f>47.4+45.2</f>
        <v>92.6</v>
      </c>
      <c r="AA39" s="59">
        <f>46+51.2</f>
        <v>97.2</v>
      </c>
      <c r="AB39" s="59">
        <f>46.1+55.4</f>
        <v>101.5</v>
      </c>
      <c r="AC39" s="59">
        <f>46.3+56.7</f>
        <v>103</v>
      </c>
      <c r="AD39" s="59">
        <f>45.3+57.7</f>
        <v>103</v>
      </c>
      <c r="AE39" s="59">
        <f>47.7+56.7</f>
        <v>104.4</v>
      </c>
      <c r="AF39" s="59">
        <f>45.8+56.5</f>
        <v>102.3</v>
      </c>
      <c r="AG39" s="55">
        <v>240</v>
      </c>
      <c r="AH39" s="48">
        <f t="shared" si="2"/>
        <v>110</v>
      </c>
      <c r="AI39" s="49">
        <f t="shared" si="3"/>
        <v>66</v>
      </c>
      <c r="AK39" s="50"/>
    </row>
    <row r="40" spans="1:88" ht="15.75" thickBot="1" x14ac:dyDescent="0.3">
      <c r="A40" s="60" t="s">
        <v>48</v>
      </c>
      <c r="B40" s="61">
        <v>624.29999999999995</v>
      </c>
      <c r="C40" s="61">
        <f t="shared" ref="C40:AG40" si="4">SUM(C11:C38)</f>
        <v>619.4</v>
      </c>
      <c r="D40" s="61">
        <f t="shared" si="4"/>
        <v>618.70000000000005</v>
      </c>
      <c r="E40" s="61">
        <f t="shared" si="4"/>
        <v>618.70000000000005</v>
      </c>
      <c r="F40" s="61">
        <f t="shared" si="4"/>
        <v>600.70000000000005</v>
      </c>
      <c r="G40" s="61">
        <f t="shared" si="4"/>
        <v>600.70000000000005</v>
      </c>
      <c r="H40" s="61">
        <f t="shared" si="4"/>
        <v>605.70000000000005</v>
      </c>
      <c r="I40" s="61">
        <f t="shared" si="4"/>
        <v>617.70000000000005</v>
      </c>
      <c r="J40" s="61">
        <f t="shared" si="4"/>
        <v>645.70000000000005</v>
      </c>
      <c r="K40" s="61">
        <f t="shared" si="4"/>
        <v>678.6</v>
      </c>
      <c r="L40" s="61">
        <f t="shared" si="4"/>
        <v>669.6</v>
      </c>
      <c r="M40" s="61">
        <f t="shared" si="4"/>
        <v>660.4</v>
      </c>
      <c r="N40" s="61">
        <f t="shared" si="4"/>
        <v>660.2</v>
      </c>
      <c r="O40" s="61">
        <f t="shared" si="4"/>
        <v>659.9</v>
      </c>
      <c r="P40" s="61">
        <f t="shared" si="4"/>
        <v>663</v>
      </c>
      <c r="Q40" s="61">
        <f t="shared" si="4"/>
        <v>662.8</v>
      </c>
      <c r="R40" s="61">
        <f t="shared" si="4"/>
        <v>639.9</v>
      </c>
      <c r="S40" s="61">
        <f t="shared" si="4"/>
        <v>647.20000000000005</v>
      </c>
      <c r="T40" s="61">
        <f t="shared" si="4"/>
        <v>647.20000000000005</v>
      </c>
      <c r="U40" s="61">
        <f t="shared" si="4"/>
        <v>649.70000000000005</v>
      </c>
      <c r="V40" s="61">
        <f t="shared" si="4"/>
        <v>649.70000000000005</v>
      </c>
      <c r="W40" s="61">
        <f t="shared" si="4"/>
        <v>649.70000000000005</v>
      </c>
      <c r="X40" s="61">
        <f t="shared" si="4"/>
        <v>649.70000000000005</v>
      </c>
      <c r="Y40" s="61">
        <f t="shared" si="4"/>
        <v>667.7</v>
      </c>
      <c r="Z40" s="61">
        <f t="shared" si="4"/>
        <v>667.7</v>
      </c>
      <c r="AA40" s="61">
        <f t="shared" si="4"/>
        <v>667.7</v>
      </c>
      <c r="AB40" s="61">
        <f t="shared" si="4"/>
        <v>662.90000000000009</v>
      </c>
      <c r="AC40" s="61">
        <f t="shared" si="4"/>
        <v>647.29999999999995</v>
      </c>
      <c r="AD40" s="61">
        <f t="shared" si="4"/>
        <v>632.70000000000005</v>
      </c>
      <c r="AE40" s="61">
        <f t="shared" si="4"/>
        <v>577.29999999999995</v>
      </c>
      <c r="AF40" s="61">
        <f t="shared" si="4"/>
        <v>555.4</v>
      </c>
      <c r="AG40" s="62">
        <f t="shared" si="4"/>
        <v>707.78000000000009</v>
      </c>
      <c r="AH40" s="48">
        <f t="shared" si="2"/>
        <v>678.6</v>
      </c>
      <c r="AI40" s="49">
        <f t="shared" si="3"/>
        <v>555.4</v>
      </c>
      <c r="AK40" s="50"/>
    </row>
    <row r="41" spans="1:88" x14ac:dyDescent="0.25">
      <c r="A41" s="63" t="s">
        <v>49</v>
      </c>
      <c r="B41" s="45">
        <v>130</v>
      </c>
      <c r="C41" s="45">
        <v>90</v>
      </c>
      <c r="D41" s="45">
        <v>90</v>
      </c>
      <c r="E41" s="45">
        <v>105</v>
      </c>
      <c r="F41" s="45">
        <v>130</v>
      </c>
      <c r="G41" s="45">
        <v>160</v>
      </c>
      <c r="H41" s="45">
        <v>170</v>
      </c>
      <c r="I41" s="45">
        <v>180</v>
      </c>
      <c r="J41" s="45">
        <v>240</v>
      </c>
      <c r="K41" s="45">
        <v>380</v>
      </c>
      <c r="L41" s="45">
        <v>456</v>
      </c>
      <c r="M41" s="45">
        <v>456</v>
      </c>
      <c r="N41" s="45">
        <v>300</v>
      </c>
      <c r="O41" s="45">
        <v>240</v>
      </c>
      <c r="P41" s="45">
        <v>200</v>
      </c>
      <c r="Q41" s="45">
        <v>140</v>
      </c>
      <c r="R41" s="45">
        <v>160</v>
      </c>
      <c r="S41" s="45">
        <v>120</v>
      </c>
      <c r="T41" s="45">
        <v>120</v>
      </c>
      <c r="U41" s="45">
        <v>140</v>
      </c>
      <c r="V41" s="45">
        <v>190</v>
      </c>
      <c r="W41" s="45">
        <v>400</v>
      </c>
      <c r="X41" s="45">
        <v>430</v>
      </c>
      <c r="Y41" s="45">
        <v>340</v>
      </c>
      <c r="Z41" s="45">
        <v>300</v>
      </c>
      <c r="AA41" s="45">
        <v>300</v>
      </c>
      <c r="AB41" s="45">
        <v>240</v>
      </c>
      <c r="AC41" s="45">
        <v>200</v>
      </c>
      <c r="AD41" s="45">
        <v>180</v>
      </c>
      <c r="AE41" s="45">
        <v>140</v>
      </c>
      <c r="AF41" s="45">
        <v>150</v>
      </c>
      <c r="AG41" s="52">
        <v>456</v>
      </c>
      <c r="AH41" s="48">
        <f t="shared" si="2"/>
        <v>456</v>
      </c>
      <c r="AI41" s="49">
        <f t="shared" si="3"/>
        <v>90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22.2</v>
      </c>
      <c r="C43" s="67">
        <v>22</v>
      </c>
      <c r="D43" s="67">
        <v>22</v>
      </c>
      <c r="E43" s="67">
        <v>22</v>
      </c>
      <c r="F43" s="67">
        <v>22</v>
      </c>
      <c r="G43" s="67">
        <v>22</v>
      </c>
      <c r="H43" s="67">
        <v>22</v>
      </c>
      <c r="I43" s="67">
        <v>22</v>
      </c>
      <c r="J43" s="67">
        <v>22</v>
      </c>
      <c r="K43" s="67">
        <v>22</v>
      </c>
      <c r="L43" s="67">
        <v>22</v>
      </c>
      <c r="M43" s="67">
        <v>22</v>
      </c>
      <c r="N43" s="67">
        <v>22</v>
      </c>
      <c r="O43" s="67">
        <v>22</v>
      </c>
      <c r="P43" s="67">
        <v>22</v>
      </c>
      <c r="Q43" s="67">
        <v>22</v>
      </c>
      <c r="R43" s="67">
        <v>22</v>
      </c>
      <c r="S43" s="67">
        <v>22</v>
      </c>
      <c r="T43" s="67">
        <v>22</v>
      </c>
      <c r="U43" s="67">
        <v>22</v>
      </c>
      <c r="V43" s="67">
        <v>22</v>
      </c>
      <c r="W43" s="67">
        <v>22</v>
      </c>
      <c r="X43" s="67">
        <v>22</v>
      </c>
      <c r="Y43" s="67">
        <v>22</v>
      </c>
      <c r="Z43" s="67">
        <v>22</v>
      </c>
      <c r="AA43" s="67">
        <v>22</v>
      </c>
      <c r="AB43" s="67">
        <v>22</v>
      </c>
      <c r="AC43" s="67">
        <v>22</v>
      </c>
      <c r="AD43" s="67">
        <v>21.5</v>
      </c>
      <c r="AE43" s="67">
        <v>21.4</v>
      </c>
      <c r="AF43" s="67">
        <v>21.4</v>
      </c>
      <c r="AG43" s="68">
        <v>22.1</v>
      </c>
      <c r="AH43" s="48">
        <f t="shared" si="2"/>
        <v>22.2</v>
      </c>
      <c r="AI43" s="49">
        <f t="shared" si="3"/>
        <v>21.4</v>
      </c>
      <c r="AK43" s="50"/>
    </row>
    <row r="44" spans="1:88" ht="15.75" thickBot="1" x14ac:dyDescent="0.3">
      <c r="A44" s="69" t="s">
        <v>52</v>
      </c>
      <c r="B44" s="61">
        <f>SUM(B41:B43)</f>
        <v>212.2</v>
      </c>
      <c r="C44" s="61">
        <f t="shared" ref="C44:AG44" si="5">SUM(C41:C43)</f>
        <v>172</v>
      </c>
      <c r="D44" s="61">
        <f t="shared" si="5"/>
        <v>172</v>
      </c>
      <c r="E44" s="61">
        <f t="shared" si="5"/>
        <v>187</v>
      </c>
      <c r="F44" s="61">
        <f t="shared" si="5"/>
        <v>212</v>
      </c>
      <c r="G44" s="61">
        <f t="shared" si="5"/>
        <v>242</v>
      </c>
      <c r="H44" s="61">
        <f t="shared" si="5"/>
        <v>252</v>
      </c>
      <c r="I44" s="61">
        <f t="shared" si="5"/>
        <v>262</v>
      </c>
      <c r="J44" s="61">
        <f t="shared" si="5"/>
        <v>322</v>
      </c>
      <c r="K44" s="61">
        <f t="shared" si="5"/>
        <v>462</v>
      </c>
      <c r="L44" s="61">
        <f t="shared" si="5"/>
        <v>538</v>
      </c>
      <c r="M44" s="61">
        <f t="shared" si="5"/>
        <v>538</v>
      </c>
      <c r="N44" s="61">
        <f t="shared" si="5"/>
        <v>382</v>
      </c>
      <c r="O44" s="61">
        <f t="shared" si="5"/>
        <v>322</v>
      </c>
      <c r="P44" s="61">
        <f t="shared" si="5"/>
        <v>282</v>
      </c>
      <c r="Q44" s="61">
        <f t="shared" si="5"/>
        <v>222</v>
      </c>
      <c r="R44" s="61">
        <f t="shared" si="5"/>
        <v>242</v>
      </c>
      <c r="S44" s="61">
        <f t="shared" si="5"/>
        <v>202</v>
      </c>
      <c r="T44" s="61">
        <f t="shared" si="5"/>
        <v>202</v>
      </c>
      <c r="U44" s="61">
        <f t="shared" si="5"/>
        <v>222</v>
      </c>
      <c r="V44" s="61">
        <f t="shared" si="5"/>
        <v>272</v>
      </c>
      <c r="W44" s="61">
        <f t="shared" si="5"/>
        <v>482</v>
      </c>
      <c r="X44" s="61">
        <f t="shared" si="5"/>
        <v>512</v>
      </c>
      <c r="Y44" s="61">
        <f t="shared" si="5"/>
        <v>422</v>
      </c>
      <c r="Z44" s="61">
        <f t="shared" si="5"/>
        <v>382</v>
      </c>
      <c r="AA44" s="61">
        <f t="shared" si="5"/>
        <v>382</v>
      </c>
      <c r="AB44" s="61">
        <f t="shared" si="5"/>
        <v>322</v>
      </c>
      <c r="AC44" s="61">
        <f t="shared" si="5"/>
        <v>282</v>
      </c>
      <c r="AD44" s="61">
        <f t="shared" si="5"/>
        <v>261.5</v>
      </c>
      <c r="AE44" s="61">
        <f t="shared" si="5"/>
        <v>221.4</v>
      </c>
      <c r="AF44" s="61">
        <f t="shared" si="5"/>
        <v>231.4</v>
      </c>
      <c r="AG44" s="62">
        <f t="shared" si="5"/>
        <v>538.1</v>
      </c>
      <c r="AH44" s="48">
        <f t="shared" si="2"/>
        <v>538</v>
      </c>
      <c r="AI44" s="49">
        <f t="shared" si="3"/>
        <v>172</v>
      </c>
      <c r="AK44" s="50"/>
    </row>
    <row r="45" spans="1:88" x14ac:dyDescent="0.25">
      <c r="A45" s="44" t="s">
        <v>53</v>
      </c>
      <c r="B45" s="45">
        <v>110</v>
      </c>
      <c r="C45" s="45">
        <v>103</v>
      </c>
      <c r="D45" s="45">
        <v>90</v>
      </c>
      <c r="E45" s="45">
        <v>90</v>
      </c>
      <c r="F45" s="45">
        <v>90</v>
      </c>
      <c r="G45" s="45">
        <v>115</v>
      </c>
      <c r="H45" s="45">
        <v>144</v>
      </c>
      <c r="I45" s="45">
        <v>144</v>
      </c>
      <c r="J45" s="45">
        <v>144</v>
      </c>
      <c r="K45" s="45">
        <v>144</v>
      </c>
      <c r="L45" s="45">
        <v>144</v>
      </c>
      <c r="M45" s="45">
        <v>143.5</v>
      </c>
      <c r="N45" s="45">
        <v>143.5</v>
      </c>
      <c r="O45" s="45">
        <v>143.6</v>
      </c>
      <c r="P45" s="45">
        <v>143.6</v>
      </c>
      <c r="Q45" s="45">
        <v>143.6</v>
      </c>
      <c r="R45" s="45">
        <v>143.6</v>
      </c>
      <c r="S45" s="45">
        <v>143.6</v>
      </c>
      <c r="T45" s="45">
        <v>143.6</v>
      </c>
      <c r="U45" s="45">
        <v>143.4</v>
      </c>
      <c r="V45" s="45">
        <v>143.4</v>
      </c>
      <c r="W45" s="45">
        <v>143.4</v>
      </c>
      <c r="X45" s="45">
        <v>143.4</v>
      </c>
      <c r="Y45" s="45">
        <v>143.4</v>
      </c>
      <c r="Z45" s="45">
        <v>143.4</v>
      </c>
      <c r="AA45" s="45">
        <v>143.4</v>
      </c>
      <c r="AB45" s="45">
        <v>143.4</v>
      </c>
      <c r="AC45" s="45">
        <v>143.4</v>
      </c>
      <c r="AD45" s="45">
        <v>143.4</v>
      </c>
      <c r="AE45" s="45">
        <v>143.4</v>
      </c>
      <c r="AF45" s="45">
        <v>122</v>
      </c>
      <c r="AG45" s="52">
        <v>144</v>
      </c>
      <c r="AH45" s="48">
        <f t="shared" si="2"/>
        <v>144</v>
      </c>
      <c r="AI45" s="49">
        <f t="shared" si="3"/>
        <v>90</v>
      </c>
      <c r="AK45" s="50"/>
    </row>
    <row r="46" spans="1:88" x14ac:dyDescent="0.25">
      <c r="A46" s="54" t="s">
        <v>54</v>
      </c>
      <c r="B46" s="65">
        <v>61</v>
      </c>
      <c r="C46" s="65">
        <v>56</v>
      </c>
      <c r="D46" s="65">
        <v>56.1</v>
      </c>
      <c r="E46" s="65">
        <v>56.1</v>
      </c>
      <c r="F46" s="65">
        <v>57</v>
      </c>
      <c r="G46" s="65">
        <v>66</v>
      </c>
      <c r="H46" s="65">
        <v>72</v>
      </c>
      <c r="I46" s="65">
        <v>72</v>
      </c>
      <c r="J46" s="65">
        <v>72</v>
      </c>
      <c r="K46" s="65">
        <v>72</v>
      </c>
      <c r="L46" s="65">
        <v>72</v>
      </c>
      <c r="M46" s="65">
        <v>72.2</v>
      </c>
      <c r="N46" s="65">
        <v>72.2</v>
      </c>
      <c r="O46" s="45">
        <v>71.7</v>
      </c>
      <c r="P46" s="45">
        <v>71.7</v>
      </c>
      <c r="Q46" s="45">
        <v>71.7</v>
      </c>
      <c r="R46" s="45">
        <v>71.7</v>
      </c>
      <c r="S46" s="45">
        <v>71.7</v>
      </c>
      <c r="T46" s="45">
        <v>71.7</v>
      </c>
      <c r="U46" s="65">
        <v>70.7</v>
      </c>
      <c r="V46" s="65">
        <v>70.7</v>
      </c>
      <c r="W46" s="65">
        <v>70.7</v>
      </c>
      <c r="X46" s="65">
        <v>70.7</v>
      </c>
      <c r="Y46" s="65">
        <v>70.7</v>
      </c>
      <c r="Z46" s="65">
        <v>70.7</v>
      </c>
      <c r="AA46" s="65">
        <v>70.7</v>
      </c>
      <c r="AB46" s="65">
        <v>70.7</v>
      </c>
      <c r="AC46" s="65">
        <v>72.599999999999994</v>
      </c>
      <c r="AD46" s="65">
        <v>71.900000000000006</v>
      </c>
      <c r="AE46" s="65">
        <v>72.900000000000006</v>
      </c>
      <c r="AF46" s="65">
        <v>72.7</v>
      </c>
      <c r="AG46" s="55">
        <v>70</v>
      </c>
      <c r="AH46" s="48">
        <f t="shared" si="2"/>
        <v>72.900000000000006</v>
      </c>
      <c r="AI46" s="49">
        <f t="shared" si="3"/>
        <v>56</v>
      </c>
      <c r="AK46" s="50"/>
    </row>
    <row r="47" spans="1:88" x14ac:dyDescent="0.25">
      <c r="A47" s="54" t="s">
        <v>55</v>
      </c>
      <c r="B47" s="65">
        <v>60</v>
      </c>
      <c r="C47" s="65">
        <v>55</v>
      </c>
      <c r="D47" s="65">
        <v>55</v>
      </c>
      <c r="E47" s="65">
        <v>55</v>
      </c>
      <c r="F47" s="65">
        <v>60</v>
      </c>
      <c r="G47" s="65">
        <v>69</v>
      </c>
      <c r="H47" s="65">
        <v>71</v>
      </c>
      <c r="I47" s="65">
        <v>71</v>
      </c>
      <c r="J47" s="65">
        <v>71</v>
      </c>
      <c r="K47" s="65">
        <v>71</v>
      </c>
      <c r="L47" s="65">
        <v>71</v>
      </c>
      <c r="M47" s="65">
        <v>70.8</v>
      </c>
      <c r="N47" s="65">
        <v>70.8</v>
      </c>
      <c r="O47" s="45">
        <v>70.8</v>
      </c>
      <c r="P47" s="45">
        <v>70.8</v>
      </c>
      <c r="Q47" s="45">
        <v>70.8</v>
      </c>
      <c r="R47" s="45">
        <v>70.8</v>
      </c>
      <c r="S47" s="45">
        <v>70.8</v>
      </c>
      <c r="T47" s="45">
        <v>70.8</v>
      </c>
      <c r="U47" s="65">
        <v>71.599999999999994</v>
      </c>
      <c r="V47" s="65">
        <v>71.599999999999994</v>
      </c>
      <c r="W47" s="65">
        <v>71.599999999999994</v>
      </c>
      <c r="X47" s="65">
        <v>71.599999999999994</v>
      </c>
      <c r="Y47" s="65">
        <v>71.599999999999994</v>
      </c>
      <c r="Z47" s="65">
        <v>71.599999999999994</v>
      </c>
      <c r="AA47" s="65">
        <v>71.599999999999994</v>
      </c>
      <c r="AB47" s="65">
        <v>71.599999999999994</v>
      </c>
      <c r="AC47" s="65">
        <v>70.400000000000006</v>
      </c>
      <c r="AD47" s="65">
        <v>70.900000000000006</v>
      </c>
      <c r="AE47" s="65">
        <v>70.5</v>
      </c>
      <c r="AF47" s="65">
        <v>71.5</v>
      </c>
      <c r="AG47" s="55">
        <v>69</v>
      </c>
      <c r="AH47" s="48">
        <f t="shared" si="2"/>
        <v>71.599999999999994</v>
      </c>
      <c r="AI47" s="49">
        <f t="shared" si="3"/>
        <v>55</v>
      </c>
      <c r="AK47" s="50"/>
    </row>
    <row r="48" spans="1:88" x14ac:dyDescent="0.25">
      <c r="A48" s="54" t="s">
        <v>56</v>
      </c>
      <c r="B48" s="57">
        <v>50</v>
      </c>
      <c r="C48" s="57">
        <v>50</v>
      </c>
      <c r="D48" s="57">
        <v>50</v>
      </c>
      <c r="E48" s="57">
        <v>40</v>
      </c>
      <c r="F48" s="57">
        <v>40</v>
      </c>
      <c r="G48" s="57">
        <v>40</v>
      </c>
      <c r="H48" s="57">
        <v>55</v>
      </c>
      <c r="I48" s="57">
        <v>60</v>
      </c>
      <c r="J48" s="57">
        <v>60</v>
      </c>
      <c r="K48" s="57">
        <v>60</v>
      </c>
      <c r="L48" s="57">
        <v>60</v>
      </c>
      <c r="M48" s="65">
        <v>60.7</v>
      </c>
      <c r="N48" s="65">
        <v>60.7</v>
      </c>
      <c r="O48" s="45">
        <v>60.7</v>
      </c>
      <c r="P48" s="45">
        <v>60.7</v>
      </c>
      <c r="Q48" s="45">
        <v>60.7</v>
      </c>
      <c r="R48" s="45">
        <v>60.7</v>
      </c>
      <c r="S48" s="45">
        <v>60.7</v>
      </c>
      <c r="T48" s="45">
        <v>60.7</v>
      </c>
      <c r="U48" s="45">
        <v>60.9</v>
      </c>
      <c r="V48" s="45">
        <v>60.9</v>
      </c>
      <c r="W48" s="45">
        <v>60.9</v>
      </c>
      <c r="X48" s="65">
        <v>60.9</v>
      </c>
      <c r="Y48" s="65">
        <v>60.9</v>
      </c>
      <c r="Z48" s="65">
        <v>60.9</v>
      </c>
      <c r="AA48" s="65">
        <v>60.9</v>
      </c>
      <c r="AB48" s="65">
        <v>60.9</v>
      </c>
      <c r="AC48" s="65">
        <v>60.9</v>
      </c>
      <c r="AD48" s="57">
        <v>60.9</v>
      </c>
      <c r="AE48" s="57">
        <v>60.9</v>
      </c>
      <c r="AF48" s="57">
        <v>60.9</v>
      </c>
      <c r="AG48" s="55">
        <v>60</v>
      </c>
      <c r="AH48" s="48">
        <f t="shared" si="2"/>
        <v>60.9</v>
      </c>
      <c r="AI48" s="49">
        <f t="shared" si="3"/>
        <v>40</v>
      </c>
      <c r="AK48" s="50"/>
    </row>
    <row r="49" spans="1:41" x14ac:dyDescent="0.25">
      <c r="A49" s="54" t="s">
        <v>57</v>
      </c>
      <c r="B49" s="57">
        <v>0</v>
      </c>
      <c r="C49" s="57">
        <v>0</v>
      </c>
      <c r="D49" s="57">
        <v>0</v>
      </c>
      <c r="E49" s="57">
        <v>0</v>
      </c>
      <c r="F49" s="57">
        <v>0</v>
      </c>
      <c r="G49" s="57">
        <v>13</v>
      </c>
      <c r="H49" s="57">
        <v>13</v>
      </c>
      <c r="I49" s="57">
        <v>13</v>
      </c>
      <c r="J49" s="57">
        <v>13</v>
      </c>
      <c r="K49" s="57">
        <v>13</v>
      </c>
      <c r="L49" s="57">
        <v>13</v>
      </c>
      <c r="M49" s="65">
        <v>29.3</v>
      </c>
      <c r="N49" s="65">
        <v>29.3</v>
      </c>
      <c r="O49" s="45">
        <v>26.4</v>
      </c>
      <c r="P49" s="45">
        <v>14.9</v>
      </c>
      <c r="Q49" s="45">
        <v>0</v>
      </c>
      <c r="R49" s="45">
        <v>0</v>
      </c>
      <c r="S49" s="45">
        <v>0</v>
      </c>
      <c r="T49" s="45">
        <v>0</v>
      </c>
      <c r="U49" s="45">
        <v>0</v>
      </c>
      <c r="V49" s="45">
        <v>26</v>
      </c>
      <c r="W49" s="45">
        <v>26</v>
      </c>
      <c r="X49" s="65">
        <v>30</v>
      </c>
      <c r="Y49" s="65">
        <v>30</v>
      </c>
      <c r="Z49" s="65">
        <v>30</v>
      </c>
      <c r="AA49" s="65">
        <v>30</v>
      </c>
      <c r="AB49" s="65">
        <v>25.4</v>
      </c>
      <c r="AC49" s="65">
        <v>0</v>
      </c>
      <c r="AD49" s="57">
        <v>0</v>
      </c>
      <c r="AE49" s="57">
        <v>0</v>
      </c>
      <c r="AF49" s="57">
        <v>0</v>
      </c>
      <c r="AG49" s="55">
        <v>30</v>
      </c>
      <c r="AH49" s="48">
        <f t="shared" si="2"/>
        <v>30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6</v>
      </c>
      <c r="N50" s="65">
        <v>8</v>
      </c>
      <c r="O50" s="65">
        <v>10</v>
      </c>
      <c r="P50" s="65">
        <v>12</v>
      </c>
      <c r="Q50" s="65">
        <v>12</v>
      </c>
      <c r="R50" s="65">
        <v>12</v>
      </c>
      <c r="S50" s="65">
        <v>12</v>
      </c>
      <c r="T50" s="65">
        <v>12</v>
      </c>
      <c r="U50" s="45">
        <v>12</v>
      </c>
      <c r="V50" s="45">
        <v>6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45">
        <v>0</v>
      </c>
      <c r="AC50" s="45">
        <v>0</v>
      </c>
      <c r="AD50" s="65">
        <v>0</v>
      </c>
      <c r="AE50" s="65">
        <v>0</v>
      </c>
      <c r="AF50" s="65">
        <v>0</v>
      </c>
      <c r="AG50" s="55">
        <v>25</v>
      </c>
      <c r="AH50" s="48">
        <f t="shared" si="2"/>
        <v>12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17.5</v>
      </c>
      <c r="C51" s="65">
        <v>17.5</v>
      </c>
      <c r="D51" s="65">
        <v>17.5</v>
      </c>
      <c r="E51" s="65">
        <v>17.5</v>
      </c>
      <c r="F51" s="65">
        <v>17.5</v>
      </c>
      <c r="G51" s="65">
        <v>17.5</v>
      </c>
      <c r="H51" s="65">
        <v>17.5</v>
      </c>
      <c r="I51" s="65">
        <v>17.5</v>
      </c>
      <c r="J51" s="65">
        <v>17.5</v>
      </c>
      <c r="K51" s="65">
        <v>17.5</v>
      </c>
      <c r="L51" s="65">
        <v>17.5</v>
      </c>
      <c r="M51" s="65">
        <v>17.5</v>
      </c>
      <c r="N51" s="65">
        <v>17.5</v>
      </c>
      <c r="O51" s="65">
        <v>17.5</v>
      </c>
      <c r="P51" s="65">
        <v>17.5</v>
      </c>
      <c r="Q51" s="65">
        <v>17.5</v>
      </c>
      <c r="R51" s="65">
        <v>17.5</v>
      </c>
      <c r="S51" s="65">
        <v>17.5</v>
      </c>
      <c r="T51" s="65">
        <v>17.5</v>
      </c>
      <c r="U51" s="65">
        <v>17.5</v>
      </c>
      <c r="V51" s="65">
        <v>17.5</v>
      </c>
      <c r="W51" s="65">
        <v>17.5</v>
      </c>
      <c r="X51" s="45">
        <v>17.5</v>
      </c>
      <c r="Y51" s="45">
        <v>17.5</v>
      </c>
      <c r="Z51" s="45">
        <v>17.5</v>
      </c>
      <c r="AA51" s="45">
        <v>17.5</v>
      </c>
      <c r="AB51" s="45">
        <v>17.5</v>
      </c>
      <c r="AC51" s="45">
        <v>17.2</v>
      </c>
      <c r="AD51" s="65">
        <v>17.2</v>
      </c>
      <c r="AE51" s="65">
        <v>17.2</v>
      </c>
      <c r="AF51" s="65">
        <v>17.2</v>
      </c>
      <c r="AG51" s="55">
        <v>24</v>
      </c>
      <c r="AH51" s="48">
        <f t="shared" si="2"/>
        <v>17.5</v>
      </c>
      <c r="AI51" s="49">
        <f t="shared" si="3"/>
        <v>17.2</v>
      </c>
      <c r="AK51" s="50"/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14.3</v>
      </c>
      <c r="C53" s="65">
        <v>15.5</v>
      </c>
      <c r="D53" s="65">
        <v>15.6</v>
      </c>
      <c r="E53" s="65">
        <v>15.6</v>
      </c>
      <c r="F53" s="65">
        <v>15.6</v>
      </c>
      <c r="G53" s="65">
        <v>15.6</v>
      </c>
      <c r="H53" s="65">
        <v>15.6</v>
      </c>
      <c r="I53" s="65">
        <v>15.6</v>
      </c>
      <c r="J53" s="65">
        <v>15.6</v>
      </c>
      <c r="K53" s="65">
        <v>15.6</v>
      </c>
      <c r="L53" s="65">
        <v>15.6</v>
      </c>
      <c r="M53" s="65">
        <v>14</v>
      </c>
      <c r="N53" s="65">
        <v>14</v>
      </c>
      <c r="O53" s="65">
        <v>14.6</v>
      </c>
      <c r="P53" s="65">
        <v>14.6</v>
      </c>
      <c r="Q53" s="65">
        <v>14.6</v>
      </c>
      <c r="R53" s="65">
        <v>14.6</v>
      </c>
      <c r="S53" s="65">
        <v>14.6</v>
      </c>
      <c r="T53" s="65">
        <v>14</v>
      </c>
      <c r="U53" s="65">
        <v>14</v>
      </c>
      <c r="V53" s="65">
        <v>14</v>
      </c>
      <c r="W53" s="65">
        <v>14</v>
      </c>
      <c r="X53" s="65">
        <v>14</v>
      </c>
      <c r="Y53" s="65">
        <v>14</v>
      </c>
      <c r="Z53" s="65">
        <v>14</v>
      </c>
      <c r="AA53" s="65">
        <v>14</v>
      </c>
      <c r="AB53" s="65">
        <v>14.5</v>
      </c>
      <c r="AC53" s="65">
        <v>14.6</v>
      </c>
      <c r="AD53" s="65">
        <v>14.7</v>
      </c>
      <c r="AE53" s="65">
        <v>14.9</v>
      </c>
      <c r="AF53" s="65">
        <v>14.9</v>
      </c>
      <c r="AG53" s="55">
        <v>14.1</v>
      </c>
      <c r="AH53" s="48">
        <f t="shared" si="2"/>
        <v>15.6</v>
      </c>
      <c r="AI53" s="49">
        <f t="shared" si="3"/>
        <v>14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9</v>
      </c>
      <c r="C54" s="65">
        <v>9</v>
      </c>
      <c r="D54" s="65">
        <v>9</v>
      </c>
      <c r="E54" s="65">
        <v>9</v>
      </c>
      <c r="F54" s="65">
        <v>9</v>
      </c>
      <c r="G54" s="65">
        <v>9</v>
      </c>
      <c r="H54" s="65">
        <v>9</v>
      </c>
      <c r="I54" s="65">
        <v>9</v>
      </c>
      <c r="J54" s="65">
        <v>9</v>
      </c>
      <c r="K54" s="65">
        <v>9</v>
      </c>
      <c r="L54" s="65">
        <v>9</v>
      </c>
      <c r="M54" s="65">
        <v>9</v>
      </c>
      <c r="N54" s="65">
        <v>9</v>
      </c>
      <c r="O54" s="65">
        <v>9.1</v>
      </c>
      <c r="P54" s="65">
        <v>9.1</v>
      </c>
      <c r="Q54" s="65">
        <v>9.1</v>
      </c>
      <c r="R54" s="65">
        <v>9.1</v>
      </c>
      <c r="S54" s="65">
        <v>9.1</v>
      </c>
      <c r="T54" s="65">
        <v>9.1</v>
      </c>
      <c r="U54" s="65">
        <v>9.1</v>
      </c>
      <c r="V54" s="65">
        <v>9.1</v>
      </c>
      <c r="W54" s="65">
        <v>9.1</v>
      </c>
      <c r="X54" s="65">
        <v>10.1</v>
      </c>
      <c r="Y54" s="65">
        <v>10.1</v>
      </c>
      <c r="Z54" s="65">
        <v>10.1</v>
      </c>
      <c r="AA54" s="65">
        <v>10.1</v>
      </c>
      <c r="AB54" s="65">
        <v>10</v>
      </c>
      <c r="AC54" s="65">
        <v>10.1</v>
      </c>
      <c r="AD54" s="65">
        <v>10.199999999999999</v>
      </c>
      <c r="AE54" s="65">
        <v>10</v>
      </c>
      <c r="AF54" s="65">
        <v>10</v>
      </c>
      <c r="AG54" s="55">
        <v>14</v>
      </c>
      <c r="AH54" s="48">
        <f t="shared" si="2"/>
        <v>10.199999999999999</v>
      </c>
      <c r="AI54" s="49">
        <f t="shared" si="3"/>
        <v>9</v>
      </c>
      <c r="AK54" s="50"/>
    </row>
    <row r="55" spans="1:41" x14ac:dyDescent="0.25">
      <c r="A55" s="54" t="s">
        <v>63</v>
      </c>
      <c r="B55" s="65">
        <v>9</v>
      </c>
      <c r="C55" s="65">
        <v>9</v>
      </c>
      <c r="D55" s="65">
        <v>9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9</v>
      </c>
      <c r="S55" s="65">
        <v>9</v>
      </c>
      <c r="T55" s="65">
        <v>9</v>
      </c>
      <c r="U55" s="65">
        <v>9</v>
      </c>
      <c r="V55" s="65">
        <v>9</v>
      </c>
      <c r="W55" s="65">
        <v>9</v>
      </c>
      <c r="X55" s="65">
        <v>9</v>
      </c>
      <c r="Y55" s="65">
        <v>9</v>
      </c>
      <c r="Z55" s="65">
        <v>9</v>
      </c>
      <c r="AA55" s="65">
        <v>9</v>
      </c>
      <c r="AB55" s="65">
        <v>9</v>
      </c>
      <c r="AC55" s="65">
        <v>9</v>
      </c>
      <c r="AD55" s="65">
        <v>9</v>
      </c>
      <c r="AE55" s="65">
        <v>9</v>
      </c>
      <c r="AF55" s="65">
        <v>9</v>
      </c>
      <c r="AG55" s="55">
        <v>10.050000000000001</v>
      </c>
      <c r="AH55" s="48">
        <f t="shared" si="2"/>
        <v>9</v>
      </c>
      <c r="AI55" s="49">
        <f t="shared" si="3"/>
        <v>9</v>
      </c>
      <c r="AK55" s="50"/>
    </row>
    <row r="56" spans="1:41" x14ac:dyDescent="0.25">
      <c r="A56" s="54" t="s">
        <v>64</v>
      </c>
      <c r="B56" s="65">
        <v>6.2</v>
      </c>
      <c r="C56" s="65">
        <v>6.2</v>
      </c>
      <c r="D56" s="65">
        <v>6.2</v>
      </c>
      <c r="E56" s="65">
        <v>6.2</v>
      </c>
      <c r="F56" s="65">
        <v>6.2</v>
      </c>
      <c r="G56" s="65">
        <v>6.2</v>
      </c>
      <c r="H56" s="65">
        <v>6.2</v>
      </c>
      <c r="I56" s="65">
        <v>6.2</v>
      </c>
      <c r="J56" s="65">
        <v>6.2</v>
      </c>
      <c r="K56" s="65">
        <v>6.2</v>
      </c>
      <c r="L56" s="65">
        <v>6.2</v>
      </c>
      <c r="M56" s="65">
        <v>6.2</v>
      </c>
      <c r="N56" s="65">
        <v>6.2</v>
      </c>
      <c r="O56" s="65">
        <v>6.2</v>
      </c>
      <c r="P56" s="65">
        <v>6.2</v>
      </c>
      <c r="Q56" s="65">
        <v>6.2</v>
      </c>
      <c r="R56" s="65">
        <v>6.2</v>
      </c>
      <c r="S56" s="65">
        <v>6.2</v>
      </c>
      <c r="T56" s="65">
        <v>6.2</v>
      </c>
      <c r="U56" s="65">
        <v>6.2</v>
      </c>
      <c r="V56" s="65">
        <v>6.2</v>
      </c>
      <c r="W56" s="65">
        <v>6.2</v>
      </c>
      <c r="X56" s="65">
        <v>4.5999999999999996</v>
      </c>
      <c r="Y56" s="65">
        <v>4.5999999999999996</v>
      </c>
      <c r="Z56" s="65">
        <v>4.5999999999999996</v>
      </c>
      <c r="AA56" s="65">
        <v>4.5999999999999996</v>
      </c>
      <c r="AB56" s="65">
        <v>4.5999999999999996</v>
      </c>
      <c r="AC56" s="65">
        <v>4.5999999999999996</v>
      </c>
      <c r="AD56" s="65">
        <v>4.5999999999999996</v>
      </c>
      <c r="AE56" s="65">
        <v>4.5999999999999996</v>
      </c>
      <c r="AF56" s="65">
        <v>4.5999999999999996</v>
      </c>
      <c r="AG56" s="55">
        <v>6.2</v>
      </c>
      <c r="AH56" s="48">
        <f t="shared" si="2"/>
        <v>6.2</v>
      </c>
      <c r="AI56" s="49">
        <f t="shared" si="3"/>
        <v>4.5999999999999996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:AG58" si="6">SUM(B45:B57)</f>
        <v>340.54</v>
      </c>
      <c r="C58" s="61">
        <f t="shared" si="6"/>
        <v>324.74</v>
      </c>
      <c r="D58" s="61">
        <f t="shared" si="6"/>
        <v>311.94000000000005</v>
      </c>
      <c r="E58" s="61">
        <f t="shared" si="6"/>
        <v>301.94000000000005</v>
      </c>
      <c r="F58" s="61">
        <f t="shared" si="6"/>
        <v>307.84000000000003</v>
      </c>
      <c r="G58" s="61">
        <f t="shared" si="6"/>
        <v>363.84000000000003</v>
      </c>
      <c r="H58" s="61">
        <f t="shared" si="6"/>
        <v>415.84000000000003</v>
      </c>
      <c r="I58" s="61">
        <f t="shared" si="6"/>
        <v>420.84000000000003</v>
      </c>
      <c r="J58" s="61">
        <f t="shared" si="6"/>
        <v>420.84000000000003</v>
      </c>
      <c r="K58" s="61">
        <f t="shared" si="6"/>
        <v>420.84000000000003</v>
      </c>
      <c r="L58" s="61">
        <f t="shared" si="6"/>
        <v>420.84000000000003</v>
      </c>
      <c r="M58" s="61">
        <f t="shared" si="6"/>
        <v>441.74</v>
      </c>
      <c r="N58" s="61">
        <f t="shared" si="6"/>
        <v>443.74</v>
      </c>
      <c r="O58" s="61">
        <f t="shared" si="6"/>
        <v>443.14000000000004</v>
      </c>
      <c r="P58" s="61">
        <f t="shared" si="6"/>
        <v>433.64000000000004</v>
      </c>
      <c r="Q58" s="61">
        <f t="shared" si="6"/>
        <v>418.74000000000007</v>
      </c>
      <c r="R58" s="61">
        <f t="shared" si="6"/>
        <v>418.74000000000007</v>
      </c>
      <c r="S58" s="61">
        <f t="shared" si="6"/>
        <v>418.74000000000007</v>
      </c>
      <c r="T58" s="61">
        <f t="shared" si="6"/>
        <v>418.14000000000004</v>
      </c>
      <c r="U58" s="61">
        <f t="shared" si="6"/>
        <v>417.94000000000005</v>
      </c>
      <c r="V58" s="61">
        <f t="shared" si="6"/>
        <v>437.94000000000005</v>
      </c>
      <c r="W58" s="61">
        <f t="shared" si="6"/>
        <v>431.94000000000005</v>
      </c>
      <c r="X58" s="61">
        <f t="shared" si="6"/>
        <v>435.34000000000009</v>
      </c>
      <c r="Y58" s="61">
        <f t="shared" si="6"/>
        <v>435.34000000000009</v>
      </c>
      <c r="Z58" s="61">
        <f t="shared" si="6"/>
        <v>435.34000000000009</v>
      </c>
      <c r="AA58" s="61">
        <f t="shared" si="6"/>
        <v>435.34000000000009</v>
      </c>
      <c r="AB58" s="61">
        <f t="shared" si="6"/>
        <v>431.14000000000004</v>
      </c>
      <c r="AC58" s="61">
        <f t="shared" si="6"/>
        <v>406.34000000000003</v>
      </c>
      <c r="AD58" s="61">
        <f t="shared" si="6"/>
        <v>406.34000000000003</v>
      </c>
      <c r="AE58" s="61">
        <f t="shared" si="6"/>
        <v>406.94</v>
      </c>
      <c r="AF58" s="61">
        <f t="shared" si="6"/>
        <v>386.34</v>
      </c>
      <c r="AG58" s="62">
        <f t="shared" si="6"/>
        <v>489.91</v>
      </c>
      <c r="AH58" s="48">
        <f t="shared" si="2"/>
        <v>443.74</v>
      </c>
      <c r="AI58" s="49">
        <f t="shared" si="3"/>
        <v>301.94000000000005</v>
      </c>
      <c r="AK58" s="50"/>
    </row>
    <row r="59" spans="1:41" x14ac:dyDescent="0.25">
      <c r="A59" s="44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3.2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32</v>
      </c>
      <c r="AH60" s="48">
        <f t="shared" si="2"/>
        <v>3.2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3.5</v>
      </c>
      <c r="Y61" s="67">
        <v>3.5</v>
      </c>
      <c r="Z61" s="67">
        <v>0</v>
      </c>
      <c r="AA61" s="67">
        <v>0</v>
      </c>
      <c r="AB61" s="67">
        <v>0</v>
      </c>
      <c r="AC61" s="67">
        <v>0</v>
      </c>
      <c r="AD61" s="67">
        <v>0</v>
      </c>
      <c r="AE61" s="67">
        <v>0</v>
      </c>
      <c r="AF61" s="67">
        <v>0</v>
      </c>
      <c r="AG61" s="68">
        <v>14</v>
      </c>
      <c r="AH61" s="48">
        <f t="shared" si="2"/>
        <v>3.5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AG62" si="7">SUM(B59:B61)</f>
        <v>0</v>
      </c>
      <c r="C62" s="61">
        <f t="shared" si="7"/>
        <v>0</v>
      </c>
      <c r="D62" s="61">
        <f t="shared" si="7"/>
        <v>0</v>
      </c>
      <c r="E62" s="61">
        <f t="shared" si="7"/>
        <v>0</v>
      </c>
      <c r="F62" s="61">
        <f t="shared" si="7"/>
        <v>0</v>
      </c>
      <c r="G62" s="61">
        <f t="shared" si="7"/>
        <v>0</v>
      </c>
      <c r="H62" s="61">
        <f t="shared" si="7"/>
        <v>0</v>
      </c>
      <c r="I62" s="61">
        <f t="shared" si="7"/>
        <v>0</v>
      </c>
      <c r="J62" s="61">
        <f t="shared" si="7"/>
        <v>0</v>
      </c>
      <c r="K62" s="61">
        <f t="shared" si="7"/>
        <v>0</v>
      </c>
      <c r="L62" s="61">
        <f t="shared" si="7"/>
        <v>0</v>
      </c>
      <c r="M62" s="61">
        <f t="shared" si="7"/>
        <v>0</v>
      </c>
      <c r="N62" s="61">
        <f t="shared" si="7"/>
        <v>0</v>
      </c>
      <c r="O62" s="61">
        <f t="shared" si="7"/>
        <v>0</v>
      </c>
      <c r="P62" s="61">
        <f t="shared" si="7"/>
        <v>0</v>
      </c>
      <c r="Q62" s="61">
        <f t="shared" si="7"/>
        <v>0</v>
      </c>
      <c r="R62" s="61">
        <f t="shared" si="7"/>
        <v>0</v>
      </c>
      <c r="S62" s="61">
        <f t="shared" si="7"/>
        <v>0</v>
      </c>
      <c r="T62" s="61">
        <f t="shared" si="7"/>
        <v>0</v>
      </c>
      <c r="U62" s="61">
        <f t="shared" si="7"/>
        <v>0</v>
      </c>
      <c r="V62" s="61">
        <f t="shared" si="7"/>
        <v>0</v>
      </c>
      <c r="W62" s="61">
        <f t="shared" si="7"/>
        <v>0</v>
      </c>
      <c r="X62" s="61">
        <f t="shared" si="7"/>
        <v>3.5</v>
      </c>
      <c r="Y62" s="61">
        <f t="shared" si="7"/>
        <v>6.7</v>
      </c>
      <c r="Z62" s="61">
        <f t="shared" si="7"/>
        <v>0</v>
      </c>
      <c r="AA62" s="61">
        <f t="shared" si="7"/>
        <v>0</v>
      </c>
      <c r="AB62" s="61">
        <f t="shared" si="7"/>
        <v>0</v>
      </c>
      <c r="AC62" s="61">
        <f t="shared" si="7"/>
        <v>0</v>
      </c>
      <c r="AD62" s="61">
        <f t="shared" si="7"/>
        <v>0</v>
      </c>
      <c r="AE62" s="61">
        <f t="shared" si="7"/>
        <v>0</v>
      </c>
      <c r="AF62" s="61">
        <f t="shared" si="7"/>
        <v>0</v>
      </c>
      <c r="AG62" s="62">
        <f t="shared" si="7"/>
        <v>106</v>
      </c>
      <c r="AH62" s="48">
        <f t="shared" si="2"/>
        <v>6.7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35.299999999999997</v>
      </c>
      <c r="Y63" s="45">
        <v>21.6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35.299999999999997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-280</v>
      </c>
      <c r="C65" s="65">
        <v>-225</v>
      </c>
      <c r="D65" s="65">
        <v>-219</v>
      </c>
      <c r="E65" s="65">
        <v>-250</v>
      </c>
      <c r="F65" s="65">
        <v>-230</v>
      </c>
      <c r="G65" s="65">
        <v>-241</v>
      </c>
      <c r="H65" s="65">
        <v>-228</v>
      </c>
      <c r="I65" s="65">
        <v>-239</v>
      </c>
      <c r="J65" s="65">
        <v>-235</v>
      </c>
      <c r="K65" s="65">
        <v>-290</v>
      </c>
      <c r="L65" s="65">
        <v>-275</v>
      </c>
      <c r="M65" s="65">
        <v>-261</v>
      </c>
      <c r="N65" s="65">
        <v>-208.6</v>
      </c>
      <c r="O65" s="65">
        <v>-210.8</v>
      </c>
      <c r="P65" s="65">
        <v>-211.3</v>
      </c>
      <c r="Q65" s="65">
        <v>-189.7</v>
      </c>
      <c r="R65" s="65">
        <v>-213</v>
      </c>
      <c r="S65" s="65">
        <v>-130.1</v>
      </c>
      <c r="T65" s="65">
        <v>-130</v>
      </c>
      <c r="U65" s="65">
        <v>-131</v>
      </c>
      <c r="V65" s="65">
        <v>-160</v>
      </c>
      <c r="W65" s="65">
        <v>-221</v>
      </c>
      <c r="X65" s="65">
        <v>-221</v>
      </c>
      <c r="Y65" s="65">
        <v>-217</v>
      </c>
      <c r="Z65" s="65">
        <v>-220</v>
      </c>
      <c r="AA65" s="65">
        <v>-275</v>
      </c>
      <c r="AB65" s="65">
        <v>-291.89999999999998</v>
      </c>
      <c r="AC65" s="65">
        <v>-286.39999999999998</v>
      </c>
      <c r="AD65" s="65">
        <v>-298.8</v>
      </c>
      <c r="AE65" s="65">
        <v>-293.2</v>
      </c>
      <c r="AF65" s="65">
        <v>-288.89999999999998</v>
      </c>
      <c r="AG65" s="75"/>
      <c r="AH65" s="48">
        <f t="shared" si="2"/>
        <v>-130</v>
      </c>
      <c r="AI65" s="49">
        <f t="shared" si="3"/>
        <v>-298.8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>
        <v>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9">
        <v>0</v>
      </c>
      <c r="C72" s="79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6">
        <v>0</v>
      </c>
      <c r="AE72" s="76">
        <v>0</v>
      </c>
      <c r="AF72" s="76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9">
        <v>0</v>
      </c>
      <c r="C73" s="79">
        <v>0</v>
      </c>
      <c r="D73" s="79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6">
        <v>0</v>
      </c>
      <c r="AE73" s="76">
        <v>0</v>
      </c>
      <c r="AF73" s="76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>SUMIF(B63:B73,"&gt;0")</f>
        <v>0</v>
      </c>
      <c r="C74" s="61">
        <f t="shared" ref="C74:AF74" si="8">SUMIF(C63:C73,"&gt;0")</f>
        <v>0</v>
      </c>
      <c r="D74" s="61">
        <f t="shared" si="8"/>
        <v>0</v>
      </c>
      <c r="E74" s="61">
        <f t="shared" si="8"/>
        <v>0</v>
      </c>
      <c r="F74" s="61">
        <f t="shared" si="8"/>
        <v>0</v>
      </c>
      <c r="G74" s="61">
        <f t="shared" si="8"/>
        <v>0</v>
      </c>
      <c r="H74" s="61">
        <f t="shared" si="8"/>
        <v>0</v>
      </c>
      <c r="I74" s="61">
        <f t="shared" si="8"/>
        <v>0</v>
      </c>
      <c r="J74" s="61">
        <f t="shared" si="8"/>
        <v>0</v>
      </c>
      <c r="K74" s="61">
        <f t="shared" si="8"/>
        <v>0</v>
      </c>
      <c r="L74" s="61">
        <f t="shared" si="8"/>
        <v>0</v>
      </c>
      <c r="M74" s="61">
        <f t="shared" si="8"/>
        <v>0</v>
      </c>
      <c r="N74" s="61">
        <f t="shared" si="8"/>
        <v>0</v>
      </c>
      <c r="O74" s="61">
        <f t="shared" si="8"/>
        <v>0</v>
      </c>
      <c r="P74" s="61">
        <f t="shared" si="8"/>
        <v>0</v>
      </c>
      <c r="Q74" s="61">
        <f t="shared" si="8"/>
        <v>0</v>
      </c>
      <c r="R74" s="61">
        <f t="shared" si="8"/>
        <v>0</v>
      </c>
      <c r="S74" s="61">
        <f t="shared" si="8"/>
        <v>0</v>
      </c>
      <c r="T74" s="61">
        <f t="shared" si="8"/>
        <v>0</v>
      </c>
      <c r="U74" s="61">
        <f t="shared" si="8"/>
        <v>0</v>
      </c>
      <c r="V74" s="61">
        <f t="shared" si="8"/>
        <v>0</v>
      </c>
      <c r="W74" s="61">
        <f t="shared" si="8"/>
        <v>0</v>
      </c>
      <c r="X74" s="61">
        <f t="shared" si="8"/>
        <v>35.299999999999997</v>
      </c>
      <c r="Y74" s="61">
        <f t="shared" si="8"/>
        <v>21.6</v>
      </c>
      <c r="Z74" s="61">
        <f t="shared" si="8"/>
        <v>0</v>
      </c>
      <c r="AA74" s="61">
        <f t="shared" si="8"/>
        <v>0</v>
      </c>
      <c r="AB74" s="61">
        <f t="shared" si="8"/>
        <v>0</v>
      </c>
      <c r="AC74" s="61">
        <f t="shared" si="8"/>
        <v>0</v>
      </c>
      <c r="AD74" s="61">
        <f t="shared" si="8"/>
        <v>0</v>
      </c>
      <c r="AE74" s="61">
        <f t="shared" si="8"/>
        <v>0</v>
      </c>
      <c r="AF74" s="61">
        <f t="shared" si="8"/>
        <v>0</v>
      </c>
      <c r="AG74" s="81">
        <f>SUM(AG63:AG73)</f>
        <v>0</v>
      </c>
      <c r="AH74" s="48">
        <f t="shared" si="2"/>
        <v>35.299999999999997</v>
      </c>
      <c r="AI74" s="49">
        <f t="shared" si="3"/>
        <v>0</v>
      </c>
      <c r="AK74" s="50"/>
    </row>
    <row r="75" spans="1:37" x14ac:dyDescent="0.25">
      <c r="A75" s="44" t="s">
        <v>83</v>
      </c>
      <c r="B75" s="76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75">
        <v>14.4</v>
      </c>
      <c r="AH76" s="48">
        <f t="shared" ref="AH76:AH109" si="9">MAX(B76:AF76)</f>
        <v>0</v>
      </c>
      <c r="AI76" s="49">
        <f t="shared" ref="AI76:AI109" si="10">MIN(B76:AF76)</f>
        <v>0</v>
      </c>
      <c r="AK76" s="50"/>
    </row>
    <row r="77" spans="1:37" ht="15.75" thickBot="1" x14ac:dyDescent="0.3">
      <c r="A77" s="78" t="s">
        <v>85</v>
      </c>
      <c r="B77" s="79">
        <v>0</v>
      </c>
      <c r="C77" s="79">
        <v>0</v>
      </c>
      <c r="D77" s="79">
        <v>0</v>
      </c>
      <c r="E77" s="79">
        <v>0</v>
      </c>
      <c r="F77" s="79">
        <v>0</v>
      </c>
      <c r="G77" s="79">
        <v>0</v>
      </c>
      <c r="H77" s="79">
        <v>0</v>
      </c>
      <c r="I77" s="79">
        <v>0</v>
      </c>
      <c r="J77" s="79">
        <v>0</v>
      </c>
      <c r="K77" s="79">
        <v>0</v>
      </c>
      <c r="L77" s="79">
        <v>0</v>
      </c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>
        <v>0</v>
      </c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79">
        <v>0</v>
      </c>
      <c r="AC77" s="79">
        <v>0</v>
      </c>
      <c r="AD77" s="79">
        <v>0</v>
      </c>
      <c r="AE77" s="79">
        <v>0</v>
      </c>
      <c r="AF77" s="79">
        <v>0</v>
      </c>
      <c r="AG77" s="80">
        <v>2</v>
      </c>
      <c r="AH77" s="48">
        <f t="shared" si="9"/>
        <v>0</v>
      </c>
      <c r="AI77" s="49">
        <f t="shared" si="10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9"/>
        <v>0</v>
      </c>
      <c r="AI78" s="49">
        <f t="shared" si="10"/>
        <v>0</v>
      </c>
    </row>
    <row r="79" spans="1:37" ht="15.75" thickBot="1" x14ac:dyDescent="0.3">
      <c r="A79" s="74" t="s">
        <v>87</v>
      </c>
      <c r="B79" s="83">
        <f t="shared" ref="B79:AG79" si="11">B40+B44+B62+B58+B74+B78</f>
        <v>1177.04</v>
      </c>
      <c r="C79" s="83">
        <f t="shared" si="11"/>
        <v>1116.1399999999999</v>
      </c>
      <c r="D79" s="83">
        <f t="shared" si="11"/>
        <v>1102.6400000000001</v>
      </c>
      <c r="E79" s="83">
        <f t="shared" si="11"/>
        <v>1107.6400000000001</v>
      </c>
      <c r="F79" s="83">
        <f t="shared" si="11"/>
        <v>1120.54</v>
      </c>
      <c r="G79" s="83">
        <f t="shared" si="11"/>
        <v>1206.54</v>
      </c>
      <c r="H79" s="83">
        <f t="shared" si="11"/>
        <v>1273.54</v>
      </c>
      <c r="I79" s="83">
        <f t="shared" si="11"/>
        <v>1300.54</v>
      </c>
      <c r="J79" s="83">
        <f t="shared" si="11"/>
        <v>1388.54</v>
      </c>
      <c r="K79" s="83">
        <f t="shared" si="11"/>
        <v>1561.44</v>
      </c>
      <c r="L79" s="83">
        <f t="shared" si="11"/>
        <v>1628.44</v>
      </c>
      <c r="M79" s="83">
        <f t="shared" si="11"/>
        <v>1640.14</v>
      </c>
      <c r="N79" s="83">
        <f t="shared" si="11"/>
        <v>1485.94</v>
      </c>
      <c r="O79" s="83">
        <f t="shared" si="11"/>
        <v>1425.04</v>
      </c>
      <c r="P79" s="83">
        <f t="shared" si="11"/>
        <v>1378.64</v>
      </c>
      <c r="Q79" s="83">
        <f t="shared" si="11"/>
        <v>1303.54</v>
      </c>
      <c r="R79" s="83">
        <f t="shared" si="11"/>
        <v>1300.6400000000001</v>
      </c>
      <c r="S79" s="83">
        <f t="shared" si="11"/>
        <v>1267.94</v>
      </c>
      <c r="T79" s="83">
        <f t="shared" si="11"/>
        <v>1267.3400000000001</v>
      </c>
      <c r="U79" s="83">
        <f t="shared" si="11"/>
        <v>1289.6400000000001</v>
      </c>
      <c r="V79" s="83">
        <f t="shared" si="11"/>
        <v>1359.64</v>
      </c>
      <c r="W79" s="83">
        <f t="shared" si="11"/>
        <v>1563.64</v>
      </c>
      <c r="X79" s="83">
        <f t="shared" si="11"/>
        <v>1635.8400000000001</v>
      </c>
      <c r="Y79" s="83">
        <f t="shared" si="11"/>
        <v>1553.3400000000001</v>
      </c>
      <c r="Z79" s="83">
        <f t="shared" si="11"/>
        <v>1485.0400000000002</v>
      </c>
      <c r="AA79" s="83">
        <f t="shared" si="11"/>
        <v>1485.0400000000002</v>
      </c>
      <c r="AB79" s="83">
        <f t="shared" si="11"/>
        <v>1416.0400000000002</v>
      </c>
      <c r="AC79" s="83">
        <f t="shared" si="11"/>
        <v>1335.6399999999999</v>
      </c>
      <c r="AD79" s="83">
        <f t="shared" si="11"/>
        <v>1300.54</v>
      </c>
      <c r="AE79" s="83">
        <f t="shared" si="11"/>
        <v>1205.6399999999999</v>
      </c>
      <c r="AF79" s="83">
        <f t="shared" si="11"/>
        <v>1173.1399999999999</v>
      </c>
      <c r="AG79" s="62">
        <f t="shared" si="11"/>
        <v>1897.1900000000003</v>
      </c>
      <c r="AH79" s="48">
        <f t="shared" si="9"/>
        <v>1640.14</v>
      </c>
      <c r="AI79" s="49">
        <f t="shared" si="10"/>
        <v>1102.6400000000001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9"/>
        <v>0</v>
      </c>
      <c r="AI80" s="49">
        <f t="shared" si="10"/>
        <v>0</v>
      </c>
    </row>
    <row r="81" spans="1:37" ht="15.75" thickBot="1" x14ac:dyDescent="0.3">
      <c r="A81" s="74" t="s">
        <v>89</v>
      </c>
      <c r="B81" s="83">
        <f t="shared" ref="B81:AF81" si="12">B79+B80</f>
        <v>1177.04</v>
      </c>
      <c r="C81" s="83">
        <f t="shared" si="12"/>
        <v>1116.1399999999999</v>
      </c>
      <c r="D81" s="83">
        <f t="shared" si="12"/>
        <v>1102.6400000000001</v>
      </c>
      <c r="E81" s="83">
        <f t="shared" si="12"/>
        <v>1107.6400000000001</v>
      </c>
      <c r="F81" s="83">
        <f t="shared" si="12"/>
        <v>1120.54</v>
      </c>
      <c r="G81" s="83">
        <f t="shared" si="12"/>
        <v>1206.54</v>
      </c>
      <c r="H81" s="83">
        <f t="shared" si="12"/>
        <v>1273.54</v>
      </c>
      <c r="I81" s="83">
        <f t="shared" si="12"/>
        <v>1300.54</v>
      </c>
      <c r="J81" s="83">
        <f t="shared" si="12"/>
        <v>1388.54</v>
      </c>
      <c r="K81" s="83">
        <f t="shared" si="12"/>
        <v>1561.44</v>
      </c>
      <c r="L81" s="83">
        <f t="shared" si="12"/>
        <v>1628.44</v>
      </c>
      <c r="M81" s="83">
        <f t="shared" si="12"/>
        <v>1640.14</v>
      </c>
      <c r="N81" s="83">
        <f t="shared" si="12"/>
        <v>1485.94</v>
      </c>
      <c r="O81" s="83">
        <f t="shared" si="12"/>
        <v>1425.04</v>
      </c>
      <c r="P81" s="83">
        <f t="shared" si="12"/>
        <v>1378.64</v>
      </c>
      <c r="Q81" s="83">
        <f t="shared" si="12"/>
        <v>1303.54</v>
      </c>
      <c r="R81" s="83">
        <f t="shared" si="12"/>
        <v>1300.6400000000001</v>
      </c>
      <c r="S81" s="83">
        <f t="shared" si="12"/>
        <v>1267.94</v>
      </c>
      <c r="T81" s="83">
        <f t="shared" si="12"/>
        <v>1267.3400000000001</v>
      </c>
      <c r="U81" s="83">
        <f t="shared" si="12"/>
        <v>1289.6400000000001</v>
      </c>
      <c r="V81" s="83">
        <f t="shared" si="12"/>
        <v>1359.64</v>
      </c>
      <c r="W81" s="83">
        <f t="shared" si="12"/>
        <v>1563.64</v>
      </c>
      <c r="X81" s="83">
        <f t="shared" si="12"/>
        <v>1635.8400000000001</v>
      </c>
      <c r="Y81" s="83">
        <f t="shared" si="12"/>
        <v>1553.3400000000001</v>
      </c>
      <c r="Z81" s="83">
        <f t="shared" si="12"/>
        <v>1485.0400000000002</v>
      </c>
      <c r="AA81" s="83">
        <f t="shared" si="12"/>
        <v>1485.0400000000002</v>
      </c>
      <c r="AB81" s="83">
        <f t="shared" si="12"/>
        <v>1416.0400000000002</v>
      </c>
      <c r="AC81" s="83">
        <f t="shared" si="12"/>
        <v>1335.6399999999999</v>
      </c>
      <c r="AD81" s="83">
        <f t="shared" si="12"/>
        <v>1300.54</v>
      </c>
      <c r="AE81" s="83">
        <f t="shared" si="12"/>
        <v>1205.6399999999999</v>
      </c>
      <c r="AF81" s="83">
        <f t="shared" si="12"/>
        <v>1173.1399999999999</v>
      </c>
      <c r="AG81" s="81">
        <f>AG78+AG74+AG62+AG58+AG40+AG80</f>
        <v>1359.0900000000001</v>
      </c>
      <c r="AH81" s="48">
        <f t="shared" si="9"/>
        <v>1640.14</v>
      </c>
      <c r="AI81" s="49">
        <f t="shared" si="10"/>
        <v>1102.6400000000001</v>
      </c>
    </row>
    <row r="82" spans="1:37" ht="15.75" thickBot="1" x14ac:dyDescent="0.3">
      <c r="A82" s="74" t="s">
        <v>90</v>
      </c>
      <c r="B82" s="83">
        <f t="shared" ref="B82:AF82" si="13">B81-B89</f>
        <v>897.04</v>
      </c>
      <c r="C82" s="83">
        <f t="shared" si="13"/>
        <v>891.13999999999987</v>
      </c>
      <c r="D82" s="83">
        <f t="shared" si="13"/>
        <v>883.6400000000001</v>
      </c>
      <c r="E82" s="83">
        <f t="shared" si="13"/>
        <v>857.6400000000001</v>
      </c>
      <c r="F82" s="83">
        <f t="shared" si="13"/>
        <v>890.54</v>
      </c>
      <c r="G82" s="83">
        <f t="shared" si="13"/>
        <v>965.54</v>
      </c>
      <c r="H82" s="83">
        <f t="shared" si="13"/>
        <v>1045.54</v>
      </c>
      <c r="I82" s="83">
        <f t="shared" si="13"/>
        <v>1061.54</v>
      </c>
      <c r="J82" s="83">
        <f t="shared" si="13"/>
        <v>1153.54</v>
      </c>
      <c r="K82" s="83">
        <f t="shared" si="13"/>
        <v>1271.44</v>
      </c>
      <c r="L82" s="83">
        <f t="shared" si="13"/>
        <v>1353.44</v>
      </c>
      <c r="M82" s="83">
        <f t="shared" si="13"/>
        <v>1379.14</v>
      </c>
      <c r="N82" s="83">
        <f t="shared" si="13"/>
        <v>1277.3400000000001</v>
      </c>
      <c r="O82" s="83">
        <f t="shared" si="13"/>
        <v>1214.24</v>
      </c>
      <c r="P82" s="83">
        <f t="shared" si="13"/>
        <v>1167.3400000000001</v>
      </c>
      <c r="Q82" s="83">
        <f t="shared" si="13"/>
        <v>1113.8399999999999</v>
      </c>
      <c r="R82" s="83">
        <f t="shared" si="13"/>
        <v>1087.6400000000001</v>
      </c>
      <c r="S82" s="83">
        <f t="shared" si="13"/>
        <v>1137.8400000000001</v>
      </c>
      <c r="T82" s="83">
        <f t="shared" si="13"/>
        <v>1137.3400000000001</v>
      </c>
      <c r="U82" s="83">
        <f t="shared" si="13"/>
        <v>1158.6400000000001</v>
      </c>
      <c r="V82" s="83">
        <f t="shared" si="13"/>
        <v>1199.6400000000001</v>
      </c>
      <c r="W82" s="83">
        <f t="shared" si="13"/>
        <v>1342.64</v>
      </c>
      <c r="X82" s="83">
        <f t="shared" si="13"/>
        <v>1414.8400000000001</v>
      </c>
      <c r="Y82" s="83">
        <f t="shared" si="13"/>
        <v>1336.3400000000001</v>
      </c>
      <c r="Z82" s="83">
        <f t="shared" si="13"/>
        <v>1265.0400000000002</v>
      </c>
      <c r="AA82" s="83">
        <f t="shared" si="13"/>
        <v>1210.0400000000002</v>
      </c>
      <c r="AB82" s="83">
        <f t="shared" si="13"/>
        <v>1124.1400000000003</v>
      </c>
      <c r="AC82" s="83">
        <f t="shared" si="13"/>
        <v>1049.2399999999998</v>
      </c>
      <c r="AD82" s="83">
        <f t="shared" si="13"/>
        <v>1001.74</v>
      </c>
      <c r="AE82" s="83">
        <f t="shared" si="13"/>
        <v>912.43999999999983</v>
      </c>
      <c r="AF82" s="83">
        <f t="shared" si="13"/>
        <v>884.2399999999999</v>
      </c>
      <c r="AG82" s="81"/>
      <c r="AH82" s="48">
        <f t="shared" si="9"/>
        <v>1414.8400000000001</v>
      </c>
      <c r="AI82" s="49">
        <f t="shared" si="10"/>
        <v>857.6400000000001</v>
      </c>
    </row>
    <row r="83" spans="1:37" x14ac:dyDescent="0.25">
      <c r="A83" s="44" t="s">
        <v>74</v>
      </c>
      <c r="B83" s="76">
        <f t="shared" ref="B83:AF83" si="14">IF(B66&lt;0,B66*-1,0)</f>
        <v>0</v>
      </c>
      <c r="C83" s="76">
        <f t="shared" si="14"/>
        <v>0</v>
      </c>
      <c r="D83" s="76">
        <f t="shared" si="14"/>
        <v>0</v>
      </c>
      <c r="E83" s="76">
        <f t="shared" si="14"/>
        <v>0</v>
      </c>
      <c r="F83" s="76">
        <f t="shared" si="14"/>
        <v>0</v>
      </c>
      <c r="G83" s="76">
        <f t="shared" si="14"/>
        <v>0</v>
      </c>
      <c r="H83" s="76">
        <f t="shared" si="14"/>
        <v>0</v>
      </c>
      <c r="I83" s="76">
        <f t="shared" si="14"/>
        <v>0</v>
      </c>
      <c r="J83" s="76">
        <f t="shared" si="14"/>
        <v>0</v>
      </c>
      <c r="K83" s="76">
        <f t="shared" si="14"/>
        <v>0</v>
      </c>
      <c r="L83" s="76">
        <f t="shared" si="14"/>
        <v>0</v>
      </c>
      <c r="M83" s="76">
        <f t="shared" si="14"/>
        <v>0</v>
      </c>
      <c r="N83" s="76">
        <f t="shared" si="14"/>
        <v>0</v>
      </c>
      <c r="O83" s="76">
        <f t="shared" si="14"/>
        <v>0</v>
      </c>
      <c r="P83" s="76">
        <f t="shared" si="14"/>
        <v>0</v>
      </c>
      <c r="Q83" s="76">
        <f t="shared" si="14"/>
        <v>0</v>
      </c>
      <c r="R83" s="76">
        <f t="shared" si="14"/>
        <v>0</v>
      </c>
      <c r="S83" s="76">
        <f t="shared" si="14"/>
        <v>0</v>
      </c>
      <c r="T83" s="76">
        <f t="shared" si="14"/>
        <v>0</v>
      </c>
      <c r="U83" s="76">
        <f t="shared" si="14"/>
        <v>0</v>
      </c>
      <c r="V83" s="76">
        <f t="shared" si="14"/>
        <v>0</v>
      </c>
      <c r="W83" s="76">
        <f t="shared" si="14"/>
        <v>0</v>
      </c>
      <c r="X83" s="76">
        <f t="shared" si="14"/>
        <v>0</v>
      </c>
      <c r="Y83" s="76">
        <f t="shared" si="14"/>
        <v>0</v>
      </c>
      <c r="Z83" s="76">
        <f t="shared" si="14"/>
        <v>0</v>
      </c>
      <c r="AA83" s="76">
        <f t="shared" si="14"/>
        <v>0</v>
      </c>
      <c r="AB83" s="76">
        <f t="shared" si="14"/>
        <v>0</v>
      </c>
      <c r="AC83" s="76">
        <f t="shared" si="14"/>
        <v>0</v>
      </c>
      <c r="AD83" s="76">
        <f t="shared" si="14"/>
        <v>0</v>
      </c>
      <c r="AE83" s="76">
        <f t="shared" si="14"/>
        <v>0</v>
      </c>
      <c r="AF83" s="76">
        <f t="shared" si="14"/>
        <v>0</v>
      </c>
      <c r="AG83" s="52"/>
      <c r="AH83" s="48">
        <f t="shared" si="9"/>
        <v>0</v>
      </c>
      <c r="AI83" s="49">
        <f t="shared" si="10"/>
        <v>0</v>
      </c>
    </row>
    <row r="84" spans="1:37" x14ac:dyDescent="0.25">
      <c r="A84" s="54" t="s">
        <v>72</v>
      </c>
      <c r="B84" s="76">
        <f t="shared" ref="B84:AF84" si="15">IF(B64&lt;0,B64*-1,0)</f>
        <v>0</v>
      </c>
      <c r="C84" s="76">
        <f t="shared" si="15"/>
        <v>0</v>
      </c>
      <c r="D84" s="76">
        <f t="shared" si="15"/>
        <v>0</v>
      </c>
      <c r="E84" s="76">
        <f t="shared" si="15"/>
        <v>0</v>
      </c>
      <c r="F84" s="76">
        <f t="shared" si="15"/>
        <v>0</v>
      </c>
      <c r="G84" s="76">
        <f t="shared" si="15"/>
        <v>0</v>
      </c>
      <c r="H84" s="76">
        <f t="shared" si="15"/>
        <v>0</v>
      </c>
      <c r="I84" s="76">
        <f t="shared" si="15"/>
        <v>0</v>
      </c>
      <c r="J84" s="76">
        <f t="shared" si="15"/>
        <v>0</v>
      </c>
      <c r="K84" s="76">
        <f t="shared" si="15"/>
        <v>0</v>
      </c>
      <c r="L84" s="76">
        <f t="shared" si="15"/>
        <v>0</v>
      </c>
      <c r="M84" s="76">
        <f t="shared" si="15"/>
        <v>0</v>
      </c>
      <c r="N84" s="76">
        <f t="shared" si="15"/>
        <v>0</v>
      </c>
      <c r="O84" s="76">
        <f t="shared" si="15"/>
        <v>0</v>
      </c>
      <c r="P84" s="76">
        <f t="shared" si="15"/>
        <v>0</v>
      </c>
      <c r="Q84" s="76">
        <f t="shared" si="15"/>
        <v>0</v>
      </c>
      <c r="R84" s="76">
        <f t="shared" si="15"/>
        <v>0</v>
      </c>
      <c r="S84" s="76">
        <f t="shared" si="15"/>
        <v>0</v>
      </c>
      <c r="T84" s="76">
        <f t="shared" si="15"/>
        <v>0</v>
      </c>
      <c r="U84" s="76">
        <f t="shared" si="15"/>
        <v>0</v>
      </c>
      <c r="V84" s="76">
        <f t="shared" si="15"/>
        <v>0</v>
      </c>
      <c r="W84" s="76">
        <f t="shared" si="15"/>
        <v>0</v>
      </c>
      <c r="X84" s="76">
        <f t="shared" si="15"/>
        <v>0</v>
      </c>
      <c r="Y84" s="76">
        <f t="shared" si="15"/>
        <v>0</v>
      </c>
      <c r="Z84" s="76">
        <f t="shared" si="15"/>
        <v>0</v>
      </c>
      <c r="AA84" s="76">
        <f t="shared" si="15"/>
        <v>0</v>
      </c>
      <c r="AB84" s="76">
        <f t="shared" si="15"/>
        <v>0</v>
      </c>
      <c r="AC84" s="76">
        <f t="shared" si="15"/>
        <v>0</v>
      </c>
      <c r="AD84" s="76">
        <f t="shared" si="15"/>
        <v>0</v>
      </c>
      <c r="AE84" s="76">
        <f t="shared" si="15"/>
        <v>0</v>
      </c>
      <c r="AF84" s="76">
        <f t="shared" si="15"/>
        <v>0</v>
      </c>
      <c r="AG84" s="55"/>
      <c r="AH84" s="48">
        <f t="shared" si="9"/>
        <v>0</v>
      </c>
      <c r="AI84" s="49">
        <f t="shared" si="10"/>
        <v>0</v>
      </c>
    </row>
    <row r="85" spans="1:37" x14ac:dyDescent="0.25">
      <c r="A85" s="78" t="s">
        <v>91</v>
      </c>
      <c r="B85" s="76">
        <f t="shared" ref="B85:AF85" si="16">IF(B67&lt;0,B67*-1,0)</f>
        <v>0</v>
      </c>
      <c r="C85" s="76">
        <f t="shared" si="16"/>
        <v>0</v>
      </c>
      <c r="D85" s="76">
        <f t="shared" si="16"/>
        <v>0</v>
      </c>
      <c r="E85" s="76">
        <f t="shared" si="16"/>
        <v>0</v>
      </c>
      <c r="F85" s="76">
        <f t="shared" si="16"/>
        <v>0</v>
      </c>
      <c r="G85" s="76">
        <f t="shared" si="16"/>
        <v>0</v>
      </c>
      <c r="H85" s="76">
        <f t="shared" si="16"/>
        <v>0</v>
      </c>
      <c r="I85" s="76">
        <f t="shared" si="16"/>
        <v>0</v>
      </c>
      <c r="J85" s="76">
        <f t="shared" si="16"/>
        <v>0</v>
      </c>
      <c r="K85" s="76">
        <f t="shared" si="16"/>
        <v>0</v>
      </c>
      <c r="L85" s="76">
        <f t="shared" si="16"/>
        <v>0</v>
      </c>
      <c r="M85" s="76">
        <f t="shared" si="16"/>
        <v>0</v>
      </c>
      <c r="N85" s="76">
        <f t="shared" si="16"/>
        <v>0</v>
      </c>
      <c r="O85" s="76">
        <f t="shared" si="16"/>
        <v>0</v>
      </c>
      <c r="P85" s="76">
        <f t="shared" si="16"/>
        <v>0</v>
      </c>
      <c r="Q85" s="76">
        <f t="shared" si="16"/>
        <v>0</v>
      </c>
      <c r="R85" s="76">
        <f t="shared" si="16"/>
        <v>0</v>
      </c>
      <c r="S85" s="76">
        <f t="shared" si="16"/>
        <v>0</v>
      </c>
      <c r="T85" s="76">
        <f t="shared" si="16"/>
        <v>0</v>
      </c>
      <c r="U85" s="76">
        <f t="shared" si="16"/>
        <v>0</v>
      </c>
      <c r="V85" s="76">
        <f t="shared" si="16"/>
        <v>0</v>
      </c>
      <c r="W85" s="76">
        <f t="shared" si="16"/>
        <v>0</v>
      </c>
      <c r="X85" s="76">
        <f t="shared" si="16"/>
        <v>0</v>
      </c>
      <c r="Y85" s="76">
        <f t="shared" si="16"/>
        <v>0</v>
      </c>
      <c r="Z85" s="76">
        <f t="shared" si="16"/>
        <v>0</v>
      </c>
      <c r="AA85" s="76">
        <f t="shared" si="16"/>
        <v>0</v>
      </c>
      <c r="AB85" s="76">
        <f t="shared" si="16"/>
        <v>0</v>
      </c>
      <c r="AC85" s="76">
        <f t="shared" si="16"/>
        <v>0</v>
      </c>
      <c r="AD85" s="76">
        <f t="shared" si="16"/>
        <v>0</v>
      </c>
      <c r="AE85" s="76">
        <f t="shared" si="16"/>
        <v>0</v>
      </c>
      <c r="AF85" s="76">
        <f t="shared" si="16"/>
        <v>0</v>
      </c>
      <c r="AG85" s="86"/>
      <c r="AH85" s="48">
        <f t="shared" si="9"/>
        <v>0</v>
      </c>
      <c r="AI85" s="49">
        <f t="shared" si="10"/>
        <v>0</v>
      </c>
    </row>
    <row r="86" spans="1:37" x14ac:dyDescent="0.25">
      <c r="A86" s="78" t="s">
        <v>92</v>
      </c>
      <c r="B86" s="76">
        <f t="shared" ref="B86:AF86" si="17">IF(B65&lt;0,B65*-1,0)</f>
        <v>280</v>
      </c>
      <c r="C86" s="76">
        <f t="shared" si="17"/>
        <v>225</v>
      </c>
      <c r="D86" s="76">
        <f t="shared" si="17"/>
        <v>219</v>
      </c>
      <c r="E86" s="76">
        <f t="shared" si="17"/>
        <v>250</v>
      </c>
      <c r="F86" s="76">
        <f t="shared" si="17"/>
        <v>230</v>
      </c>
      <c r="G86" s="76">
        <f t="shared" si="17"/>
        <v>241</v>
      </c>
      <c r="H86" s="76">
        <f t="shared" si="17"/>
        <v>228</v>
      </c>
      <c r="I86" s="76">
        <f t="shared" si="17"/>
        <v>239</v>
      </c>
      <c r="J86" s="76">
        <f t="shared" si="17"/>
        <v>235</v>
      </c>
      <c r="K86" s="76">
        <f t="shared" si="17"/>
        <v>290</v>
      </c>
      <c r="L86" s="76">
        <f t="shared" si="17"/>
        <v>275</v>
      </c>
      <c r="M86" s="76">
        <f t="shared" si="17"/>
        <v>261</v>
      </c>
      <c r="N86" s="76">
        <f t="shared" si="17"/>
        <v>208.6</v>
      </c>
      <c r="O86" s="76">
        <f t="shared" si="17"/>
        <v>210.8</v>
      </c>
      <c r="P86" s="76">
        <f t="shared" si="17"/>
        <v>211.3</v>
      </c>
      <c r="Q86" s="76">
        <f t="shared" si="17"/>
        <v>189.7</v>
      </c>
      <c r="R86" s="76">
        <f t="shared" si="17"/>
        <v>213</v>
      </c>
      <c r="S86" s="76">
        <f t="shared" si="17"/>
        <v>130.1</v>
      </c>
      <c r="T86" s="76">
        <f t="shared" si="17"/>
        <v>130</v>
      </c>
      <c r="U86" s="76">
        <f t="shared" si="17"/>
        <v>131</v>
      </c>
      <c r="V86" s="76">
        <f t="shared" si="17"/>
        <v>160</v>
      </c>
      <c r="W86" s="76">
        <f t="shared" si="17"/>
        <v>221</v>
      </c>
      <c r="X86" s="76">
        <f t="shared" si="17"/>
        <v>221</v>
      </c>
      <c r="Y86" s="76">
        <f t="shared" si="17"/>
        <v>217</v>
      </c>
      <c r="Z86" s="76">
        <f t="shared" si="17"/>
        <v>220</v>
      </c>
      <c r="AA86" s="76">
        <f t="shared" si="17"/>
        <v>275</v>
      </c>
      <c r="AB86" s="76">
        <f t="shared" si="17"/>
        <v>291.89999999999998</v>
      </c>
      <c r="AC86" s="76">
        <f t="shared" si="17"/>
        <v>286.39999999999998</v>
      </c>
      <c r="AD86" s="76">
        <f t="shared" si="17"/>
        <v>298.8</v>
      </c>
      <c r="AE86" s="76">
        <f t="shared" si="17"/>
        <v>293.2</v>
      </c>
      <c r="AF86" s="76">
        <f t="shared" si="17"/>
        <v>288.89999999999998</v>
      </c>
      <c r="AG86" s="86"/>
      <c r="AH86" s="48">
        <f t="shared" si="9"/>
        <v>298.8</v>
      </c>
      <c r="AI86" s="49">
        <f t="shared" si="10"/>
        <v>130</v>
      </c>
    </row>
    <row r="87" spans="1:37" x14ac:dyDescent="0.25">
      <c r="A87" s="78" t="s">
        <v>71</v>
      </c>
      <c r="B87" s="76">
        <f t="shared" ref="B87:AF87" si="18">IF(B63&lt;0,B63*-1,0)</f>
        <v>0</v>
      </c>
      <c r="C87" s="76">
        <f t="shared" si="18"/>
        <v>0</v>
      </c>
      <c r="D87" s="76">
        <f t="shared" si="18"/>
        <v>0</v>
      </c>
      <c r="E87" s="76">
        <f t="shared" si="18"/>
        <v>0</v>
      </c>
      <c r="F87" s="76">
        <f t="shared" si="18"/>
        <v>0</v>
      </c>
      <c r="G87" s="76">
        <f t="shared" si="18"/>
        <v>0</v>
      </c>
      <c r="H87" s="76">
        <f t="shared" si="18"/>
        <v>0</v>
      </c>
      <c r="I87" s="76">
        <f t="shared" si="18"/>
        <v>0</v>
      </c>
      <c r="J87" s="76">
        <f t="shared" si="18"/>
        <v>0</v>
      </c>
      <c r="K87" s="76">
        <f t="shared" si="18"/>
        <v>0</v>
      </c>
      <c r="L87" s="76">
        <f t="shared" si="18"/>
        <v>0</v>
      </c>
      <c r="M87" s="76">
        <f t="shared" si="18"/>
        <v>0</v>
      </c>
      <c r="N87" s="76">
        <f t="shared" si="18"/>
        <v>0</v>
      </c>
      <c r="O87" s="76">
        <f t="shared" si="18"/>
        <v>0</v>
      </c>
      <c r="P87" s="76">
        <f t="shared" si="18"/>
        <v>0</v>
      </c>
      <c r="Q87" s="76">
        <f t="shared" si="18"/>
        <v>0</v>
      </c>
      <c r="R87" s="76">
        <f t="shared" si="18"/>
        <v>0</v>
      </c>
      <c r="S87" s="76">
        <f t="shared" si="18"/>
        <v>0</v>
      </c>
      <c r="T87" s="76">
        <f t="shared" si="18"/>
        <v>0</v>
      </c>
      <c r="U87" s="76">
        <f t="shared" si="18"/>
        <v>0</v>
      </c>
      <c r="V87" s="76">
        <f t="shared" si="18"/>
        <v>0</v>
      </c>
      <c r="W87" s="76">
        <f t="shared" si="18"/>
        <v>0</v>
      </c>
      <c r="X87" s="76">
        <f t="shared" si="18"/>
        <v>0</v>
      </c>
      <c r="Y87" s="76">
        <f t="shared" si="18"/>
        <v>0</v>
      </c>
      <c r="Z87" s="76">
        <f t="shared" si="18"/>
        <v>0</v>
      </c>
      <c r="AA87" s="76">
        <f t="shared" si="18"/>
        <v>0</v>
      </c>
      <c r="AB87" s="76">
        <f t="shared" si="18"/>
        <v>0</v>
      </c>
      <c r="AC87" s="76">
        <f t="shared" si="18"/>
        <v>0</v>
      </c>
      <c r="AD87" s="76">
        <f t="shared" si="18"/>
        <v>0</v>
      </c>
      <c r="AE87" s="76">
        <f t="shared" si="18"/>
        <v>0</v>
      </c>
      <c r="AF87" s="76">
        <f t="shared" si="18"/>
        <v>0</v>
      </c>
      <c r="AG87" s="86"/>
      <c r="AH87" s="48">
        <f t="shared" si="9"/>
        <v>0</v>
      </c>
      <c r="AI87" s="49">
        <f t="shared" si="10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9"/>
        <v>0</v>
      </c>
      <c r="AI88" s="49">
        <f t="shared" si="10"/>
        <v>0</v>
      </c>
    </row>
    <row r="89" spans="1:37" ht="15.75" thickBot="1" x14ac:dyDescent="0.3">
      <c r="A89" s="87" t="s">
        <v>94</v>
      </c>
      <c r="B89" s="61">
        <f t="shared" ref="B89:AF89" si="19">SUM(B83:B88)</f>
        <v>280</v>
      </c>
      <c r="C89" s="61">
        <f t="shared" si="19"/>
        <v>225</v>
      </c>
      <c r="D89" s="61">
        <f t="shared" si="19"/>
        <v>219</v>
      </c>
      <c r="E89" s="61">
        <f t="shared" si="19"/>
        <v>250</v>
      </c>
      <c r="F89" s="61">
        <f t="shared" si="19"/>
        <v>230</v>
      </c>
      <c r="G89" s="61">
        <f t="shared" si="19"/>
        <v>241</v>
      </c>
      <c r="H89" s="61">
        <f t="shared" si="19"/>
        <v>228</v>
      </c>
      <c r="I89" s="61">
        <f t="shared" si="19"/>
        <v>239</v>
      </c>
      <c r="J89" s="61">
        <f t="shared" si="19"/>
        <v>235</v>
      </c>
      <c r="K89" s="61">
        <f t="shared" si="19"/>
        <v>290</v>
      </c>
      <c r="L89" s="61">
        <f t="shared" si="19"/>
        <v>275</v>
      </c>
      <c r="M89" s="61">
        <f t="shared" si="19"/>
        <v>261</v>
      </c>
      <c r="N89" s="61">
        <f t="shared" si="19"/>
        <v>208.6</v>
      </c>
      <c r="O89" s="61">
        <f t="shared" si="19"/>
        <v>210.8</v>
      </c>
      <c r="P89" s="61">
        <f t="shared" si="19"/>
        <v>211.3</v>
      </c>
      <c r="Q89" s="61">
        <f t="shared" si="19"/>
        <v>189.7</v>
      </c>
      <c r="R89" s="61">
        <f t="shared" si="19"/>
        <v>213</v>
      </c>
      <c r="S89" s="61">
        <f t="shared" si="19"/>
        <v>130.1</v>
      </c>
      <c r="T89" s="61">
        <f t="shared" si="19"/>
        <v>130</v>
      </c>
      <c r="U89" s="61">
        <f t="shared" si="19"/>
        <v>131</v>
      </c>
      <c r="V89" s="61">
        <f t="shared" si="19"/>
        <v>160</v>
      </c>
      <c r="W89" s="61">
        <f t="shared" si="19"/>
        <v>221</v>
      </c>
      <c r="X89" s="61">
        <f t="shared" si="19"/>
        <v>221</v>
      </c>
      <c r="Y89" s="61">
        <f t="shared" si="19"/>
        <v>217</v>
      </c>
      <c r="Z89" s="61">
        <f t="shared" si="19"/>
        <v>220</v>
      </c>
      <c r="AA89" s="61">
        <f t="shared" si="19"/>
        <v>275</v>
      </c>
      <c r="AB89" s="61">
        <f t="shared" si="19"/>
        <v>291.89999999999998</v>
      </c>
      <c r="AC89" s="61">
        <f t="shared" si="19"/>
        <v>286.39999999999998</v>
      </c>
      <c r="AD89" s="61">
        <f t="shared" si="19"/>
        <v>298.8</v>
      </c>
      <c r="AE89" s="61">
        <f t="shared" si="19"/>
        <v>293.2</v>
      </c>
      <c r="AF89" s="61">
        <f t="shared" si="19"/>
        <v>288.89999999999998</v>
      </c>
      <c r="AG89" s="81"/>
      <c r="AH89" s="48">
        <f t="shared" si="9"/>
        <v>298.8</v>
      </c>
      <c r="AI89" s="49">
        <f t="shared" si="10"/>
        <v>130</v>
      </c>
      <c r="AK89" s="50"/>
    </row>
    <row r="90" spans="1:37" ht="15.75" thickBot="1" x14ac:dyDescent="0.3">
      <c r="A90" s="74" t="s">
        <v>95</v>
      </c>
      <c r="B90" s="61">
        <f t="shared" ref="B90:AF90" si="20">B74-B89</f>
        <v>-280</v>
      </c>
      <c r="C90" s="61">
        <f t="shared" si="20"/>
        <v>-225</v>
      </c>
      <c r="D90" s="61">
        <f t="shared" si="20"/>
        <v>-219</v>
      </c>
      <c r="E90" s="61">
        <f t="shared" si="20"/>
        <v>-250</v>
      </c>
      <c r="F90" s="61">
        <f t="shared" si="20"/>
        <v>-230</v>
      </c>
      <c r="G90" s="61">
        <f t="shared" si="20"/>
        <v>-241</v>
      </c>
      <c r="H90" s="61">
        <f t="shared" si="20"/>
        <v>-228</v>
      </c>
      <c r="I90" s="61">
        <f t="shared" si="20"/>
        <v>-239</v>
      </c>
      <c r="J90" s="61">
        <f t="shared" si="20"/>
        <v>-235</v>
      </c>
      <c r="K90" s="61">
        <f t="shared" si="20"/>
        <v>-290</v>
      </c>
      <c r="L90" s="61">
        <f t="shared" si="20"/>
        <v>-275</v>
      </c>
      <c r="M90" s="61">
        <f t="shared" si="20"/>
        <v>-261</v>
      </c>
      <c r="N90" s="61">
        <f t="shared" si="20"/>
        <v>-208.6</v>
      </c>
      <c r="O90" s="61">
        <f t="shared" si="20"/>
        <v>-210.8</v>
      </c>
      <c r="P90" s="61">
        <f t="shared" si="20"/>
        <v>-211.3</v>
      </c>
      <c r="Q90" s="61">
        <f t="shared" si="20"/>
        <v>-189.7</v>
      </c>
      <c r="R90" s="61">
        <f t="shared" si="20"/>
        <v>-213</v>
      </c>
      <c r="S90" s="61">
        <f t="shared" si="20"/>
        <v>-130.1</v>
      </c>
      <c r="T90" s="61">
        <f t="shared" si="20"/>
        <v>-130</v>
      </c>
      <c r="U90" s="61">
        <f t="shared" si="20"/>
        <v>-131</v>
      </c>
      <c r="V90" s="61">
        <f t="shared" si="20"/>
        <v>-160</v>
      </c>
      <c r="W90" s="61">
        <f t="shared" si="20"/>
        <v>-221</v>
      </c>
      <c r="X90" s="61">
        <f t="shared" si="20"/>
        <v>-185.7</v>
      </c>
      <c r="Y90" s="61">
        <f t="shared" si="20"/>
        <v>-195.4</v>
      </c>
      <c r="Z90" s="61">
        <f t="shared" si="20"/>
        <v>-220</v>
      </c>
      <c r="AA90" s="61">
        <f t="shared" si="20"/>
        <v>-275</v>
      </c>
      <c r="AB90" s="61">
        <f t="shared" si="20"/>
        <v>-291.89999999999998</v>
      </c>
      <c r="AC90" s="61">
        <f t="shared" si="20"/>
        <v>-286.39999999999998</v>
      </c>
      <c r="AD90" s="61">
        <f t="shared" si="20"/>
        <v>-298.8</v>
      </c>
      <c r="AE90" s="61">
        <f t="shared" si="20"/>
        <v>-293.2</v>
      </c>
      <c r="AF90" s="61">
        <f t="shared" si="20"/>
        <v>-288.89999999999998</v>
      </c>
      <c r="AG90" s="81"/>
      <c r="AH90" s="48">
        <f t="shared" si="9"/>
        <v>-130</v>
      </c>
      <c r="AI90" s="49">
        <f t="shared" si="10"/>
        <v>-298.8</v>
      </c>
    </row>
    <row r="91" spans="1:37" x14ac:dyDescent="0.25">
      <c r="A91" s="88" t="s">
        <v>96</v>
      </c>
      <c r="B91" s="89">
        <v>50.023000000000003</v>
      </c>
      <c r="C91" s="89">
        <v>50.012</v>
      </c>
      <c r="D91" s="89">
        <v>49.975000000000001</v>
      </c>
      <c r="E91" s="89">
        <v>49.935000000000002</v>
      </c>
      <c r="F91" s="89">
        <v>49.978000000000002</v>
      </c>
      <c r="G91" s="89">
        <v>49.99</v>
      </c>
      <c r="H91" s="89">
        <v>50.043999999999997</v>
      </c>
      <c r="I91" s="89">
        <v>50.043999999999997</v>
      </c>
      <c r="J91" s="89">
        <v>49.972000000000001</v>
      </c>
      <c r="K91" s="89">
        <v>49.881999999999998</v>
      </c>
      <c r="L91" s="89">
        <v>49.963000000000001</v>
      </c>
      <c r="M91" s="89">
        <v>50.066000000000003</v>
      </c>
      <c r="N91" s="89">
        <v>50.097000000000001</v>
      </c>
      <c r="O91" s="89">
        <v>49.972999999999999</v>
      </c>
      <c r="P91" s="89">
        <v>50.01</v>
      </c>
      <c r="Q91" s="89">
        <v>49.96</v>
      </c>
      <c r="R91" s="89">
        <v>50.024000000000001</v>
      </c>
      <c r="S91" s="89">
        <v>50.054000000000002</v>
      </c>
      <c r="T91" s="89">
        <v>50.021999999999998</v>
      </c>
      <c r="U91" s="89">
        <v>50</v>
      </c>
      <c r="V91" s="89">
        <v>49.893999999999998</v>
      </c>
      <c r="W91" s="89">
        <v>50.048000000000002</v>
      </c>
      <c r="X91" s="89">
        <v>50.018000000000001</v>
      </c>
      <c r="Y91" s="89">
        <v>50.07</v>
      </c>
      <c r="Z91" s="89">
        <v>50.073999999999998</v>
      </c>
      <c r="AA91" s="89">
        <v>50.024000000000001</v>
      </c>
      <c r="AB91" s="89">
        <v>50.058999999999997</v>
      </c>
      <c r="AC91" s="89">
        <v>49.933999999999997</v>
      </c>
      <c r="AD91" s="89">
        <v>50.033000000000001</v>
      </c>
      <c r="AE91" s="89">
        <v>50.036999999999999</v>
      </c>
      <c r="AF91" s="89">
        <v>50.02</v>
      </c>
      <c r="AG91" s="90"/>
      <c r="AH91" s="48">
        <f t="shared" si="9"/>
        <v>50.097000000000001</v>
      </c>
      <c r="AI91" s="49">
        <f t="shared" si="10"/>
        <v>49.881999999999998</v>
      </c>
    </row>
    <row r="92" spans="1:37" x14ac:dyDescent="0.25">
      <c r="A92" s="91" t="s">
        <v>97</v>
      </c>
      <c r="B92" s="65">
        <v>128.4</v>
      </c>
      <c r="C92" s="65">
        <v>128.69999999999999</v>
      </c>
      <c r="D92" s="65">
        <v>129</v>
      </c>
      <c r="E92" s="65">
        <v>128</v>
      </c>
      <c r="F92" s="65">
        <v>128</v>
      </c>
      <c r="G92" s="65">
        <v>128</v>
      </c>
      <c r="H92" s="65">
        <v>127</v>
      </c>
      <c r="I92" s="65">
        <v>127</v>
      </c>
      <c r="J92" s="65">
        <v>125</v>
      </c>
      <c r="K92" s="65">
        <v>124</v>
      </c>
      <c r="L92" s="65">
        <v>124</v>
      </c>
      <c r="M92" s="65">
        <v>123</v>
      </c>
      <c r="N92" s="65">
        <v>123</v>
      </c>
      <c r="O92" s="65">
        <v>124.8</v>
      </c>
      <c r="P92" s="65">
        <v>124</v>
      </c>
      <c r="Q92" s="65">
        <v>124.1</v>
      </c>
      <c r="R92" s="65">
        <v>124.9</v>
      </c>
      <c r="S92" s="65">
        <v>124.2</v>
      </c>
      <c r="T92" s="65">
        <v>122.7</v>
      </c>
      <c r="U92" s="65">
        <v>125</v>
      </c>
      <c r="V92" s="65">
        <v>124.9</v>
      </c>
      <c r="W92" s="65">
        <v>125.5</v>
      </c>
      <c r="X92" s="65">
        <v>126.4</v>
      </c>
      <c r="Y92" s="65">
        <v>127.3</v>
      </c>
      <c r="Z92" s="65">
        <v>127.1</v>
      </c>
      <c r="AA92" s="65">
        <v>128</v>
      </c>
      <c r="AB92" s="65">
        <v>128.19999999999999</v>
      </c>
      <c r="AC92" s="65">
        <v>128</v>
      </c>
      <c r="AD92" s="65">
        <v>128</v>
      </c>
      <c r="AE92" s="65">
        <v>128.5</v>
      </c>
      <c r="AF92" s="65">
        <v>127.5</v>
      </c>
      <c r="AG92" s="92"/>
      <c r="AH92" s="48">
        <f t="shared" si="9"/>
        <v>129</v>
      </c>
      <c r="AI92" s="49">
        <f t="shared" si="10"/>
        <v>122.7</v>
      </c>
    </row>
    <row r="93" spans="1:37" x14ac:dyDescent="0.25">
      <c r="A93" s="91" t="s">
        <v>98</v>
      </c>
      <c r="B93" s="65">
        <v>132.5</v>
      </c>
      <c r="C93" s="65">
        <v>132.6</v>
      </c>
      <c r="D93" s="65">
        <v>133.19999999999999</v>
      </c>
      <c r="E93" s="65">
        <v>132</v>
      </c>
      <c r="F93" s="65">
        <v>132</v>
      </c>
      <c r="G93" s="65">
        <v>132</v>
      </c>
      <c r="H93" s="65">
        <v>131</v>
      </c>
      <c r="I93" s="65">
        <v>131</v>
      </c>
      <c r="J93" s="65">
        <v>129</v>
      </c>
      <c r="K93" s="65">
        <v>128</v>
      </c>
      <c r="L93" s="65">
        <v>128</v>
      </c>
      <c r="M93" s="65">
        <v>126</v>
      </c>
      <c r="N93" s="65">
        <v>126.6</v>
      </c>
      <c r="O93" s="65">
        <v>128.30000000000001</v>
      </c>
      <c r="P93" s="65">
        <v>127.9</v>
      </c>
      <c r="Q93" s="65">
        <v>128</v>
      </c>
      <c r="R93" s="65">
        <v>128.69999999999999</v>
      </c>
      <c r="S93" s="65">
        <v>127.5</v>
      </c>
      <c r="T93" s="65">
        <v>126.7</v>
      </c>
      <c r="U93" s="65">
        <v>128</v>
      </c>
      <c r="V93" s="65">
        <v>128.19999999999999</v>
      </c>
      <c r="W93" s="65">
        <v>128</v>
      </c>
      <c r="X93" s="65">
        <v>128.4</v>
      </c>
      <c r="Y93" s="65">
        <v>129.4</v>
      </c>
      <c r="Z93" s="65">
        <v>129.4</v>
      </c>
      <c r="AA93" s="65">
        <v>130.5</v>
      </c>
      <c r="AB93" s="65">
        <v>130.6</v>
      </c>
      <c r="AC93" s="65">
        <v>130.9</v>
      </c>
      <c r="AD93" s="65">
        <v>131.4</v>
      </c>
      <c r="AE93" s="65">
        <v>132</v>
      </c>
      <c r="AF93" s="65">
        <v>131.6</v>
      </c>
      <c r="AG93" s="92"/>
      <c r="AH93" s="48">
        <f t="shared" si="9"/>
        <v>133.19999999999999</v>
      </c>
      <c r="AI93" s="49">
        <f t="shared" si="10"/>
        <v>126</v>
      </c>
    </row>
    <row r="94" spans="1:37" x14ac:dyDescent="0.25">
      <c r="A94" s="91" t="s">
        <v>99</v>
      </c>
      <c r="B94" s="65">
        <v>131.6</v>
      </c>
      <c r="C94" s="65">
        <v>132</v>
      </c>
      <c r="D94" s="65">
        <v>132.9</v>
      </c>
      <c r="E94" s="65">
        <v>130</v>
      </c>
      <c r="F94" s="65">
        <v>130</v>
      </c>
      <c r="G94" s="65">
        <v>130</v>
      </c>
      <c r="H94" s="65">
        <v>128</v>
      </c>
      <c r="I94" s="65">
        <v>128</v>
      </c>
      <c r="J94" s="65">
        <v>126</v>
      </c>
      <c r="K94" s="65">
        <v>124</v>
      </c>
      <c r="L94" s="65">
        <v>124</v>
      </c>
      <c r="M94" s="65">
        <v>125.8</v>
      </c>
      <c r="N94" s="65">
        <v>129.9</v>
      </c>
      <c r="O94" s="65">
        <v>129.69999999999999</v>
      </c>
      <c r="P94" s="65">
        <v>127.7</v>
      </c>
      <c r="Q94" s="65">
        <v>128.6</v>
      </c>
      <c r="R94" s="65">
        <v>129.5</v>
      </c>
      <c r="S94" s="65">
        <v>129.5</v>
      </c>
      <c r="T94" s="65">
        <v>128</v>
      </c>
      <c r="U94" s="65">
        <v>129.6</v>
      </c>
      <c r="V94" s="65">
        <v>129.9</v>
      </c>
      <c r="W94" s="65">
        <v>127.5</v>
      </c>
      <c r="X94" s="65">
        <v>131.5</v>
      </c>
      <c r="Y94" s="65">
        <v>131.30000000000001</v>
      </c>
      <c r="Z94" s="65">
        <v>130</v>
      </c>
      <c r="AA94" s="65">
        <v>131.19999999999999</v>
      </c>
      <c r="AB94" s="65">
        <v>131.4</v>
      </c>
      <c r="AC94" s="65">
        <v>131.5</v>
      </c>
      <c r="AD94" s="65">
        <v>131.69999999999999</v>
      </c>
      <c r="AE94" s="65">
        <v>130.9</v>
      </c>
      <c r="AF94" s="65">
        <v>130.4</v>
      </c>
      <c r="AG94" s="92"/>
      <c r="AH94" s="48">
        <f t="shared" si="9"/>
        <v>132.9</v>
      </c>
      <c r="AI94" s="49">
        <f t="shared" si="10"/>
        <v>124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>
        <v>133</v>
      </c>
      <c r="L95" s="65">
        <v>133</v>
      </c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9"/>
        <v>133</v>
      </c>
      <c r="AI95" s="49">
        <f t="shared" si="10"/>
        <v>133</v>
      </c>
    </row>
    <row r="96" spans="1:37" x14ac:dyDescent="0.25">
      <c r="A96" s="93" t="s">
        <v>101</v>
      </c>
      <c r="B96" s="94">
        <v>133.19999999999999</v>
      </c>
      <c r="C96" s="94">
        <v>134</v>
      </c>
      <c r="D96" s="94">
        <v>134.30000000000001</v>
      </c>
      <c r="E96" s="94">
        <v>135</v>
      </c>
      <c r="F96" s="94">
        <v>135</v>
      </c>
      <c r="G96" s="94">
        <v>135</v>
      </c>
      <c r="H96" s="94">
        <v>133</v>
      </c>
      <c r="I96" s="94">
        <v>133</v>
      </c>
      <c r="J96" s="94">
        <v>132</v>
      </c>
      <c r="K96" s="94">
        <v>133</v>
      </c>
      <c r="L96" s="94">
        <v>133</v>
      </c>
      <c r="M96" s="94">
        <v>130</v>
      </c>
      <c r="N96" s="94">
        <v>131.6</v>
      </c>
      <c r="O96" s="94">
        <v>133.9</v>
      </c>
      <c r="P96" s="94">
        <v>134.80000000000001</v>
      </c>
      <c r="Q96" s="94">
        <v>134.4</v>
      </c>
      <c r="R96" s="94">
        <v>132.69999999999999</v>
      </c>
      <c r="S96" s="94">
        <v>133.1</v>
      </c>
      <c r="T96" s="94">
        <v>132.9</v>
      </c>
      <c r="U96" s="94">
        <v>135</v>
      </c>
      <c r="V96" s="94">
        <v>134.4</v>
      </c>
      <c r="W96" s="94">
        <v>130.30000000000001</v>
      </c>
      <c r="X96" s="94">
        <v>133.69999999999999</v>
      </c>
      <c r="Y96" s="94">
        <v>131.9</v>
      </c>
      <c r="Z96" s="94">
        <v>133.30000000000001</v>
      </c>
      <c r="AA96" s="94">
        <v>134.5</v>
      </c>
      <c r="AB96" s="94">
        <v>134.1</v>
      </c>
      <c r="AC96" s="94">
        <v>129.9</v>
      </c>
      <c r="AD96" s="94">
        <v>132.69999999999999</v>
      </c>
      <c r="AE96" s="94">
        <v>134.1</v>
      </c>
      <c r="AF96" s="94">
        <v>133.30000000000001</v>
      </c>
      <c r="AG96" s="95"/>
      <c r="AH96" s="48">
        <f t="shared" si="9"/>
        <v>135</v>
      </c>
      <c r="AI96" s="49">
        <f t="shared" si="10"/>
        <v>129.9</v>
      </c>
    </row>
    <row r="97" spans="1:37" x14ac:dyDescent="0.25">
      <c r="A97" s="91" t="s">
        <v>102</v>
      </c>
      <c r="B97" s="65">
        <v>132.1</v>
      </c>
      <c r="C97" s="65">
        <v>134.1</v>
      </c>
      <c r="D97" s="65">
        <v>134</v>
      </c>
      <c r="E97" s="65">
        <v>135</v>
      </c>
      <c r="F97" s="65">
        <v>135</v>
      </c>
      <c r="G97" s="65">
        <v>135</v>
      </c>
      <c r="H97" s="65">
        <v>132</v>
      </c>
      <c r="I97" s="65">
        <v>132</v>
      </c>
      <c r="J97" s="65">
        <v>130</v>
      </c>
      <c r="K97" s="65">
        <v>131</v>
      </c>
      <c r="L97" s="65">
        <v>131</v>
      </c>
      <c r="M97" s="65">
        <v>127.6</v>
      </c>
      <c r="N97" s="65">
        <v>127.9</v>
      </c>
      <c r="O97" s="65">
        <v>131.4</v>
      </c>
      <c r="P97" s="65">
        <v>134.4</v>
      </c>
      <c r="Q97" s="65">
        <v>133.1</v>
      </c>
      <c r="R97" s="65">
        <v>131.1</v>
      </c>
      <c r="S97" s="65">
        <v>129.80000000000001</v>
      </c>
      <c r="T97" s="65">
        <v>130.9</v>
      </c>
      <c r="U97" s="65">
        <v>132</v>
      </c>
      <c r="V97" s="65">
        <v>132.1</v>
      </c>
      <c r="W97" s="65">
        <v>128.80000000000001</v>
      </c>
      <c r="X97" s="65">
        <v>131.6</v>
      </c>
      <c r="Y97" s="65">
        <v>131.30000000000001</v>
      </c>
      <c r="Z97" s="65">
        <v>133</v>
      </c>
      <c r="AA97" s="65">
        <v>133.69999999999999</v>
      </c>
      <c r="AB97" s="65">
        <v>133.4</v>
      </c>
      <c r="AC97" s="65">
        <v>128.5</v>
      </c>
      <c r="AD97" s="65">
        <v>133</v>
      </c>
      <c r="AE97" s="65">
        <v>135.19999999999999</v>
      </c>
      <c r="AF97" s="65">
        <v>134.9</v>
      </c>
      <c r="AG97" s="92"/>
      <c r="AH97" s="48">
        <f t="shared" si="9"/>
        <v>135.19999999999999</v>
      </c>
      <c r="AI97" s="49">
        <f t="shared" si="10"/>
        <v>127.6</v>
      </c>
    </row>
    <row r="98" spans="1:37" ht="15.75" thickBot="1" x14ac:dyDescent="0.3">
      <c r="A98" s="91" t="s">
        <v>103</v>
      </c>
      <c r="B98" s="96">
        <v>66.8</v>
      </c>
      <c r="C98" s="96">
        <v>66.900000000000006</v>
      </c>
      <c r="D98" s="96">
        <v>67</v>
      </c>
      <c r="E98" s="96">
        <v>67</v>
      </c>
      <c r="F98" s="96">
        <v>67</v>
      </c>
      <c r="G98" s="96">
        <v>66.5</v>
      </c>
      <c r="H98" s="96">
        <v>66</v>
      </c>
      <c r="I98" s="96">
        <v>66</v>
      </c>
      <c r="J98" s="96">
        <v>64.8</v>
      </c>
      <c r="K98" s="96">
        <v>64.400000000000006</v>
      </c>
      <c r="L98" s="96">
        <v>64.400000000000006</v>
      </c>
      <c r="M98" s="96">
        <v>63.4</v>
      </c>
      <c r="N98" s="96">
        <v>63.6</v>
      </c>
      <c r="O98" s="96">
        <v>64.5</v>
      </c>
      <c r="P98" s="96">
        <v>64.400000000000006</v>
      </c>
      <c r="Q98" s="96">
        <v>64.3</v>
      </c>
      <c r="R98" s="96">
        <v>65</v>
      </c>
      <c r="S98" s="96">
        <v>64.099999999999994</v>
      </c>
      <c r="T98" s="96">
        <v>63.5</v>
      </c>
      <c r="U98" s="96">
        <v>64</v>
      </c>
      <c r="V98" s="96">
        <v>64.3</v>
      </c>
      <c r="W98" s="96">
        <v>64.2</v>
      </c>
      <c r="X98" s="96">
        <v>64.599999999999994</v>
      </c>
      <c r="Y98" s="96">
        <v>65.099999999999994</v>
      </c>
      <c r="Z98" s="96">
        <v>65</v>
      </c>
      <c r="AA98" s="96">
        <v>65.7</v>
      </c>
      <c r="AB98" s="96">
        <v>65.7</v>
      </c>
      <c r="AC98" s="96">
        <v>65.900000000000006</v>
      </c>
      <c r="AD98" s="96">
        <v>66.099999999999994</v>
      </c>
      <c r="AE98" s="96">
        <v>66.599999999999994</v>
      </c>
      <c r="AF98" s="96">
        <v>66.099999999999994</v>
      </c>
      <c r="AG98" s="97"/>
      <c r="AH98" s="48">
        <f t="shared" si="9"/>
        <v>67</v>
      </c>
      <c r="AI98" s="49">
        <f t="shared" si="10"/>
        <v>63.4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9"/>
        <v>0</v>
      </c>
      <c r="AI99" s="49">
        <f t="shared" si="10"/>
        <v>0</v>
      </c>
    </row>
    <row r="100" spans="1:37" ht="15.75" thickBot="1" x14ac:dyDescent="0.3">
      <c r="A100" s="99" t="s">
        <v>104</v>
      </c>
      <c r="B100" s="100">
        <f t="shared" ref="B100:AF100" si="21">SUM(B15,B20,B22:B23,B48,B50:B51,B53,B55,B101:B105,B127,B133,B139,B148,B150,B162,B169,B172:B173,B180,B182,B184,B188:B190,B192:B194,B199,B205:B206,B208:B210,B218,B223)</f>
        <v>53.700000000000024</v>
      </c>
      <c r="C100" s="100">
        <f t="shared" si="21"/>
        <v>47.039999999999992</v>
      </c>
      <c r="D100" s="100">
        <f t="shared" si="21"/>
        <v>48.739999999999981</v>
      </c>
      <c r="E100" s="100">
        <f t="shared" si="21"/>
        <v>46.039999999999992</v>
      </c>
      <c r="F100" s="100">
        <f t="shared" si="21"/>
        <v>57.039999999999992</v>
      </c>
      <c r="G100" s="100">
        <f t="shared" si="21"/>
        <v>72.039999999999992</v>
      </c>
      <c r="H100" s="100">
        <f t="shared" si="21"/>
        <v>103.03999999999999</v>
      </c>
      <c r="I100" s="100">
        <f t="shared" si="21"/>
        <v>118.04000000000002</v>
      </c>
      <c r="J100" s="100">
        <f t="shared" si="21"/>
        <v>184.04000000000002</v>
      </c>
      <c r="K100" s="100">
        <f t="shared" si="21"/>
        <v>230.04000000000002</v>
      </c>
      <c r="L100" s="100">
        <f t="shared" si="21"/>
        <v>248.04000000000002</v>
      </c>
      <c r="M100" s="100">
        <f t="shared" si="21"/>
        <v>249.03999999999994</v>
      </c>
      <c r="N100" s="100">
        <f t="shared" si="21"/>
        <v>226.93999999999997</v>
      </c>
      <c r="O100" s="100">
        <f t="shared" si="21"/>
        <v>222.04</v>
      </c>
      <c r="P100" s="100">
        <f t="shared" si="21"/>
        <v>211.44</v>
      </c>
      <c r="Q100" s="100">
        <f t="shared" si="21"/>
        <v>195.70000000000002</v>
      </c>
      <c r="R100" s="100">
        <f t="shared" si="21"/>
        <v>178.3</v>
      </c>
      <c r="S100" s="100">
        <f t="shared" si="21"/>
        <v>215.70000000000002</v>
      </c>
      <c r="T100" s="100">
        <f t="shared" si="21"/>
        <v>196.90000000000003</v>
      </c>
      <c r="U100" s="100">
        <f t="shared" si="21"/>
        <v>200</v>
      </c>
      <c r="V100" s="100">
        <f t="shared" si="21"/>
        <v>212.59999999999997</v>
      </c>
      <c r="W100" s="100">
        <f t="shared" si="21"/>
        <v>259.8</v>
      </c>
      <c r="X100" s="100">
        <f t="shared" si="21"/>
        <v>280.5</v>
      </c>
      <c r="Y100" s="100">
        <f t="shared" si="21"/>
        <v>282.40000000000003</v>
      </c>
      <c r="Z100" s="100">
        <f t="shared" si="21"/>
        <v>267</v>
      </c>
      <c r="AA100" s="100">
        <f t="shared" si="21"/>
        <v>246.99999999999997</v>
      </c>
      <c r="AB100" s="100">
        <f t="shared" si="21"/>
        <v>213.39999999999995</v>
      </c>
      <c r="AC100" s="100">
        <f t="shared" si="21"/>
        <v>193.2</v>
      </c>
      <c r="AD100" s="100">
        <f t="shared" si="21"/>
        <v>151.80000000000004</v>
      </c>
      <c r="AE100" s="100">
        <f t="shared" si="21"/>
        <v>86.299999999999983</v>
      </c>
      <c r="AF100" s="100">
        <f t="shared" si="21"/>
        <v>53.2</v>
      </c>
      <c r="AG100" s="101"/>
      <c r="AH100" s="48">
        <f t="shared" si="9"/>
        <v>282.40000000000003</v>
      </c>
      <c r="AI100" s="49">
        <f t="shared" si="10"/>
        <v>46.039999999999992</v>
      </c>
    </row>
    <row r="101" spans="1:37" x14ac:dyDescent="0.25">
      <c r="A101" s="88" t="s">
        <v>105</v>
      </c>
      <c r="B101" s="102">
        <v>32.1</v>
      </c>
      <c r="C101" s="102">
        <v>29.6</v>
      </c>
      <c r="D101" s="102">
        <v>28.4</v>
      </c>
      <c r="E101" s="102">
        <v>32</v>
      </c>
      <c r="F101" s="102">
        <v>32</v>
      </c>
      <c r="G101" s="102">
        <v>40</v>
      </c>
      <c r="H101" s="102">
        <v>45</v>
      </c>
      <c r="I101" s="102">
        <v>47</v>
      </c>
      <c r="J101" s="102">
        <v>51</v>
      </c>
      <c r="K101" s="102">
        <v>49</v>
      </c>
      <c r="L101" s="102">
        <v>47</v>
      </c>
      <c r="M101" s="102">
        <v>44.2</v>
      </c>
      <c r="N101" s="102">
        <v>49.3</v>
      </c>
      <c r="O101" s="102">
        <v>53.5</v>
      </c>
      <c r="P101" s="102">
        <v>57.4</v>
      </c>
      <c r="Q101" s="102">
        <v>56.9</v>
      </c>
      <c r="R101" s="102">
        <v>53.1</v>
      </c>
      <c r="S101" s="102">
        <v>57.5</v>
      </c>
      <c r="T101" s="102">
        <v>55.8</v>
      </c>
      <c r="U101" s="102">
        <v>56.6</v>
      </c>
      <c r="V101" s="102">
        <v>55.5</v>
      </c>
      <c r="W101" s="102">
        <v>47.3</v>
      </c>
      <c r="X101" s="102">
        <v>47.3</v>
      </c>
      <c r="Y101" s="102">
        <v>50.4</v>
      </c>
      <c r="Z101" s="102">
        <v>49.9</v>
      </c>
      <c r="AA101" s="102">
        <v>54.9</v>
      </c>
      <c r="AB101" s="102">
        <v>58.5</v>
      </c>
      <c r="AC101" s="102">
        <v>57.2</v>
      </c>
      <c r="AD101" s="102">
        <v>55</v>
      </c>
      <c r="AE101" s="102">
        <v>40</v>
      </c>
      <c r="AF101" s="102">
        <v>30.1</v>
      </c>
      <c r="AG101" s="103">
        <v>75</v>
      </c>
      <c r="AH101" s="48">
        <f t="shared" si="9"/>
        <v>58.5</v>
      </c>
      <c r="AI101" s="49">
        <f t="shared" si="10"/>
        <v>28.4</v>
      </c>
    </row>
    <row r="102" spans="1:37" x14ac:dyDescent="0.25">
      <c r="A102" s="91" t="s">
        <v>106</v>
      </c>
      <c r="B102" s="104">
        <v>52.2</v>
      </c>
      <c r="C102" s="104">
        <v>49.5</v>
      </c>
      <c r="D102" s="104">
        <v>46.6</v>
      </c>
      <c r="E102" s="104">
        <v>54</v>
      </c>
      <c r="F102" s="104">
        <v>54</v>
      </c>
      <c r="G102" s="104">
        <v>65</v>
      </c>
      <c r="H102" s="104">
        <v>71</v>
      </c>
      <c r="I102" s="104">
        <v>74</v>
      </c>
      <c r="J102" s="104">
        <v>78</v>
      </c>
      <c r="K102" s="104">
        <v>75</v>
      </c>
      <c r="L102" s="104">
        <v>70</v>
      </c>
      <c r="M102" s="104">
        <v>64.400000000000006</v>
      </c>
      <c r="N102" s="104">
        <v>74.599999999999994</v>
      </c>
      <c r="O102" s="104">
        <v>82.3</v>
      </c>
      <c r="P102" s="104">
        <v>89.7</v>
      </c>
      <c r="Q102" s="104">
        <v>89.6</v>
      </c>
      <c r="R102" s="104">
        <v>83.3</v>
      </c>
      <c r="S102" s="104">
        <v>88.4</v>
      </c>
      <c r="T102" s="104">
        <v>82.8</v>
      </c>
      <c r="U102" s="104">
        <v>83.7</v>
      </c>
      <c r="V102" s="104">
        <v>80.599999999999994</v>
      </c>
      <c r="W102" s="104">
        <v>65.599999999999994</v>
      </c>
      <c r="X102" s="104">
        <v>64.400000000000006</v>
      </c>
      <c r="Y102" s="104">
        <v>70</v>
      </c>
      <c r="Z102" s="104">
        <v>68.8</v>
      </c>
      <c r="AA102" s="104">
        <v>78.8</v>
      </c>
      <c r="AB102" s="104">
        <v>86.1</v>
      </c>
      <c r="AC102" s="104">
        <v>84.3</v>
      </c>
      <c r="AD102" s="104">
        <v>77</v>
      </c>
      <c r="AE102" s="104">
        <v>58.5</v>
      </c>
      <c r="AF102" s="104">
        <v>46.9</v>
      </c>
      <c r="AG102" s="103">
        <v>240</v>
      </c>
      <c r="AH102" s="48">
        <f t="shared" si="9"/>
        <v>89.7</v>
      </c>
      <c r="AI102" s="49">
        <f t="shared" si="10"/>
        <v>46.6</v>
      </c>
    </row>
    <row r="103" spans="1:37" x14ac:dyDescent="0.25">
      <c r="A103" s="91" t="s">
        <v>107</v>
      </c>
      <c r="B103" s="104">
        <v>-145</v>
      </c>
      <c r="C103" s="104">
        <v>-148</v>
      </c>
      <c r="D103" s="104">
        <v>-141.30000000000001</v>
      </c>
      <c r="E103" s="104">
        <v>-147</v>
      </c>
      <c r="F103" s="104">
        <v>-135</v>
      </c>
      <c r="G103" s="104">
        <v>-140</v>
      </c>
      <c r="H103" s="104">
        <v>-137</v>
      </c>
      <c r="I103" s="104">
        <v>-138</v>
      </c>
      <c r="J103" s="104">
        <v>-102</v>
      </c>
      <c r="K103" s="104">
        <v>-65</v>
      </c>
      <c r="L103" s="104">
        <v>-34</v>
      </c>
      <c r="M103" s="104">
        <v>-30.3</v>
      </c>
      <c r="N103" s="104">
        <v>-63.9</v>
      </c>
      <c r="O103" s="104">
        <v>-81.599999999999994</v>
      </c>
      <c r="P103" s="104">
        <v>-105</v>
      </c>
      <c r="Q103" s="104">
        <v>-116.1</v>
      </c>
      <c r="R103" s="104">
        <v>-113</v>
      </c>
      <c r="S103" s="104">
        <v>-99</v>
      </c>
      <c r="T103" s="104">
        <f>-54-56.8</f>
        <v>-110.8</v>
      </c>
      <c r="U103" s="104">
        <v>-106</v>
      </c>
      <c r="V103" s="104">
        <f>-42.4-44.6</f>
        <v>-87</v>
      </c>
      <c r="W103" s="104">
        <f>-11.2-11.8</f>
        <v>-23</v>
      </c>
      <c r="X103" s="104">
        <f>-2.6-3.6</f>
        <v>-6.2</v>
      </c>
      <c r="Y103" s="104">
        <f>-5.2-7.6</f>
        <v>-12.8</v>
      </c>
      <c r="Z103" s="104">
        <f>-11.9-13</f>
        <v>-24.9</v>
      </c>
      <c r="AA103" s="104">
        <f>-26.4-29.1</f>
        <v>-55.5</v>
      </c>
      <c r="AB103" s="104">
        <v>-94</v>
      </c>
      <c r="AC103" s="104">
        <v>-108</v>
      </c>
      <c r="AD103" s="104">
        <f>-63.6-68</f>
        <v>-131.6</v>
      </c>
      <c r="AE103" s="104">
        <f>-72.4-76.7</f>
        <v>-149.10000000000002</v>
      </c>
      <c r="AF103" s="104">
        <f>-70-74</f>
        <v>-144</v>
      </c>
      <c r="AG103" s="103">
        <v>240</v>
      </c>
      <c r="AH103" s="48">
        <f t="shared" si="9"/>
        <v>-6.2</v>
      </c>
      <c r="AI103" s="49">
        <f t="shared" si="10"/>
        <v>-149.10000000000002</v>
      </c>
    </row>
    <row r="104" spans="1:37" x14ac:dyDescent="0.25">
      <c r="A104" s="91" t="s">
        <v>108</v>
      </c>
      <c r="B104" s="104">
        <v>-12.4</v>
      </c>
      <c r="C104" s="104">
        <v>-13</v>
      </c>
      <c r="D104" s="104">
        <v>-14</v>
      </c>
      <c r="E104" s="104">
        <v>-12</v>
      </c>
      <c r="F104" s="104">
        <v>-13</v>
      </c>
      <c r="G104" s="104">
        <v>-12</v>
      </c>
      <c r="H104" s="104">
        <v>-10</v>
      </c>
      <c r="I104" s="104">
        <v>-10</v>
      </c>
      <c r="J104" s="104">
        <v>-2</v>
      </c>
      <c r="K104" s="104">
        <v>3</v>
      </c>
      <c r="L104" s="104">
        <v>6</v>
      </c>
      <c r="M104" s="104">
        <v>7.6</v>
      </c>
      <c r="N104" s="104">
        <v>2</v>
      </c>
      <c r="O104" s="104">
        <v>1.3</v>
      </c>
      <c r="P104" s="104">
        <v>-2.2999999999999998</v>
      </c>
      <c r="Q104" s="104">
        <v>-5.2</v>
      </c>
      <c r="R104" s="104">
        <v>-5.2</v>
      </c>
      <c r="S104" s="104">
        <v>-3.6</v>
      </c>
      <c r="T104" s="104">
        <v>-2.7</v>
      </c>
      <c r="U104" s="104">
        <v>2</v>
      </c>
      <c r="V104" s="104">
        <v>5.8</v>
      </c>
      <c r="W104" s="104">
        <v>18.2</v>
      </c>
      <c r="X104" s="104">
        <v>23.3</v>
      </c>
      <c r="Y104" s="104">
        <v>23.1</v>
      </c>
      <c r="Z104" s="104">
        <v>21.5</v>
      </c>
      <c r="AA104" s="104">
        <v>17.100000000000001</v>
      </c>
      <c r="AB104" s="104">
        <v>10.6</v>
      </c>
      <c r="AC104" s="104">
        <v>7.7</v>
      </c>
      <c r="AD104" s="104">
        <v>1.3</v>
      </c>
      <c r="AE104" s="104">
        <v>-5</v>
      </c>
      <c r="AF104" s="104">
        <v>-10.3</v>
      </c>
      <c r="AG104" s="103">
        <v>60</v>
      </c>
      <c r="AH104" s="48">
        <f t="shared" si="9"/>
        <v>23.3</v>
      </c>
      <c r="AI104" s="49">
        <f t="shared" si="10"/>
        <v>-14</v>
      </c>
    </row>
    <row r="105" spans="1:37" x14ac:dyDescent="0.25">
      <c r="A105" s="105" t="s">
        <v>109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0</v>
      </c>
      <c r="Y105" s="106">
        <v>0</v>
      </c>
      <c r="Z105" s="106">
        <v>0</v>
      </c>
      <c r="AA105" s="106">
        <v>0</v>
      </c>
      <c r="AB105" s="106">
        <v>0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9"/>
        <v>0</v>
      </c>
      <c r="AI105" s="49">
        <f t="shared" si="10"/>
        <v>0</v>
      </c>
    </row>
    <row r="106" spans="1:37" x14ac:dyDescent="0.25">
      <c r="A106" s="105" t="s">
        <v>110</v>
      </c>
      <c r="B106" s="106">
        <v>-29.3</v>
      </c>
      <c r="C106" s="106">
        <v>-29.6</v>
      </c>
      <c r="D106" s="106">
        <v>-22.8</v>
      </c>
      <c r="E106" s="106">
        <v>-28</v>
      </c>
      <c r="F106" s="106">
        <v>-20</v>
      </c>
      <c r="G106" s="106">
        <v>-20</v>
      </c>
      <c r="H106" s="106">
        <v>-20</v>
      </c>
      <c r="I106" s="106">
        <v>-20</v>
      </c>
      <c r="J106" s="106">
        <v>4</v>
      </c>
      <c r="K106" s="106">
        <v>36</v>
      </c>
      <c r="L106" s="106">
        <v>65</v>
      </c>
      <c r="M106" s="106">
        <v>72.599999999999994</v>
      </c>
      <c r="N106" s="106">
        <v>50.5</v>
      </c>
      <c r="O106" s="106">
        <v>20.6</v>
      </c>
      <c r="P106" s="106">
        <v>9.1999999999999993</v>
      </c>
      <c r="Q106" s="106">
        <v>-6.4</v>
      </c>
      <c r="R106" s="106">
        <v>-7.7</v>
      </c>
      <c r="S106" s="106">
        <v>9.3000000000000007</v>
      </c>
      <c r="T106" s="106">
        <v>3.3</v>
      </c>
      <c r="U106" s="106">
        <v>6.3</v>
      </c>
      <c r="V106" s="106">
        <v>8.1</v>
      </c>
      <c r="W106" s="106">
        <v>57.3</v>
      </c>
      <c r="X106" s="106">
        <v>63.5</v>
      </c>
      <c r="Y106" s="106">
        <v>51.7</v>
      </c>
      <c r="Z106" s="106">
        <v>44.1</v>
      </c>
      <c r="AA106" s="106">
        <v>18.600000000000001</v>
      </c>
      <c r="AB106" s="106">
        <v>-15.5</v>
      </c>
      <c r="AC106" s="106">
        <v>-24.9</v>
      </c>
      <c r="AD106" s="106">
        <v>-38.5</v>
      </c>
      <c r="AE106" s="106">
        <v>-42.2</v>
      </c>
      <c r="AF106" s="106">
        <v>-22</v>
      </c>
      <c r="AG106" s="107"/>
      <c r="AH106" s="48">
        <f t="shared" si="9"/>
        <v>72.599999999999994</v>
      </c>
      <c r="AI106" s="49">
        <f t="shared" si="10"/>
        <v>-42.2</v>
      </c>
    </row>
    <row r="107" spans="1:37" x14ac:dyDescent="0.25">
      <c r="A107" s="105" t="s">
        <v>111</v>
      </c>
      <c r="B107" s="106">
        <v>0</v>
      </c>
      <c r="C107" s="106">
        <v>0</v>
      </c>
      <c r="D107" s="106">
        <v>0</v>
      </c>
      <c r="E107" s="106">
        <v>0</v>
      </c>
      <c r="F107" s="106">
        <v>0</v>
      </c>
      <c r="G107" s="106">
        <v>0</v>
      </c>
      <c r="H107" s="106">
        <v>0</v>
      </c>
      <c r="I107" s="106">
        <v>0</v>
      </c>
      <c r="J107" s="106">
        <v>0</v>
      </c>
      <c r="K107" s="106">
        <v>0</v>
      </c>
      <c r="L107" s="106">
        <v>0</v>
      </c>
      <c r="M107" s="106">
        <v>0</v>
      </c>
      <c r="N107" s="106">
        <v>0</v>
      </c>
      <c r="O107" s="106">
        <v>0</v>
      </c>
      <c r="P107" s="106">
        <v>0</v>
      </c>
      <c r="Q107" s="106">
        <v>0</v>
      </c>
      <c r="R107" s="106">
        <v>0</v>
      </c>
      <c r="S107" s="106">
        <v>0</v>
      </c>
      <c r="T107" s="106">
        <v>0</v>
      </c>
      <c r="U107" s="106">
        <v>0</v>
      </c>
      <c r="V107" s="106">
        <v>0</v>
      </c>
      <c r="W107" s="106">
        <v>0</v>
      </c>
      <c r="X107" s="106">
        <v>0</v>
      </c>
      <c r="Y107" s="106">
        <v>0</v>
      </c>
      <c r="Z107" s="106">
        <v>0</v>
      </c>
      <c r="AA107" s="106">
        <v>0</v>
      </c>
      <c r="AB107" s="106">
        <v>0</v>
      </c>
      <c r="AC107" s="106">
        <v>0</v>
      </c>
      <c r="AD107" s="106">
        <v>0</v>
      </c>
      <c r="AE107" s="106">
        <v>0</v>
      </c>
      <c r="AF107" s="106">
        <v>0</v>
      </c>
      <c r="AG107" s="108"/>
      <c r="AH107" s="48">
        <f t="shared" si="9"/>
        <v>0</v>
      </c>
      <c r="AI107" s="49">
        <f t="shared" si="10"/>
        <v>0</v>
      </c>
    </row>
    <row r="108" spans="1:37" x14ac:dyDescent="0.25">
      <c r="A108" s="109" t="s">
        <v>112</v>
      </c>
      <c r="B108" s="94">
        <v>80.099999999999994</v>
      </c>
      <c r="C108" s="94">
        <v>80.7</v>
      </c>
      <c r="D108" s="94">
        <v>80</v>
      </c>
      <c r="E108" s="94">
        <v>80</v>
      </c>
      <c r="F108" s="94">
        <v>50</v>
      </c>
      <c r="G108" s="94">
        <v>47</v>
      </c>
      <c r="H108" s="94">
        <v>36</v>
      </c>
      <c r="I108" s="94">
        <v>37</v>
      </c>
      <c r="J108" s="94">
        <v>28</v>
      </c>
      <c r="K108" s="94">
        <v>25</v>
      </c>
      <c r="L108" s="94">
        <v>11</v>
      </c>
      <c r="M108" s="94">
        <v>10.9</v>
      </c>
      <c r="N108" s="94">
        <v>32.1</v>
      </c>
      <c r="O108" s="94">
        <v>35.9</v>
      </c>
      <c r="P108" s="94">
        <v>32.5</v>
      </c>
      <c r="Q108" s="94">
        <v>33.9</v>
      </c>
      <c r="R108" s="94">
        <v>36</v>
      </c>
      <c r="S108" s="94">
        <v>29</v>
      </c>
      <c r="T108" s="94">
        <v>26.4</v>
      </c>
      <c r="U108" s="94">
        <v>-10</v>
      </c>
      <c r="V108" s="94">
        <v>13.6</v>
      </c>
      <c r="W108" s="94">
        <v>3.8</v>
      </c>
      <c r="X108" s="94">
        <v>4.7</v>
      </c>
      <c r="Y108" s="94">
        <v>33.4</v>
      </c>
      <c r="Z108" s="94">
        <v>38.799999999999997</v>
      </c>
      <c r="AA108" s="94">
        <v>46.2</v>
      </c>
      <c r="AB108" s="94">
        <v>57.7</v>
      </c>
      <c r="AC108" s="94">
        <v>61.5</v>
      </c>
      <c r="AD108" s="94">
        <v>65.099999999999994</v>
      </c>
      <c r="AE108" s="94">
        <v>72.099999999999994</v>
      </c>
      <c r="AF108" s="94">
        <v>69.2</v>
      </c>
      <c r="AG108" s="108"/>
      <c r="AH108" s="48">
        <f t="shared" si="9"/>
        <v>80.7</v>
      </c>
      <c r="AI108" s="49">
        <f t="shared" si="10"/>
        <v>-10</v>
      </c>
    </row>
    <row r="109" spans="1:37" ht="15.75" thickBot="1" x14ac:dyDescent="0.3">
      <c r="A109" s="109" t="s">
        <v>113</v>
      </c>
      <c r="B109" s="94">
        <v>103</v>
      </c>
      <c r="C109" s="94">
        <v>106</v>
      </c>
      <c r="D109" s="94">
        <v>100</v>
      </c>
      <c r="E109" s="94">
        <v>105</v>
      </c>
      <c r="F109" s="94">
        <v>95</v>
      </c>
      <c r="G109" s="94">
        <v>102</v>
      </c>
      <c r="H109" s="94">
        <v>102</v>
      </c>
      <c r="I109" s="94">
        <v>102</v>
      </c>
      <c r="J109" s="94">
        <v>80</v>
      </c>
      <c r="K109" s="94">
        <v>50</v>
      </c>
      <c r="L109" s="94">
        <v>28</v>
      </c>
      <c r="M109" s="94">
        <v>23.1</v>
      </c>
      <c r="N109" s="94">
        <v>45.2</v>
      </c>
      <c r="O109" s="94">
        <v>60.2</v>
      </c>
      <c r="P109" s="94">
        <v>79.099999999999994</v>
      </c>
      <c r="Q109" s="94">
        <v>85</v>
      </c>
      <c r="R109" s="94">
        <v>82.2</v>
      </c>
      <c r="S109" s="94">
        <v>72</v>
      </c>
      <c r="T109" s="94">
        <v>81.599999999999994</v>
      </c>
      <c r="U109" s="94">
        <v>77.5</v>
      </c>
      <c r="V109" s="94">
        <v>66.2</v>
      </c>
      <c r="W109" s="94">
        <v>18.2</v>
      </c>
      <c r="X109" s="94">
        <v>9.1999999999999993</v>
      </c>
      <c r="Y109" s="94">
        <v>17.2</v>
      </c>
      <c r="Z109" s="94">
        <v>22.3</v>
      </c>
      <c r="AA109" s="94">
        <v>45.8</v>
      </c>
      <c r="AB109" s="94">
        <v>72.599999999999994</v>
      </c>
      <c r="AC109" s="94">
        <v>86.6</v>
      </c>
      <c r="AD109" s="94">
        <v>97.3</v>
      </c>
      <c r="AE109" s="94">
        <v>103.3</v>
      </c>
      <c r="AF109" s="94">
        <v>99.7</v>
      </c>
      <c r="AG109" s="108"/>
      <c r="AH109" s="48">
        <f t="shared" si="9"/>
        <v>106</v>
      </c>
      <c r="AI109" s="49">
        <f t="shared" si="10"/>
        <v>9.1999999999999993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22">SUM(B111:B215)</f>
        <v>0</v>
      </c>
      <c r="C216" s="125">
        <f t="shared" si="22"/>
        <v>0</v>
      </c>
      <c r="D216" s="125">
        <f t="shared" si="22"/>
        <v>0</v>
      </c>
      <c r="E216" s="125">
        <f t="shared" si="22"/>
        <v>0</v>
      </c>
      <c r="F216" s="125">
        <f t="shared" si="22"/>
        <v>0</v>
      </c>
      <c r="G216" s="125">
        <f t="shared" si="22"/>
        <v>0</v>
      </c>
      <c r="H216" s="125">
        <f t="shared" si="22"/>
        <v>0</v>
      </c>
      <c r="I216" s="125">
        <f t="shared" si="22"/>
        <v>0</v>
      </c>
      <c r="J216" s="125">
        <f t="shared" si="22"/>
        <v>0</v>
      </c>
      <c r="K216" s="125">
        <f t="shared" si="22"/>
        <v>0</v>
      </c>
      <c r="L216" s="125">
        <f t="shared" si="22"/>
        <v>0</v>
      </c>
      <c r="M216" s="125">
        <f t="shared" si="22"/>
        <v>0</v>
      </c>
      <c r="N216" s="125">
        <f t="shared" si="22"/>
        <v>0</v>
      </c>
      <c r="O216" s="125">
        <f t="shared" si="22"/>
        <v>0</v>
      </c>
      <c r="P216" s="125">
        <f t="shared" si="22"/>
        <v>0</v>
      </c>
      <c r="Q216" s="125">
        <f t="shared" si="22"/>
        <v>0</v>
      </c>
      <c r="R216" s="125">
        <f t="shared" si="22"/>
        <v>0</v>
      </c>
      <c r="S216" s="125">
        <f t="shared" si="22"/>
        <v>0</v>
      </c>
      <c r="T216" s="125">
        <f t="shared" si="22"/>
        <v>0</v>
      </c>
      <c r="U216" s="125">
        <f t="shared" si="22"/>
        <v>0</v>
      </c>
      <c r="V216" s="125">
        <f t="shared" si="22"/>
        <v>0</v>
      </c>
      <c r="W216" s="125">
        <f t="shared" si="22"/>
        <v>0</v>
      </c>
      <c r="X216" s="125">
        <f t="shared" si="22"/>
        <v>0</v>
      </c>
      <c r="Y216" s="125">
        <f t="shared" si="22"/>
        <v>0</v>
      </c>
      <c r="Z216" s="125">
        <f t="shared" si="22"/>
        <v>0</v>
      </c>
      <c r="AA216" s="125">
        <f t="shared" si="22"/>
        <v>0</v>
      </c>
      <c r="AB216" s="125">
        <f t="shared" si="22"/>
        <v>0</v>
      </c>
      <c r="AC216" s="125">
        <f t="shared" si="22"/>
        <v>0</v>
      </c>
      <c r="AD216" s="125">
        <f t="shared" si="22"/>
        <v>0</v>
      </c>
      <c r="AE216" s="125">
        <f t="shared" si="22"/>
        <v>0</v>
      </c>
      <c r="AF216" s="126">
        <f t="shared" si="22"/>
        <v>0</v>
      </c>
      <c r="AG216" s="127">
        <f t="shared" si="22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23">AF218</f>
        <v>0</v>
      </c>
      <c r="C218" s="129">
        <v>0.3</v>
      </c>
      <c r="D218" s="129">
        <f t="shared" ref="D218:P223" si="24">C218</f>
        <v>0.3</v>
      </c>
      <c r="E218" s="129">
        <f t="shared" si="24"/>
        <v>0.3</v>
      </c>
      <c r="F218" s="129">
        <f t="shared" si="24"/>
        <v>0.3</v>
      </c>
      <c r="G218" s="129">
        <f t="shared" si="24"/>
        <v>0.3</v>
      </c>
      <c r="H218" s="129">
        <f t="shared" si="24"/>
        <v>0.3</v>
      </c>
      <c r="I218" s="129">
        <f t="shared" si="24"/>
        <v>0.3</v>
      </c>
      <c r="J218" s="129">
        <f t="shared" si="24"/>
        <v>0.3</v>
      </c>
      <c r="K218" s="129">
        <f t="shared" si="24"/>
        <v>0.3</v>
      </c>
      <c r="L218" s="129">
        <f t="shared" si="24"/>
        <v>0.3</v>
      </c>
      <c r="M218" s="129">
        <f t="shared" si="24"/>
        <v>0.3</v>
      </c>
      <c r="N218" s="129">
        <f t="shared" si="24"/>
        <v>0.3</v>
      </c>
      <c r="O218" s="129">
        <f t="shared" si="24"/>
        <v>0.3</v>
      </c>
      <c r="P218" s="129">
        <f t="shared" si="24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23"/>
        <v>0</v>
      </c>
      <c r="C219" s="117">
        <v>0.4</v>
      </c>
      <c r="D219" s="117">
        <f t="shared" si="24"/>
        <v>0.4</v>
      </c>
      <c r="E219" s="117">
        <f t="shared" si="24"/>
        <v>0.4</v>
      </c>
      <c r="F219" s="117">
        <f t="shared" si="24"/>
        <v>0.4</v>
      </c>
      <c r="G219" s="117">
        <f t="shared" si="24"/>
        <v>0.4</v>
      </c>
      <c r="H219" s="117">
        <f t="shared" si="24"/>
        <v>0.4</v>
      </c>
      <c r="I219" s="117">
        <f t="shared" si="24"/>
        <v>0.4</v>
      </c>
      <c r="J219" s="117">
        <f t="shared" si="24"/>
        <v>0.4</v>
      </c>
      <c r="K219" s="117">
        <f t="shared" si="24"/>
        <v>0.4</v>
      </c>
      <c r="L219" s="117">
        <f t="shared" si="24"/>
        <v>0.4</v>
      </c>
      <c r="M219" s="117">
        <f t="shared" si="24"/>
        <v>0.4</v>
      </c>
      <c r="N219" s="117">
        <f t="shared" si="24"/>
        <v>0.4</v>
      </c>
      <c r="O219" s="117">
        <f t="shared" si="24"/>
        <v>0.4</v>
      </c>
      <c r="P219" s="117">
        <f t="shared" si="24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23"/>
        <v>0</v>
      </c>
      <c r="C220" s="117">
        <v>1.5</v>
      </c>
      <c r="D220" s="117">
        <f t="shared" si="24"/>
        <v>1.5</v>
      </c>
      <c r="E220" s="117">
        <f t="shared" si="24"/>
        <v>1.5</v>
      </c>
      <c r="F220" s="117">
        <f t="shared" si="24"/>
        <v>1.5</v>
      </c>
      <c r="G220" s="117">
        <f t="shared" si="24"/>
        <v>1.5</v>
      </c>
      <c r="H220" s="117">
        <f t="shared" si="24"/>
        <v>1.5</v>
      </c>
      <c r="I220" s="117">
        <f t="shared" si="24"/>
        <v>1.5</v>
      </c>
      <c r="J220" s="117">
        <f t="shared" si="24"/>
        <v>1.5</v>
      </c>
      <c r="K220" s="117">
        <f t="shared" si="24"/>
        <v>1.5</v>
      </c>
      <c r="L220" s="117">
        <f t="shared" si="24"/>
        <v>1.5</v>
      </c>
      <c r="M220" s="117">
        <f t="shared" si="24"/>
        <v>1.5</v>
      </c>
      <c r="N220" s="117">
        <f t="shared" si="24"/>
        <v>1.5</v>
      </c>
      <c r="O220" s="117">
        <f t="shared" si="24"/>
        <v>1.5</v>
      </c>
      <c r="P220" s="117">
        <f t="shared" si="24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23"/>
        <v>0</v>
      </c>
      <c r="C221" s="117">
        <v>0.3</v>
      </c>
      <c r="D221" s="117">
        <f t="shared" si="24"/>
        <v>0.3</v>
      </c>
      <c r="E221" s="117">
        <f t="shared" si="24"/>
        <v>0.3</v>
      </c>
      <c r="F221" s="117">
        <f t="shared" si="24"/>
        <v>0.3</v>
      </c>
      <c r="G221" s="117">
        <f t="shared" si="24"/>
        <v>0.3</v>
      </c>
      <c r="H221" s="117">
        <f t="shared" si="24"/>
        <v>0.3</v>
      </c>
      <c r="I221" s="117">
        <f t="shared" si="24"/>
        <v>0.3</v>
      </c>
      <c r="J221" s="117">
        <f t="shared" si="24"/>
        <v>0.3</v>
      </c>
      <c r="K221" s="117">
        <f t="shared" si="24"/>
        <v>0.3</v>
      </c>
      <c r="L221" s="117">
        <f t="shared" si="24"/>
        <v>0.3</v>
      </c>
      <c r="M221" s="117">
        <f t="shared" si="24"/>
        <v>0.3</v>
      </c>
      <c r="N221" s="117">
        <f t="shared" si="24"/>
        <v>0.3</v>
      </c>
      <c r="O221" s="117">
        <f t="shared" si="24"/>
        <v>0.3</v>
      </c>
      <c r="P221" s="117">
        <f t="shared" si="24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23"/>
        <v>0</v>
      </c>
      <c r="C222" s="117">
        <v>0.4</v>
      </c>
      <c r="D222" s="117">
        <f t="shared" si="24"/>
        <v>0.4</v>
      </c>
      <c r="E222" s="117">
        <f t="shared" si="24"/>
        <v>0.4</v>
      </c>
      <c r="F222" s="117">
        <f t="shared" si="24"/>
        <v>0.4</v>
      </c>
      <c r="G222" s="117">
        <f t="shared" si="24"/>
        <v>0.4</v>
      </c>
      <c r="H222" s="117">
        <f t="shared" si="24"/>
        <v>0.4</v>
      </c>
      <c r="I222" s="117">
        <f t="shared" si="24"/>
        <v>0.4</v>
      </c>
      <c r="J222" s="117">
        <f t="shared" si="24"/>
        <v>0.4</v>
      </c>
      <c r="K222" s="117">
        <f t="shared" si="24"/>
        <v>0.4</v>
      </c>
      <c r="L222" s="117">
        <f t="shared" si="24"/>
        <v>0.4</v>
      </c>
      <c r="M222" s="117">
        <f t="shared" si="24"/>
        <v>0.4</v>
      </c>
      <c r="N222" s="117">
        <f t="shared" si="24"/>
        <v>0.4</v>
      </c>
      <c r="O222" s="117">
        <f t="shared" si="24"/>
        <v>0.4</v>
      </c>
      <c r="P222" s="117">
        <f t="shared" si="24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23"/>
        <v>0</v>
      </c>
      <c r="C223" s="121">
        <v>0.64</v>
      </c>
      <c r="D223" s="121">
        <f t="shared" si="24"/>
        <v>0.64</v>
      </c>
      <c r="E223" s="121">
        <f t="shared" si="24"/>
        <v>0.64</v>
      </c>
      <c r="F223" s="121">
        <f t="shared" si="24"/>
        <v>0.64</v>
      </c>
      <c r="G223" s="121">
        <f t="shared" si="24"/>
        <v>0.64</v>
      </c>
      <c r="H223" s="121">
        <f t="shared" si="24"/>
        <v>0.64</v>
      </c>
      <c r="I223" s="121">
        <f t="shared" si="24"/>
        <v>0.64</v>
      </c>
      <c r="J223" s="121">
        <f t="shared" si="24"/>
        <v>0.64</v>
      </c>
      <c r="K223" s="121">
        <f t="shared" si="24"/>
        <v>0.64</v>
      </c>
      <c r="L223" s="121">
        <f t="shared" si="24"/>
        <v>0.64</v>
      </c>
      <c r="M223" s="121">
        <f t="shared" si="24"/>
        <v>0.64</v>
      </c>
      <c r="N223" s="121">
        <f t="shared" si="24"/>
        <v>0.64</v>
      </c>
      <c r="O223" s="121">
        <f t="shared" si="24"/>
        <v>0.64</v>
      </c>
      <c r="P223" s="121">
        <f t="shared" si="24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5">SUM(B218:B223)</f>
        <v>0</v>
      </c>
      <c r="C224" s="125">
        <f t="shared" si="25"/>
        <v>3.54</v>
      </c>
      <c r="D224" s="125">
        <f t="shared" si="25"/>
        <v>3.54</v>
      </c>
      <c r="E224" s="125">
        <f t="shared" si="25"/>
        <v>3.54</v>
      </c>
      <c r="F224" s="125">
        <f t="shared" si="25"/>
        <v>3.54</v>
      </c>
      <c r="G224" s="125">
        <f t="shared" si="25"/>
        <v>3.54</v>
      </c>
      <c r="H224" s="125">
        <f t="shared" si="25"/>
        <v>3.54</v>
      </c>
      <c r="I224" s="125">
        <f t="shared" si="25"/>
        <v>3.54</v>
      </c>
      <c r="J224" s="125">
        <f t="shared" si="25"/>
        <v>3.54</v>
      </c>
      <c r="K224" s="125">
        <f t="shared" si="25"/>
        <v>3.54</v>
      </c>
      <c r="L224" s="125">
        <f t="shared" si="25"/>
        <v>3.54</v>
      </c>
      <c r="M224" s="125">
        <f t="shared" si="25"/>
        <v>3.54</v>
      </c>
      <c r="N224" s="125">
        <f t="shared" si="25"/>
        <v>3.54</v>
      </c>
      <c r="O224" s="125">
        <f t="shared" si="25"/>
        <v>3.54</v>
      </c>
      <c r="P224" s="125">
        <f t="shared" si="25"/>
        <v>3.54</v>
      </c>
      <c r="Q224" s="125">
        <f t="shared" si="25"/>
        <v>0</v>
      </c>
      <c r="R224" s="125">
        <f t="shared" si="25"/>
        <v>0</v>
      </c>
      <c r="S224" s="125">
        <f t="shared" si="25"/>
        <v>0</v>
      </c>
      <c r="T224" s="125">
        <f t="shared" si="25"/>
        <v>0</v>
      </c>
      <c r="U224" s="125">
        <f t="shared" si="25"/>
        <v>0</v>
      </c>
      <c r="V224" s="125">
        <f t="shared" si="25"/>
        <v>0</v>
      </c>
      <c r="W224" s="125">
        <f t="shared" si="25"/>
        <v>0</v>
      </c>
      <c r="X224" s="125">
        <f t="shared" si="25"/>
        <v>0</v>
      </c>
      <c r="Y224" s="125">
        <f t="shared" si="25"/>
        <v>0</v>
      </c>
      <c r="Z224" s="125">
        <f t="shared" si="25"/>
        <v>0</v>
      </c>
      <c r="AA224" s="125">
        <f t="shared" si="25"/>
        <v>0</v>
      </c>
      <c r="AB224" s="125">
        <f t="shared" si="25"/>
        <v>0</v>
      </c>
      <c r="AC224" s="125">
        <f t="shared" si="25"/>
        <v>0</v>
      </c>
      <c r="AD224" s="125">
        <f t="shared" si="25"/>
        <v>0</v>
      </c>
      <c r="AE224" s="125">
        <f t="shared" si="25"/>
        <v>0</v>
      </c>
      <c r="AF224" s="125">
        <f t="shared" si="25"/>
        <v>0</v>
      </c>
      <c r="AG224" s="134">
        <f t="shared" si="25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1640.14</v>
      </c>
      <c r="C233" s="150">
        <f>INDEX(G9:N9,1,MATCH(MAX(G81:N81),G81:N81,0))</f>
        <v>0.33333333333333331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30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str">
        <f ca="1">"Pie Chart of Daily Peak Demand(Inclusive of Export) of Nepal ("&amp;A4&amp;" "&amp;B4&amp;")"</f>
        <v>Pie Chart of Daily Peak Demand(Inclusive of Export) of Nepal (Nepali Date: 2079/06/30)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2079/06/30)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26">B81</f>
        <v>1177.04</v>
      </c>
      <c r="U238" s="159">
        <f t="shared" si="26"/>
        <v>1116.1399999999999</v>
      </c>
      <c r="V238" s="159">
        <f t="shared" si="26"/>
        <v>1102.6400000000001</v>
      </c>
      <c r="W238" s="159">
        <f t="shared" si="26"/>
        <v>1107.6400000000001</v>
      </c>
      <c r="X238" s="159">
        <f t="shared" si="26"/>
        <v>1120.54</v>
      </c>
      <c r="Y238" s="159">
        <f t="shared" si="26"/>
        <v>1206.54</v>
      </c>
      <c r="Z238" s="159">
        <f t="shared" si="26"/>
        <v>1273.54</v>
      </c>
      <c r="AA238" s="159">
        <f t="shared" si="26"/>
        <v>1300.54</v>
      </c>
      <c r="AB238" s="159">
        <f t="shared" si="26"/>
        <v>1388.54</v>
      </c>
      <c r="AC238" s="159">
        <f t="shared" si="26"/>
        <v>1561.44</v>
      </c>
      <c r="AD238" s="159">
        <f t="shared" si="26"/>
        <v>1628.44</v>
      </c>
      <c r="AE238" s="159">
        <f t="shared" si="26"/>
        <v>1640.14</v>
      </c>
      <c r="AF238" s="159">
        <f t="shared" si="26"/>
        <v>1485.94</v>
      </c>
      <c r="AG238" s="159">
        <f t="shared" si="26"/>
        <v>1425.04</v>
      </c>
      <c r="AH238" s="159">
        <f t="shared" si="26"/>
        <v>1378.64</v>
      </c>
      <c r="AI238" s="159">
        <f t="shared" si="26"/>
        <v>1303.54</v>
      </c>
      <c r="AJ238" s="159">
        <f t="shared" si="26"/>
        <v>1300.6400000000001</v>
      </c>
      <c r="AK238" s="159">
        <f t="shared" si="26"/>
        <v>1267.94</v>
      </c>
      <c r="AL238" s="159">
        <f t="shared" si="26"/>
        <v>1267.3400000000001</v>
      </c>
      <c r="AM238" s="159">
        <f t="shared" si="26"/>
        <v>1289.6400000000001</v>
      </c>
      <c r="AN238" s="159">
        <f t="shared" si="26"/>
        <v>1359.64</v>
      </c>
      <c r="AO238" s="159">
        <f t="shared" si="26"/>
        <v>1563.64</v>
      </c>
      <c r="AP238" s="159">
        <f t="shared" si="26"/>
        <v>1635.8400000000001</v>
      </c>
      <c r="AQ238" s="159">
        <f t="shared" si="26"/>
        <v>1553.3400000000001</v>
      </c>
      <c r="AR238" s="159">
        <f t="shared" si="26"/>
        <v>1485.0400000000002</v>
      </c>
      <c r="AS238" s="159">
        <f t="shared" si="26"/>
        <v>1485.0400000000002</v>
      </c>
      <c r="AT238" s="159">
        <f t="shared" si="26"/>
        <v>1416.0400000000002</v>
      </c>
      <c r="AU238" s="159">
        <f t="shared" si="26"/>
        <v>1335.6399999999999</v>
      </c>
      <c r="AV238" s="159">
        <f t="shared" si="26"/>
        <v>1300.54</v>
      </c>
      <c r="AW238" s="159">
        <f t="shared" si="26"/>
        <v>1205.6399999999999</v>
      </c>
      <c r="AX238" s="159">
        <f t="shared" si="26"/>
        <v>1173.1399999999999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27">C223</f>
        <v>0.64</v>
      </c>
      <c r="C259" s="162">
        <f t="shared" si="27"/>
        <v>0.64</v>
      </c>
      <c r="D259" s="162">
        <f t="shared" si="27"/>
        <v>0.64</v>
      </c>
      <c r="E259" s="162">
        <f t="shared" si="27"/>
        <v>0.64</v>
      </c>
      <c r="F259" s="162">
        <f t="shared" si="27"/>
        <v>0.64</v>
      </c>
      <c r="G259" s="162">
        <f t="shared" si="27"/>
        <v>0.64</v>
      </c>
      <c r="H259" s="162">
        <f t="shared" si="27"/>
        <v>0.64</v>
      </c>
      <c r="I259" s="162">
        <f t="shared" si="27"/>
        <v>0.64</v>
      </c>
      <c r="J259" s="162">
        <f t="shared" si="27"/>
        <v>0.64</v>
      </c>
      <c r="K259" s="162">
        <f t="shared" si="27"/>
        <v>0.64</v>
      </c>
      <c r="L259" s="162">
        <f t="shared" si="27"/>
        <v>0.64</v>
      </c>
      <c r="M259" s="162">
        <f t="shared" si="27"/>
        <v>0.64</v>
      </c>
      <c r="N259" s="162">
        <f t="shared" si="27"/>
        <v>0.64</v>
      </c>
      <c r="O259" s="162">
        <f t="shared" si="27"/>
        <v>0.64</v>
      </c>
      <c r="P259" s="162">
        <f t="shared" si="27"/>
        <v>0</v>
      </c>
      <c r="Q259" s="162">
        <f t="shared" si="27"/>
        <v>0</v>
      </c>
      <c r="R259" s="162">
        <f t="shared" si="27"/>
        <v>0</v>
      </c>
      <c r="S259" s="162">
        <f t="shared" si="27"/>
        <v>0</v>
      </c>
      <c r="T259" s="162">
        <f t="shared" si="27"/>
        <v>0</v>
      </c>
      <c r="U259" s="162">
        <f t="shared" si="27"/>
        <v>0</v>
      </c>
      <c r="V259" s="162">
        <f t="shared" si="27"/>
        <v>0</v>
      </c>
      <c r="W259" s="162">
        <f t="shared" si="27"/>
        <v>0</v>
      </c>
      <c r="X259" s="162">
        <f t="shared" si="27"/>
        <v>0</v>
      </c>
      <c r="Y259" s="162">
        <f t="shared" si="27"/>
        <v>0</v>
      </c>
      <c r="Z259" s="162">
        <f t="shared" si="27"/>
        <v>0</v>
      </c>
      <c r="AA259" s="162">
        <f t="shared" si="27"/>
        <v>0</v>
      </c>
      <c r="AB259" s="162">
        <f t="shared" si="27"/>
        <v>0</v>
      </c>
      <c r="AC259" s="162">
        <f t="shared" si="27"/>
        <v>0</v>
      </c>
      <c r="AD259" s="162">
        <f t="shared" si="27"/>
        <v>0</v>
      </c>
      <c r="AE259" s="162">
        <f t="shared" si="27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28">IF(B227&lt;100,"",B227-520)</f>
        <v/>
      </c>
      <c r="C260" s="163" t="str">
        <f t="shared" si="28"/>
        <v/>
      </c>
      <c r="D260" s="163" t="str">
        <f t="shared" si="28"/>
        <v/>
      </c>
      <c r="E260" s="163" t="str">
        <f t="shared" si="28"/>
        <v/>
      </c>
      <c r="F260" s="163" t="str">
        <f t="shared" si="28"/>
        <v/>
      </c>
      <c r="G260" s="163" t="str">
        <f t="shared" si="28"/>
        <v/>
      </c>
      <c r="H260" s="163" t="str">
        <f t="shared" si="28"/>
        <v/>
      </c>
      <c r="I260" s="163" t="str">
        <f t="shared" si="28"/>
        <v/>
      </c>
      <c r="J260" s="163" t="str">
        <f t="shared" si="28"/>
        <v/>
      </c>
      <c r="K260" s="163" t="str">
        <f t="shared" si="28"/>
        <v/>
      </c>
      <c r="L260" s="163" t="str">
        <f t="shared" si="28"/>
        <v/>
      </c>
      <c r="M260" s="163" t="str">
        <f t="shared" si="28"/>
        <v/>
      </c>
      <c r="N260" s="163" t="str">
        <f t="shared" si="28"/>
        <v/>
      </c>
      <c r="O260" s="163" t="str">
        <f t="shared" si="28"/>
        <v/>
      </c>
      <c r="P260" s="163" t="str">
        <f t="shared" si="28"/>
        <v/>
      </c>
      <c r="Q260" s="163" t="str">
        <f t="shared" si="28"/>
        <v/>
      </c>
      <c r="R260" s="163" t="str">
        <f t="shared" si="28"/>
        <v/>
      </c>
      <c r="S260" s="163" t="str">
        <f t="shared" si="28"/>
        <v/>
      </c>
      <c r="T260" s="163" t="str">
        <f t="shared" si="28"/>
        <v/>
      </c>
      <c r="U260" s="163" t="str">
        <f t="shared" si="28"/>
        <v/>
      </c>
      <c r="V260" s="163" t="str">
        <f t="shared" si="28"/>
        <v/>
      </c>
      <c r="W260" s="163" t="str">
        <f t="shared" si="28"/>
        <v/>
      </c>
      <c r="X260" s="163" t="str">
        <f t="shared" si="28"/>
        <v/>
      </c>
      <c r="Y260" s="163" t="str">
        <f t="shared" si="28"/>
        <v/>
      </c>
      <c r="Z260" s="163" t="str">
        <f t="shared" si="28"/>
        <v/>
      </c>
      <c r="AA260" s="163" t="str">
        <f t="shared" si="28"/>
        <v/>
      </c>
      <c r="AB260" s="163" t="str">
        <f t="shared" si="28"/>
        <v/>
      </c>
      <c r="AC260" s="163" t="str">
        <f t="shared" si="28"/>
        <v/>
      </c>
      <c r="AD260" s="163" t="str">
        <f t="shared" si="28"/>
        <v/>
      </c>
      <c r="AE260" s="163" t="str">
        <f t="shared" si="28"/>
        <v/>
      </c>
      <c r="AF260" s="163" t="str">
        <f t="shared" si="28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29">IF(B228&lt;100,"",B228-620)</f>
        <v/>
      </c>
      <c r="C261" s="163" t="str">
        <f t="shared" si="29"/>
        <v/>
      </c>
      <c r="D261" s="163" t="str">
        <f t="shared" si="29"/>
        <v/>
      </c>
      <c r="E261" s="163" t="str">
        <f t="shared" si="29"/>
        <v/>
      </c>
      <c r="F261" s="163" t="str">
        <f t="shared" si="29"/>
        <v/>
      </c>
      <c r="G261" s="163" t="str">
        <f t="shared" si="29"/>
        <v/>
      </c>
      <c r="H261" s="163" t="str">
        <f t="shared" si="29"/>
        <v/>
      </c>
      <c r="I261" s="163" t="str">
        <f t="shared" si="29"/>
        <v/>
      </c>
      <c r="J261" s="163" t="str">
        <f t="shared" si="29"/>
        <v/>
      </c>
      <c r="K261" s="163" t="str">
        <f t="shared" si="29"/>
        <v/>
      </c>
      <c r="L261" s="163" t="str">
        <f t="shared" si="29"/>
        <v/>
      </c>
      <c r="M261" s="163" t="str">
        <f t="shared" si="29"/>
        <v/>
      </c>
      <c r="N261" s="163" t="str">
        <f t="shared" si="29"/>
        <v/>
      </c>
      <c r="O261" s="163" t="str">
        <f t="shared" si="29"/>
        <v/>
      </c>
      <c r="P261" s="163" t="str">
        <f t="shared" si="29"/>
        <v/>
      </c>
      <c r="Q261" s="163" t="str">
        <f t="shared" si="29"/>
        <v/>
      </c>
      <c r="R261" s="163" t="str">
        <f t="shared" si="29"/>
        <v/>
      </c>
      <c r="S261" s="163" t="str">
        <f t="shared" si="29"/>
        <v/>
      </c>
      <c r="T261" s="163" t="str">
        <f t="shared" si="29"/>
        <v/>
      </c>
      <c r="U261" s="163" t="str">
        <f t="shared" si="29"/>
        <v/>
      </c>
      <c r="V261" s="163" t="str">
        <f t="shared" si="29"/>
        <v/>
      </c>
      <c r="W261" s="163" t="str">
        <f t="shared" si="29"/>
        <v/>
      </c>
      <c r="X261" s="163" t="str">
        <f t="shared" si="29"/>
        <v/>
      </c>
      <c r="Y261" s="163" t="str">
        <f t="shared" si="29"/>
        <v/>
      </c>
      <c r="Z261" s="163" t="str">
        <f t="shared" si="29"/>
        <v/>
      </c>
      <c r="AA261" s="163" t="str">
        <f t="shared" si="29"/>
        <v/>
      </c>
      <c r="AB261" s="163" t="str">
        <f t="shared" si="29"/>
        <v/>
      </c>
      <c r="AC261" s="163" t="str">
        <f t="shared" si="29"/>
        <v/>
      </c>
      <c r="AD261" s="163" t="str">
        <f t="shared" si="29"/>
        <v/>
      </c>
      <c r="AE261" s="163" t="str">
        <f t="shared" si="29"/>
        <v/>
      </c>
      <c r="AF261" s="163" t="str">
        <f t="shared" si="29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0">IF(B229&lt;100,"",B229-330)</f>
        <v/>
      </c>
      <c r="C262" s="163" t="str">
        <f t="shared" si="30"/>
        <v/>
      </c>
      <c r="D262" s="163" t="str">
        <f t="shared" si="30"/>
        <v/>
      </c>
      <c r="E262" s="163" t="str">
        <f t="shared" si="30"/>
        <v/>
      </c>
      <c r="F262" s="163" t="str">
        <f t="shared" si="30"/>
        <v/>
      </c>
      <c r="G262" s="163" t="str">
        <f t="shared" si="30"/>
        <v/>
      </c>
      <c r="H262" s="163" t="str">
        <f t="shared" si="30"/>
        <v/>
      </c>
      <c r="I262" s="163" t="str">
        <f t="shared" si="30"/>
        <v/>
      </c>
      <c r="J262" s="163" t="str">
        <f t="shared" si="30"/>
        <v/>
      </c>
      <c r="K262" s="163" t="str">
        <f t="shared" si="30"/>
        <v/>
      </c>
      <c r="L262" s="163" t="str">
        <f t="shared" si="30"/>
        <v/>
      </c>
      <c r="M262" s="163" t="str">
        <f t="shared" si="30"/>
        <v/>
      </c>
      <c r="N262" s="163" t="str">
        <f t="shared" si="30"/>
        <v/>
      </c>
      <c r="O262" s="163" t="str">
        <f t="shared" si="30"/>
        <v/>
      </c>
      <c r="P262" s="163" t="str">
        <f t="shared" si="30"/>
        <v/>
      </c>
      <c r="Q262" s="163" t="str">
        <f t="shared" si="30"/>
        <v/>
      </c>
      <c r="R262" s="163" t="str">
        <f t="shared" si="30"/>
        <v/>
      </c>
      <c r="S262" s="163" t="str">
        <f t="shared" si="30"/>
        <v/>
      </c>
      <c r="T262" s="163" t="str">
        <f t="shared" si="30"/>
        <v/>
      </c>
      <c r="U262" s="163" t="str">
        <f t="shared" si="30"/>
        <v/>
      </c>
      <c r="V262" s="163" t="str">
        <f t="shared" si="30"/>
        <v/>
      </c>
      <c r="W262" s="163" t="str">
        <f t="shared" si="30"/>
        <v/>
      </c>
      <c r="X262" s="163" t="str">
        <f t="shared" si="30"/>
        <v/>
      </c>
      <c r="Y262" s="163" t="str">
        <f t="shared" si="30"/>
        <v/>
      </c>
      <c r="Z262" s="163" t="str">
        <f t="shared" si="30"/>
        <v/>
      </c>
      <c r="AA262" s="163" t="str">
        <f t="shared" si="30"/>
        <v/>
      </c>
      <c r="AB262" s="163" t="str">
        <f t="shared" si="30"/>
        <v/>
      </c>
      <c r="AC262" s="163" t="str">
        <f t="shared" si="30"/>
        <v/>
      </c>
      <c r="AD262" s="163" t="str">
        <f t="shared" si="30"/>
        <v/>
      </c>
      <c r="AE262" s="163" t="str">
        <f t="shared" si="30"/>
        <v/>
      </c>
      <c r="AF262" s="163" t="str">
        <f t="shared" si="30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1">IF(B230&lt;100,"",B230-1500)</f>
        <v/>
      </c>
      <c r="C263" s="163" t="str">
        <f t="shared" si="31"/>
        <v/>
      </c>
      <c r="D263" s="163" t="str">
        <f t="shared" si="31"/>
        <v/>
      </c>
      <c r="E263" s="163" t="str">
        <f t="shared" si="31"/>
        <v/>
      </c>
      <c r="F263" s="163" t="str">
        <f t="shared" si="31"/>
        <v/>
      </c>
      <c r="G263" s="163" t="str">
        <f t="shared" si="31"/>
        <v/>
      </c>
      <c r="H263" s="163" t="str">
        <f t="shared" si="31"/>
        <v/>
      </c>
      <c r="I263" s="163" t="str">
        <f t="shared" si="31"/>
        <v/>
      </c>
      <c r="J263" s="163" t="str">
        <f t="shared" si="31"/>
        <v/>
      </c>
      <c r="K263" s="163" t="str">
        <f t="shared" si="31"/>
        <v/>
      </c>
      <c r="L263" s="163" t="str">
        <f t="shared" si="31"/>
        <v/>
      </c>
      <c r="M263" s="163" t="str">
        <f t="shared" si="31"/>
        <v/>
      </c>
      <c r="N263" s="163" t="str">
        <f t="shared" si="31"/>
        <v/>
      </c>
      <c r="O263" s="163" t="str">
        <f t="shared" si="31"/>
        <v/>
      </c>
      <c r="P263" s="163" t="str">
        <f t="shared" si="31"/>
        <v/>
      </c>
      <c r="Q263" s="163" t="str">
        <f t="shared" si="31"/>
        <v/>
      </c>
      <c r="R263" s="163" t="str">
        <f t="shared" si="31"/>
        <v/>
      </c>
      <c r="S263" s="163" t="str">
        <f t="shared" si="31"/>
        <v/>
      </c>
      <c r="T263" s="163" t="str">
        <f t="shared" si="31"/>
        <v/>
      </c>
      <c r="U263" s="163" t="str">
        <f t="shared" si="31"/>
        <v/>
      </c>
      <c r="V263" s="163" t="str">
        <f t="shared" si="31"/>
        <v/>
      </c>
      <c r="W263" s="163" t="str">
        <f t="shared" si="31"/>
        <v/>
      </c>
      <c r="X263" s="163" t="str">
        <f t="shared" si="31"/>
        <v/>
      </c>
      <c r="Y263" s="163" t="str">
        <f t="shared" si="31"/>
        <v/>
      </c>
      <c r="Z263" s="163" t="str">
        <f t="shared" si="31"/>
        <v/>
      </c>
      <c r="AA263" s="163" t="str">
        <f t="shared" si="31"/>
        <v/>
      </c>
      <c r="AB263" s="163" t="str">
        <f t="shared" si="31"/>
        <v/>
      </c>
      <c r="AC263" s="163" t="str">
        <f t="shared" si="31"/>
        <v/>
      </c>
      <c r="AD263" s="163" t="str">
        <f t="shared" si="31"/>
        <v/>
      </c>
      <c r="AE263" s="163" t="str">
        <f t="shared" si="31"/>
        <v/>
      </c>
      <c r="AF263" s="163" t="str">
        <f t="shared" si="31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U11:AF11 B16:AF16 B20:AF23">
    <cfRule type="expression" dxfId="2728" priority="239">
      <formula>B$9&gt;=20/24</formula>
    </cfRule>
    <cfRule type="expression" dxfId="2727" priority="240">
      <formula>AND(B$9&gt;=14/24,B$9&lt;20/24)</formula>
    </cfRule>
    <cfRule type="expression" dxfId="2726" priority="241">
      <formula>AND(B$9&gt;=8/24,B$9&lt;14/24)</formula>
    </cfRule>
    <cfRule type="expression" dxfId="2725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2724" priority="234">
      <formula>S$9&gt;=20/24</formula>
    </cfRule>
    <cfRule type="expression" dxfId="2723" priority="235">
      <formula>AND(S$9&gt;=14/24,S$9&lt;20/24)</formula>
    </cfRule>
    <cfRule type="expression" dxfId="2722" priority="236">
      <formula>AND(S$9&gt;=8/24,S$9&lt;14/24)</formula>
    </cfRule>
    <cfRule type="expression" dxfId="2721" priority="237">
      <formula>S$9&lt;8/24</formula>
    </cfRule>
  </conditionalFormatting>
  <conditionalFormatting sqref="AG57 B12:T16 S39:AF39 U11:AF16 B20:AF23 B18:AF18 B37:AF37">
    <cfRule type="expression" dxfId="2720" priority="233">
      <formula>B11&gt;$AG11</formula>
    </cfRule>
  </conditionalFormatting>
  <conditionalFormatting sqref="A91:A101 A11:A14 A51:A78 A87:A89 A194:A224 A38:A49 A110:A181 A34:A35 A83:A85 A80:A81 A103:A105 A31:A32 A18:A29 A16">
    <cfRule type="expression" dxfId="2719" priority="232">
      <formula>$AH11=0</formula>
    </cfRule>
  </conditionalFormatting>
  <conditionalFormatting sqref="A106">
    <cfRule type="expression" dxfId="2718" priority="231">
      <formula>$AH106=0</formula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717" priority="229">
      <formula>$AH37=0</formula>
    </cfRule>
  </conditionalFormatting>
  <conditionalFormatting sqref="A90">
    <cfRule type="expression" dxfId="2716" priority="228">
      <formula>$AH90=0</formula>
    </cfRule>
  </conditionalFormatting>
  <conditionalFormatting sqref="A15">
    <cfRule type="expression" dxfId="2715" priority="227">
      <formula>$AH15=0</formula>
    </cfRule>
  </conditionalFormatting>
  <conditionalFormatting sqref="A188:A193">
    <cfRule type="expression" dxfId="2714" priority="226">
      <formula>$AH188=0</formula>
    </cfRule>
  </conditionalFormatting>
  <conditionalFormatting sqref="A182:A187">
    <cfRule type="expression" dxfId="2713" priority="225">
      <formula>$AH182=0</formula>
    </cfRule>
  </conditionalFormatting>
  <conditionalFormatting sqref="A50">
    <cfRule type="expression" dxfId="2712" priority="224">
      <formula>$AH50=0</formula>
    </cfRule>
  </conditionalFormatting>
  <conditionalFormatting sqref="A86">
    <cfRule type="expression" dxfId="2711" priority="223">
      <formula>$AH86=0</formula>
    </cfRule>
  </conditionalFormatting>
  <conditionalFormatting sqref="C91:AF91">
    <cfRule type="expression" dxfId="2710" priority="219">
      <formula>C$9&gt;=20/24</formula>
    </cfRule>
    <cfRule type="expression" dxfId="2709" priority="220">
      <formula>AND(C$9&gt;=14/24,C$9&lt;20/24)</formula>
    </cfRule>
    <cfRule type="expression" dxfId="2708" priority="221">
      <formula>AND(C$9&gt;=8/24,C$9&lt;14/24)</formula>
    </cfRule>
    <cfRule type="expression" dxfId="2707" priority="222">
      <formula>C$9&lt;8/24</formula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706" priority="245">
      <formula>C$9&gt;=20/24</formula>
    </cfRule>
    <cfRule type="expression" dxfId="2705" priority="246">
      <formula>AND(C$9&gt;=14/24,C$9&lt;20/24)</formula>
    </cfRule>
    <cfRule type="expression" dxfId="2704" priority="247">
      <formula>AND(C$9&gt;=8/24,C$9&lt;14/24)</formula>
    </cfRule>
    <cfRule type="expression" dxfId="2703" priority="248">
      <formula>C$9&lt;8/24</formula>
    </cfRule>
  </conditionalFormatting>
  <conditionalFormatting sqref="A225">
    <cfRule type="expression" dxfId="2702" priority="249">
      <formula>$AH225=0</formula>
    </cfRule>
  </conditionalFormatting>
  <conditionalFormatting sqref="AG237">
    <cfRule type="expression" dxfId="2701" priority="250">
      <formula>B$9&gt;=20/24</formula>
    </cfRule>
    <cfRule type="expression" dxfId="2700" priority="251">
      <formula>AND(B$9&gt;=14/24,B$9&lt;20/24)</formula>
    </cfRule>
    <cfRule type="expression" dxfId="2699" priority="252">
      <formula>AND(B$9&gt;=8/24,B$9&lt;14/24)</formula>
    </cfRule>
    <cfRule type="expression" dxfId="2698" priority="253">
      <formula>B$9&lt;8/24</formula>
    </cfRule>
  </conditionalFormatting>
  <conditionalFormatting sqref="S8">
    <cfRule type="expression" dxfId="2697" priority="214">
      <formula>U$9&gt;=20/24</formula>
    </cfRule>
    <cfRule type="expression" dxfId="2696" priority="215">
      <formula>AND(U$9&gt;=14/24,U$9&lt;20/24)</formula>
    </cfRule>
    <cfRule type="expression" dxfId="2695" priority="216">
      <formula>AND(U$9&gt;=8/24,U$9&lt;14/24)</formula>
    </cfRule>
    <cfRule type="expression" dxfId="2694" priority="217">
      <formula>U$9&lt;8/24</formula>
    </cfRule>
  </conditionalFormatting>
  <conditionalFormatting sqref="AB8">
    <cfRule type="expression" dxfId="2693" priority="210">
      <formula>AD$9&gt;=20/24</formula>
    </cfRule>
    <cfRule type="expression" dxfId="2692" priority="211">
      <formula>AND(AD$9&gt;=14/24,AD$9&lt;20/24)</formula>
    </cfRule>
    <cfRule type="expression" dxfId="2691" priority="212">
      <formula>AND(AD$9&gt;=8/24,AD$9&lt;14/24)</formula>
    </cfRule>
    <cfRule type="expression" dxfId="2690" priority="213">
      <formula>AD$9&lt;8/24</formula>
    </cfRule>
  </conditionalFormatting>
  <conditionalFormatting sqref="AH237:AX237">
    <cfRule type="expression" dxfId="2689" priority="254">
      <formula>AG$9&gt;=20/24</formula>
    </cfRule>
    <cfRule type="expression" dxfId="2688" priority="255">
      <formula>AND(AG$9&gt;=14/24,AG$9&lt;20/24)</formula>
    </cfRule>
    <cfRule type="expression" dxfId="2687" priority="256">
      <formula>AND(AG$9&gt;=8/24,AG$9&lt;14/24)</formula>
    </cfRule>
    <cfRule type="expression" dxfId="2686" priority="257">
      <formula>AG$9&lt;8/24</formula>
    </cfRule>
  </conditionalFormatting>
  <conditionalFormatting sqref="T237">
    <cfRule type="expression" dxfId="2685" priority="258">
      <formula>AX$9&gt;=20/24</formula>
    </cfRule>
    <cfRule type="expression" dxfId="2684" priority="259">
      <formula>AND(AX$9&gt;=14/24,AX$9&lt;20/24)</formula>
    </cfRule>
    <cfRule type="expression" dxfId="2683" priority="260">
      <formula>AND(AX$9&gt;=8/24,AX$9&lt;14/24)</formula>
    </cfRule>
    <cfRule type="expression" dxfId="2682" priority="261">
      <formula>AX$9&lt;8/24</formula>
    </cfRule>
  </conditionalFormatting>
  <conditionalFormatting sqref="A107:A108">
    <cfRule type="expression" dxfId="2681" priority="209">
      <formula>$AH107=0</formula>
    </cfRule>
  </conditionalFormatting>
  <conditionalFormatting sqref="H46:L47 M46:N49 U46:W47 AD46:AF47 M63:AF63">
    <cfRule type="expression" dxfId="2680" priority="205">
      <formula>H$9&gt;=20/24</formula>
    </cfRule>
    <cfRule type="expression" dxfId="2679" priority="206">
      <formula>AND(H$9&gt;=14/24,H$9&lt;20/24)</formula>
    </cfRule>
    <cfRule type="expression" dxfId="2678" priority="207">
      <formula>AND(H$9&gt;=8/24,H$9&lt;14/24)</formula>
    </cfRule>
    <cfRule type="expression" dxfId="2677" priority="208">
      <formula>H$9&lt;8/24</formula>
    </cfRule>
  </conditionalFormatting>
  <conditionalFormatting sqref="H45:L45 U45:W45 AD45:AF45">
    <cfRule type="expression" dxfId="2676" priority="201">
      <formula>H$9&gt;=20/24</formula>
    </cfRule>
    <cfRule type="expression" dxfId="2675" priority="202">
      <formula>AND(H$9&gt;=14/24,H$9&lt;20/24)</formula>
    </cfRule>
    <cfRule type="expression" dxfId="2674" priority="203">
      <formula>AND(H$9&gt;=8/24,H$9&lt;14/24)</formula>
    </cfRule>
    <cfRule type="expression" dxfId="2673" priority="204">
      <formula>H$9&lt;8/24</formula>
    </cfRule>
  </conditionalFormatting>
  <conditionalFormatting sqref="H45:L47 M46:N49 U45:W47 AD45:AF47">
    <cfRule type="expression" dxfId="2672" priority="200">
      <formula>H45&gt;$AG45</formula>
    </cfRule>
  </conditionalFormatting>
  <conditionalFormatting sqref="C88:AF88 M39:R39 M64:AE65 D92:AF98 S59:AF61 AB66:AE73 U25:AF27 U29:AF29 U12:AF14 U18:AF18 U31:AF34 AF64:AF73 C75:AF78">
    <cfRule type="expression" dxfId="2671" priority="196">
      <formula>C$9&gt;=20/24</formula>
    </cfRule>
    <cfRule type="expression" dxfId="2670" priority="197">
      <formula>AND(C$9&gt;=14/24,C$9&lt;20/24)</formula>
    </cfRule>
    <cfRule type="expression" dxfId="2669" priority="198">
      <formula>AND(C$9&gt;=8/24,C$9&lt;14/24)</formula>
    </cfRule>
    <cfRule type="expression" dxfId="2668" priority="199">
      <formula>C$9&lt;8/24</formula>
    </cfRule>
  </conditionalFormatting>
  <conditionalFormatting sqref="U35:AF35">
    <cfRule type="expression" dxfId="2667" priority="192">
      <formula>U$9&gt;=20/24</formula>
    </cfRule>
    <cfRule type="expression" dxfId="2666" priority="193">
      <formula>AND(U$9&gt;=14/24,U$9&lt;20/24)</formula>
    </cfRule>
    <cfRule type="expression" dxfId="2665" priority="194">
      <formula>AND(U$9&gt;=8/24,U$9&lt;14/24)</formula>
    </cfRule>
    <cfRule type="expression" dxfId="2664" priority="195">
      <formula>U$9&lt;8/24</formula>
    </cfRule>
  </conditionalFormatting>
  <conditionalFormatting sqref="C57:AF57 M39:R39 H48:L48 S59:AF61 U25:AF29 U31:AF35 AD48:AF49">
    <cfRule type="expression" dxfId="2663" priority="191">
      <formula>C25&gt;$AG25</formula>
    </cfRule>
  </conditionalFormatting>
  <conditionalFormatting sqref="U37:AF37">
    <cfRule type="expression" dxfId="2662" priority="187">
      <formula>U$9&gt;=20/24</formula>
    </cfRule>
    <cfRule type="expression" dxfId="2661" priority="188">
      <formula>AND(U$9&gt;=14/24,U$9&lt;20/24)</formula>
    </cfRule>
    <cfRule type="expression" dxfId="2660" priority="189">
      <formula>AND(U$9&gt;=8/24,U$9&lt;14/24)</formula>
    </cfRule>
    <cfRule type="expression" dxfId="2659" priority="190">
      <formula>U$9&lt;8/24</formula>
    </cfRule>
  </conditionalFormatting>
  <conditionalFormatting sqref="U15:AF15">
    <cfRule type="expression" dxfId="2658" priority="183">
      <formula>U$9&gt;=20/24</formula>
    </cfRule>
    <cfRule type="expression" dxfId="2657" priority="184">
      <formula>AND(U$9&gt;=14/24,U$9&lt;20/24)</formula>
    </cfRule>
    <cfRule type="expression" dxfId="2656" priority="185">
      <formula>AND(U$9&gt;=8/24,U$9&lt;14/24)</formula>
    </cfRule>
    <cfRule type="expression" dxfId="2655" priority="186">
      <formula>U$9&lt;8/24</formula>
    </cfRule>
  </conditionalFormatting>
  <conditionalFormatting sqref="U36:AF36">
    <cfRule type="expression" dxfId="2654" priority="179">
      <formula>U$9&gt;=20/24</formula>
    </cfRule>
    <cfRule type="expression" dxfId="2653" priority="180">
      <formula>AND(U$9&gt;=14/24,U$9&lt;20/24)</formula>
    </cfRule>
    <cfRule type="expression" dxfId="2652" priority="181">
      <formula>AND(U$9&gt;=8/24,U$9&lt;14/24)</formula>
    </cfRule>
    <cfRule type="expression" dxfId="2651" priority="182">
      <formula>U$9&lt;8/24</formula>
    </cfRule>
  </conditionalFormatting>
  <conditionalFormatting sqref="U36:AF36">
    <cfRule type="expression" dxfId="2650" priority="178">
      <formula>U36&gt;$AG36</formula>
    </cfRule>
  </conditionalFormatting>
  <conditionalFormatting sqref="X48:AC49 AD50:AF56">
    <cfRule type="expression" dxfId="2649" priority="174">
      <formula>X$9&gt;=20/24</formula>
    </cfRule>
    <cfRule type="expression" dxfId="2648" priority="175">
      <formula>AND(X$9&gt;=14/24,X$9&lt;20/24)</formula>
    </cfRule>
    <cfRule type="expression" dxfId="2647" priority="176">
      <formula>AND(X$9&gt;=8/24,X$9&lt;14/24)</formula>
    </cfRule>
    <cfRule type="expression" dxfId="2646" priority="177">
      <formula>X$9&lt;8/24</formula>
    </cfRule>
  </conditionalFormatting>
  <conditionalFormatting sqref="X48:AC49 AD50:AF56">
    <cfRule type="expression" dxfId="2645" priority="173">
      <formula>X48&gt;$AG48</formula>
    </cfRule>
  </conditionalFormatting>
  <conditionalFormatting sqref="M45:N45 O45:T49 W50:X50 U48:V50 W48:W49 X51 Y50:AC51">
    <cfRule type="expression" dxfId="2644" priority="169">
      <formula>M$9&gt;=20/24</formula>
    </cfRule>
    <cfRule type="expression" dxfId="2643" priority="170">
      <formula>AND(M$9&gt;=14/24,M$9&lt;20/24)</formula>
    </cfRule>
    <cfRule type="expression" dxfId="2642" priority="171">
      <formula>AND(M$9&gt;=8/24,M$9&lt;14/24)</formula>
    </cfRule>
    <cfRule type="expression" dxfId="2641" priority="172">
      <formula>M$9&lt;8/24</formula>
    </cfRule>
  </conditionalFormatting>
  <conditionalFormatting sqref="M45:N45 O45:T49 W50:X50 U48:V50 W48:W49 X51 Y50:AC51">
    <cfRule type="expression" dxfId="2640" priority="168">
      <formula>M45&gt;$AG45</formula>
    </cfRule>
  </conditionalFormatting>
  <conditionalFormatting sqref="U28:AF28">
    <cfRule type="expression" dxfId="2639" priority="164">
      <formula>U$9&gt;=20/24</formula>
    </cfRule>
    <cfRule type="expression" dxfId="2638" priority="165">
      <formula>AND(U$9&gt;=14/24,U$9&lt;20/24)</formula>
    </cfRule>
    <cfRule type="expression" dxfId="2637" priority="166">
      <formula>AND(U$9&gt;=8/24,U$9&lt;14/24)</formula>
    </cfRule>
    <cfRule type="expression" dxfId="2636" priority="167">
      <formula>U$9&lt;8/24</formula>
    </cfRule>
  </conditionalFormatting>
  <conditionalFormatting sqref="M31:T31 U19:AF19 U24:AF24">
    <cfRule type="expression" dxfId="2635" priority="160">
      <formula>M$9&gt;=20/24</formula>
    </cfRule>
    <cfRule type="expression" dxfId="2634" priority="161">
      <formula>AND(M$9&gt;=14/24,M$9&lt;20/24)</formula>
    </cfRule>
    <cfRule type="expression" dxfId="2633" priority="162">
      <formula>AND(M$9&gt;=8/24,M$9&lt;14/24)</formula>
    </cfRule>
    <cfRule type="expression" dxfId="2632" priority="163">
      <formula>M$9&lt;8/24</formula>
    </cfRule>
  </conditionalFormatting>
  <conditionalFormatting sqref="M31:T31 U19:AF19 U24:AF24">
    <cfRule type="expression" dxfId="2631" priority="159">
      <formula>M19&gt;$AG19</formula>
    </cfRule>
  </conditionalFormatting>
  <conditionalFormatting sqref="D45:G45">
    <cfRule type="expression" dxfId="2630" priority="155">
      <formula>D$9&gt;=20/24</formula>
    </cfRule>
    <cfRule type="expression" dxfId="2629" priority="156">
      <formula>AND(D$9&gt;=14/24,D$9&lt;20/24)</formula>
    </cfRule>
    <cfRule type="expression" dxfId="2628" priority="157">
      <formula>AND(D$9&gt;=8/24,D$9&lt;14/24)</formula>
    </cfRule>
    <cfRule type="expression" dxfId="2627" priority="158">
      <formula>D$9&lt;8/24</formula>
    </cfRule>
  </conditionalFormatting>
  <conditionalFormatting sqref="D45:G45">
    <cfRule type="expression" dxfId="2626" priority="154">
      <formula>D45&gt;$AG45</formula>
    </cfRule>
  </conditionalFormatting>
  <conditionalFormatting sqref="X46:AC47">
    <cfRule type="expression" dxfId="2625" priority="150">
      <formula>X$9&gt;=20/24</formula>
    </cfRule>
    <cfRule type="expression" dxfId="2624" priority="151">
      <formula>AND(X$9&gt;=14/24,X$9&lt;20/24)</formula>
    </cfRule>
    <cfRule type="expression" dxfId="2623" priority="152">
      <formula>AND(X$9&gt;=8/24,X$9&lt;14/24)</formula>
    </cfRule>
    <cfRule type="expression" dxfId="2622" priority="153">
      <formula>X$9&lt;8/24</formula>
    </cfRule>
  </conditionalFormatting>
  <conditionalFormatting sqref="X45:AC45">
    <cfRule type="expression" dxfId="2621" priority="146">
      <formula>X$9&gt;=20/24</formula>
    </cfRule>
    <cfRule type="expression" dxfId="2620" priority="147">
      <formula>AND(X$9&gt;=14/24,X$9&lt;20/24)</formula>
    </cfRule>
    <cfRule type="expression" dxfId="2619" priority="148">
      <formula>AND(X$9&gt;=8/24,X$9&lt;14/24)</formula>
    </cfRule>
    <cfRule type="expression" dxfId="2618" priority="149">
      <formula>X$9&lt;8/24</formula>
    </cfRule>
  </conditionalFormatting>
  <conditionalFormatting sqref="X45:AC47">
    <cfRule type="expression" dxfId="2617" priority="145">
      <formula>X45&gt;$AG45</formula>
    </cfRule>
  </conditionalFormatting>
  <conditionalFormatting sqref="B101 B80:AF80 B89:AF89 B103:B108 B11:T11">
    <cfRule type="expression" dxfId="2616" priority="141">
      <formula>B$9&gt;=20/24</formula>
    </cfRule>
    <cfRule type="expression" dxfId="2615" priority="142">
      <formula>AND(B$9&gt;=14/24,B$9&lt;20/24)</formula>
    </cfRule>
    <cfRule type="expression" dxfId="2614" priority="143">
      <formula>AND(B$9&gt;=8/24,B$9&lt;14/24)</formula>
    </cfRule>
    <cfRule type="expression" dxfId="2613" priority="144">
      <formula>B$9&lt;8/24</formula>
    </cfRule>
  </conditionalFormatting>
  <conditionalFormatting sqref="B39:L39">
    <cfRule type="expression" dxfId="2612" priority="137">
      <formula>B$9&gt;=20/24</formula>
    </cfRule>
    <cfRule type="expression" dxfId="2611" priority="138">
      <formula>AND(B$9&gt;=14/24,B$9&lt;20/24)</formula>
    </cfRule>
    <cfRule type="expression" dxfId="2610" priority="139">
      <formula>AND(B$9&gt;=8/24,B$9&lt;14/24)</formula>
    </cfRule>
    <cfRule type="expression" dxfId="2609" priority="140">
      <formula>B$9&lt;8/24</formula>
    </cfRule>
  </conditionalFormatting>
  <conditionalFormatting sqref="B39:L39 B11:T11">
    <cfRule type="expression" dxfId="2608" priority="136">
      <formula>B11&gt;$AG11</formula>
    </cfRule>
  </conditionalFormatting>
  <conditionalFormatting sqref="B91">
    <cfRule type="expression" dxfId="2607" priority="132">
      <formula>B$9&gt;=20/24</formula>
    </cfRule>
    <cfRule type="expression" dxfId="2606" priority="133">
      <formula>AND(B$9&gt;=14/24,B$9&lt;20/24)</formula>
    </cfRule>
    <cfRule type="expression" dxfId="2605" priority="134">
      <formula>AND(B$9&gt;=8/24,B$9&lt;14/24)</formula>
    </cfRule>
    <cfRule type="expression" dxfId="2604" priority="135">
      <formula>B$9&lt;8/24</formula>
    </cfRule>
  </conditionalFormatting>
  <conditionalFormatting sqref="B63:L63 B46:G47 B38:AF38">
    <cfRule type="expression" dxfId="2603" priority="128">
      <formula>B$9&gt;=20/24</formula>
    </cfRule>
    <cfRule type="expression" dxfId="2602" priority="129">
      <formula>AND(B$9&gt;=14/24,B$9&lt;20/24)</formula>
    </cfRule>
    <cfRule type="expression" dxfId="2601" priority="130">
      <formula>AND(B$9&gt;=8/24,B$9&lt;14/24)</formula>
    </cfRule>
    <cfRule type="expression" dxfId="2600" priority="131">
      <formula>B$9&lt;8/24</formula>
    </cfRule>
  </conditionalFormatting>
  <conditionalFormatting sqref="B45:C45">
    <cfRule type="expression" dxfId="2599" priority="124">
      <formula>B$9&gt;=20/24</formula>
    </cfRule>
    <cfRule type="expression" dxfId="2598" priority="125">
      <formula>AND(B$9&gt;=14/24,B$9&lt;20/24)</formula>
    </cfRule>
    <cfRule type="expression" dxfId="2597" priority="126">
      <formula>AND(B$9&gt;=8/24,B$9&lt;14/24)</formula>
    </cfRule>
    <cfRule type="expression" dxfId="2596" priority="127">
      <formula>B$9&lt;8/24</formula>
    </cfRule>
  </conditionalFormatting>
  <conditionalFormatting sqref="B45:C47 D46:G47 B38:AF38">
    <cfRule type="expression" dxfId="2595" priority="123">
      <formula>B38&gt;$AG38</formula>
    </cfRule>
  </conditionalFormatting>
  <conditionalFormatting sqref="B59:B62 B75:B79 B81:AF81 B88 C62:AG62 C79:AG79 B90:AF90 B92:C98 C59:R61 B64:L73 B31:L34 M66:AA73 M32:T34 B12:T14 B18:T18 B25:T27 B29:T29">
    <cfRule type="expression" dxfId="2594" priority="119">
      <formula>B$9&gt;=20/24</formula>
    </cfRule>
    <cfRule type="expression" dxfId="2593" priority="120">
      <formula>AND(B$9&gt;=14/24,B$9&lt;20/24)</formula>
    </cfRule>
    <cfRule type="expression" dxfId="2592" priority="121">
      <formula>AND(B$9&gt;=8/24,B$9&lt;14/24)</formula>
    </cfRule>
    <cfRule type="expression" dxfId="2591" priority="122">
      <formula>B$9&lt;8/24</formula>
    </cfRule>
  </conditionalFormatting>
  <conditionalFormatting sqref="B35:T35">
    <cfRule type="expression" dxfId="2590" priority="115">
      <formula>B$9&gt;=20/24</formula>
    </cfRule>
    <cfRule type="expression" dxfId="2589" priority="116">
      <formula>AND(B$9&gt;=14/24,B$9&lt;20/24)</formula>
    </cfRule>
    <cfRule type="expression" dxfId="2588" priority="117">
      <formula>AND(B$9&gt;=8/24,B$9&lt;14/24)</formula>
    </cfRule>
    <cfRule type="expression" dxfId="2587" priority="118">
      <formula>B$9&lt;8/24</formula>
    </cfRule>
  </conditionalFormatting>
  <conditionalFormatting sqref="B57:B62 B40:AG40 C58:AG58 C62:AG62 C59:R61 B48:G49 B31:L35 H49:L49 M32:T35 B25:T29">
    <cfRule type="expression" dxfId="2586" priority="114">
      <formula>B25&gt;$AG25</formula>
    </cfRule>
  </conditionalFormatting>
  <conditionalFormatting sqref="B37:T37">
    <cfRule type="expression" dxfId="2585" priority="110">
      <formula>B$9&gt;=20/24</formula>
    </cfRule>
    <cfRule type="expression" dxfId="2584" priority="111">
      <formula>AND(B$9&gt;=14/24,B$9&lt;20/24)</formula>
    </cfRule>
    <cfRule type="expression" dxfId="2583" priority="112">
      <formula>AND(B$9&gt;=8/24,B$9&lt;14/24)</formula>
    </cfRule>
    <cfRule type="expression" dxfId="2582" priority="113">
      <formula>B$9&lt;8/24</formula>
    </cfRule>
  </conditionalFormatting>
  <conditionalFormatting sqref="B15:T15">
    <cfRule type="expression" dxfId="2581" priority="106">
      <formula>B$9&gt;=20/24</formula>
    </cfRule>
    <cfRule type="expression" dxfId="2580" priority="107">
      <formula>AND(B$9&gt;=14/24,B$9&lt;20/24)</formula>
    </cfRule>
    <cfRule type="expression" dxfId="2579" priority="108">
      <formula>AND(B$9&gt;=8/24,B$9&lt;14/24)</formula>
    </cfRule>
    <cfRule type="expression" dxfId="2578" priority="109">
      <formula>B$9&lt;8/24</formula>
    </cfRule>
  </conditionalFormatting>
  <conditionalFormatting sqref="B36:T36">
    <cfRule type="expression" dxfId="2577" priority="102">
      <formula>B$9&gt;=20/24</formula>
    </cfRule>
    <cfRule type="expression" dxfId="2576" priority="103">
      <formula>AND(B$9&gt;=14/24,B$9&lt;20/24)</formula>
    </cfRule>
    <cfRule type="expression" dxfId="2575" priority="104">
      <formula>AND(B$9&gt;=8/24,B$9&lt;14/24)</formula>
    </cfRule>
    <cfRule type="expression" dxfId="2574" priority="105">
      <formula>B$9&lt;8/24</formula>
    </cfRule>
  </conditionalFormatting>
  <conditionalFormatting sqref="B36:T36">
    <cfRule type="expression" dxfId="2573" priority="101">
      <formula>B36&gt;$AG36</formula>
    </cfRule>
  </conditionalFormatting>
  <conditionalFormatting sqref="B50:T56 U51:W56">
    <cfRule type="expression" dxfId="2572" priority="97">
      <formula>B$9&gt;=20/24</formula>
    </cfRule>
    <cfRule type="expression" dxfId="2571" priority="98">
      <formula>AND(B$9&gt;=14/24,B$9&lt;20/24)</formula>
    </cfRule>
    <cfRule type="expression" dxfId="2570" priority="99">
      <formula>AND(B$9&gt;=8/24,B$9&lt;14/24)</formula>
    </cfRule>
    <cfRule type="expression" dxfId="2569" priority="100">
      <formula>B$9&lt;8/24</formula>
    </cfRule>
  </conditionalFormatting>
  <conditionalFormatting sqref="B50:T56 U51:W56">
    <cfRule type="expression" dxfId="2568" priority="96">
      <formula>B50&gt;$AG50</formula>
    </cfRule>
  </conditionalFormatting>
  <conditionalFormatting sqref="B28:T28">
    <cfRule type="expression" dxfId="2567" priority="92">
      <formula>B$9&gt;=20/24</formula>
    </cfRule>
    <cfRule type="expression" dxfId="2566" priority="93">
      <formula>AND(B$9&gt;=14/24,B$9&lt;20/24)</formula>
    </cfRule>
    <cfRule type="expression" dxfId="2565" priority="94">
      <formula>AND(B$9&gt;=8/24,B$9&lt;14/24)</formula>
    </cfRule>
    <cfRule type="expression" dxfId="2564" priority="95">
      <formula>B$9&lt;8/24</formula>
    </cfRule>
  </conditionalFormatting>
  <conditionalFormatting sqref="B19:T19 B24:T24">
    <cfRule type="expression" dxfId="2563" priority="88">
      <formula>B$9&gt;=20/24</formula>
    </cfRule>
    <cfRule type="expression" dxfId="2562" priority="89">
      <formula>AND(B$9&gt;=14/24,B$9&lt;20/24)</formula>
    </cfRule>
    <cfRule type="expression" dxfId="2561" priority="90">
      <formula>AND(B$9&gt;=8/24,B$9&lt;14/24)</formula>
    </cfRule>
    <cfRule type="expression" dxfId="2560" priority="91">
      <formula>B$9&lt;8/24</formula>
    </cfRule>
  </conditionalFormatting>
  <conditionalFormatting sqref="B19:T19 B24:T24">
    <cfRule type="expression" dxfId="2559" priority="87">
      <formula>B19&gt;$AG19</formula>
    </cfRule>
  </conditionalFormatting>
  <conditionalFormatting sqref="A36">
    <cfRule type="expression" dxfId="2558" priority="86">
      <formula>$AH36=0</formula>
    </cfRule>
  </conditionalFormatting>
  <conditionalFormatting sqref="B74:AF74">
    <cfRule type="expression" dxfId="2557" priority="82">
      <formula>B$9&gt;=20/24</formula>
    </cfRule>
    <cfRule type="expression" dxfId="2556" priority="83">
      <formula>AND(B$9&gt;=14/24,B$9&lt;20/24)</formula>
    </cfRule>
    <cfRule type="expression" dxfId="2555" priority="84">
      <formula>AND(B$9&gt;=8/24,B$9&lt;14/24)</formula>
    </cfRule>
    <cfRule type="expression" dxfId="2554" priority="85">
      <formula>B$9&lt;8/24</formula>
    </cfRule>
  </conditionalFormatting>
  <conditionalFormatting sqref="B83:AF87">
    <cfRule type="expression" dxfId="2553" priority="78">
      <formula>B$9&gt;=20/24</formula>
    </cfRule>
    <cfRule type="expression" dxfId="2552" priority="79">
      <formula>AND(B$9&gt;=14/24,B$9&lt;20/24)</formula>
    </cfRule>
    <cfRule type="expression" dxfId="2551" priority="80">
      <formula>AND(B$9&gt;=8/24,B$9&lt;14/24)</formula>
    </cfRule>
    <cfRule type="expression" dxfId="2550" priority="81">
      <formula>B$9&lt;8/24</formula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C41:AF43">
    <cfRule type="expression" dxfId="2549" priority="74">
      <formula>C$9&gt;=20/24</formula>
    </cfRule>
    <cfRule type="expression" dxfId="2548" priority="75">
      <formula>AND(C$9&gt;=14/24,C$9&lt;20/24)</formula>
    </cfRule>
    <cfRule type="expression" dxfId="2547" priority="76">
      <formula>AND(C$9&gt;=8/24,C$9&lt;14/24)</formula>
    </cfRule>
    <cfRule type="expression" dxfId="2546" priority="77">
      <formula>C$9&lt;8/24</formula>
    </cfRule>
  </conditionalFormatting>
  <conditionalFormatting sqref="C41:AF43">
    <cfRule type="expression" dxfId="2545" priority="73">
      <formula>C41&gt;$AG41</formula>
    </cfRule>
  </conditionalFormatting>
  <conditionalFormatting sqref="B41:B44 C44:AG44">
    <cfRule type="expression" dxfId="2544" priority="69">
      <formula>B$9&gt;=20/24</formula>
    </cfRule>
    <cfRule type="expression" dxfId="2543" priority="70">
      <formula>AND(B$9&gt;=14/24,B$9&lt;20/24)</formula>
    </cfRule>
    <cfRule type="expression" dxfId="2542" priority="71">
      <formula>AND(B$9&gt;=8/24,B$9&lt;14/24)</formula>
    </cfRule>
    <cfRule type="expression" dxfId="2541" priority="72">
      <formula>B$9&lt;8/24</formula>
    </cfRule>
  </conditionalFormatting>
  <conditionalFormatting sqref="B41:B44 C44:AG44">
    <cfRule type="expression" dxfId="2540" priority="68">
      <formula>B41&gt;$AG41</formula>
    </cfRule>
  </conditionalFormatting>
  <conditionalFormatting sqref="C99:AF99">
    <cfRule type="expression" dxfId="2539" priority="64">
      <formula>C$9&gt;=20/24</formula>
    </cfRule>
    <cfRule type="expression" dxfId="2538" priority="65">
      <formula>AND(C$9&gt;=14/24,C$9&lt;20/24)</formula>
    </cfRule>
    <cfRule type="expression" dxfId="2537" priority="66">
      <formula>AND(C$9&gt;=8/24,C$9&lt;14/24)</formula>
    </cfRule>
    <cfRule type="expression" dxfId="2536" priority="67">
      <formula>C$9&lt;8/24</formula>
    </cfRule>
  </conditionalFormatting>
  <conditionalFormatting sqref="B99">
    <cfRule type="expression" dxfId="2535" priority="60">
      <formula>B$9&gt;=20/24</formula>
    </cfRule>
    <cfRule type="expression" dxfId="2534" priority="61">
      <formula>AND(B$9&gt;=14/24,B$9&lt;20/24)</formula>
    </cfRule>
    <cfRule type="expression" dxfId="2533" priority="62">
      <formula>AND(B$9&gt;=8/24,B$9&lt;14/24)</formula>
    </cfRule>
    <cfRule type="expression" dxfId="2532" priority="63">
      <formula>B$9&lt;8/24</formula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2531" priority="54">
      <formula>$AH33=0</formula>
    </cfRule>
  </conditionalFormatting>
  <conditionalFormatting sqref="A82">
    <cfRule type="expression" dxfId="2530" priority="52">
      <formula>$AH82=0</formula>
    </cfRule>
  </conditionalFormatting>
  <conditionalFormatting sqref="A79">
    <cfRule type="expression" dxfId="2529" priority="53">
      <formula>$AH79=0</formula>
    </cfRule>
  </conditionalFormatting>
  <conditionalFormatting sqref="A109">
    <cfRule type="expression" dxfId="2528" priority="43">
      <formula>$AH109=0</formula>
    </cfRule>
  </conditionalFormatting>
  <conditionalFormatting sqref="C102:AF102">
    <cfRule type="expression" dxfId="2527" priority="39">
      <formula>C$9&gt;=20/24</formula>
    </cfRule>
    <cfRule type="expression" dxfId="2526" priority="40">
      <formula>AND(C$9&gt;=14/24,C$9&lt;20/24)</formula>
    </cfRule>
    <cfRule type="expression" dxfId="2525" priority="41">
      <formula>AND(C$9&gt;=8/24,C$9&lt;14/24)</formula>
    </cfRule>
    <cfRule type="expression" dxfId="2524" priority="42">
      <formula>C$9&lt;8/24</formula>
    </cfRule>
  </conditionalFormatting>
  <conditionalFormatting sqref="A102">
    <cfRule type="expression" dxfId="2523" priority="38">
      <formula>$AH102=0</formula>
    </cfRule>
  </conditionalFormatting>
  <conditionalFormatting sqref="B102">
    <cfRule type="expression" dxfId="2522" priority="34">
      <formula>B$9&gt;=20/24</formula>
    </cfRule>
    <cfRule type="expression" dxfId="2521" priority="35">
      <formula>AND(B$9&gt;=14/24,B$9&lt;20/24)</formula>
    </cfRule>
    <cfRule type="expression" dxfId="2520" priority="36">
      <formula>AND(B$9&gt;=8/24,B$9&lt;14/24)</formula>
    </cfRule>
    <cfRule type="expression" dxfId="2519" priority="37">
      <formula>B$9&lt;8/24</formula>
    </cfRule>
  </conditionalFormatting>
  <conditionalFormatting sqref="X52:AC56">
    <cfRule type="expression" dxfId="2518" priority="30">
      <formula>X$9&gt;=20/24</formula>
    </cfRule>
    <cfRule type="expression" dxfId="2517" priority="31">
      <formula>AND(X$9&gt;=14/24,X$9&lt;20/24)</formula>
    </cfRule>
    <cfRule type="expression" dxfId="2516" priority="32">
      <formula>AND(X$9&gt;=8/24,X$9&lt;14/24)</formula>
    </cfRule>
    <cfRule type="expression" dxfId="2515" priority="33">
      <formula>X$9&lt;8/24</formula>
    </cfRule>
  </conditionalFormatting>
  <conditionalFormatting sqref="X52:AC56">
    <cfRule type="expression" dxfId="2514" priority="29">
      <formula>X52&gt;$AG52</formula>
    </cfRule>
  </conditionalFormatting>
  <conditionalFormatting sqref="B17:AF17">
    <cfRule type="expression" dxfId="2513" priority="27">
      <formula>B17&gt;$AG17</formula>
    </cfRule>
  </conditionalFormatting>
  <conditionalFormatting sqref="A17">
    <cfRule type="expression" dxfId="2512" priority="26">
      <formula>$AH17=0</formula>
    </cfRule>
  </conditionalFormatting>
  <conditionalFormatting sqref="U17:AF17">
    <cfRule type="expression" dxfId="2511" priority="22">
      <formula>U$9&gt;=20/24</formula>
    </cfRule>
    <cfRule type="expression" dxfId="2510" priority="23">
      <formula>AND(U$9&gt;=14/24,U$9&lt;20/24)</formula>
    </cfRule>
    <cfRule type="expression" dxfId="2509" priority="24">
      <formula>AND(U$9&gt;=8/24,U$9&lt;14/24)</formula>
    </cfRule>
    <cfRule type="expression" dxfId="2508" priority="25">
      <formula>U$9&lt;8/24</formula>
    </cfRule>
  </conditionalFormatting>
  <conditionalFormatting sqref="B17:T17">
    <cfRule type="expression" dxfId="2507" priority="18">
      <formula>B$9&gt;=20/24</formula>
    </cfRule>
    <cfRule type="expression" dxfId="2506" priority="19">
      <formula>AND(B$9&gt;=14/24,B$9&lt;20/24)</formula>
    </cfRule>
    <cfRule type="expression" dxfId="2505" priority="20">
      <formula>AND(B$9&gt;=8/24,B$9&lt;14/24)</formula>
    </cfRule>
    <cfRule type="expression" dxfId="2504" priority="21">
      <formula>B$9&lt;8/24</formula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2503" priority="16">
      <formula>$AH30=0</formula>
    </cfRule>
  </conditionalFormatting>
  <conditionalFormatting sqref="U30:AF30">
    <cfRule type="expression" dxfId="2502" priority="12">
      <formula>U$9&gt;=20/24</formula>
    </cfRule>
    <cfRule type="expression" dxfId="2501" priority="13">
      <formula>AND(U$9&gt;=14/24,U$9&lt;20/24)</formula>
    </cfRule>
    <cfRule type="expression" dxfId="2500" priority="14">
      <formula>AND(U$9&gt;=8/24,U$9&lt;14/24)</formula>
    </cfRule>
    <cfRule type="expression" dxfId="2499" priority="15">
      <formula>U$9&lt;8/24</formula>
    </cfRule>
  </conditionalFormatting>
  <conditionalFormatting sqref="U30:AF30">
    <cfRule type="expression" dxfId="2498" priority="11">
      <formula>U30&gt;$AG30</formula>
    </cfRule>
  </conditionalFormatting>
  <conditionalFormatting sqref="M30:T30">
    <cfRule type="expression" dxfId="2497" priority="7">
      <formula>M$9&gt;=20/24</formula>
    </cfRule>
    <cfRule type="expression" dxfId="2496" priority="8">
      <formula>AND(M$9&gt;=14/24,M$9&lt;20/24)</formula>
    </cfRule>
    <cfRule type="expression" dxfId="2495" priority="9">
      <formula>AND(M$9&gt;=8/24,M$9&lt;14/24)</formula>
    </cfRule>
    <cfRule type="expression" dxfId="2494" priority="10">
      <formula>M$9&lt;8/24</formula>
    </cfRule>
  </conditionalFormatting>
  <conditionalFormatting sqref="M30:T30">
    <cfRule type="expression" dxfId="2493" priority="6">
      <formula>M30&gt;$AG30</formula>
    </cfRule>
  </conditionalFormatting>
  <conditionalFormatting sqref="B30:L30">
    <cfRule type="expression" dxfId="2492" priority="2">
      <formula>B$9&gt;=20/24</formula>
    </cfRule>
    <cfRule type="expression" dxfId="2491" priority="3">
      <formula>AND(B$9&gt;=14/24,B$9&lt;20/24)</formula>
    </cfRule>
    <cfRule type="expression" dxfId="2490" priority="4">
      <formula>AND(B$9&gt;=8/24,B$9&lt;14/24)</formula>
    </cfRule>
    <cfRule type="expression" dxfId="2489" priority="5">
      <formula>B$9&lt;8/24</formula>
    </cfRule>
  </conditionalFormatting>
  <conditionalFormatting sqref="B30:L30">
    <cfRule type="expression" dxfId="2488" priority="1">
      <formula>B30&gt;$AG30</formula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B4C6179A-E7B2-4BEE-AB81-19F45C427F8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0A23CEA3-C141-4726-A6AB-21AE7ACE20A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84FF3DCE-EDDF-4F3F-BDCA-5DFF2D2F626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028BF061-2F0A-446B-97DB-DC5A7C54E02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8" id="{AA9D5786-8C60-44EA-8F0C-E6FB95B0E41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60B09792-48DA-49F1-B544-919E809B036C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AD011A26-598C-47B9-915C-8B0EFD6C049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82002284-02F9-4374-B3BB-18D29C28339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4" id="{29D65C34-68EE-46A6-91A2-3B327574DDCB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08241090-6368-44AF-9458-C057DF694B4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676AFFBA-4399-49E1-8CA2-1BEDDF2FB9D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DC8F6E3E-BC7A-401B-B421-C9C9194C56E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4DE9B-6BD3-412D-8B1B-B6355C63FBE5}">
  <dimension ref="A1:CK281"/>
  <sheetViews>
    <sheetView zoomScale="80" zoomScaleNormal="80" workbookViewId="0">
      <pane xSplit="1" ySplit="10" topLeftCell="B25" activePane="bottomRight" state="frozen"/>
      <selection activeCell="K242" sqref="K242:L242"/>
      <selection pane="topRight" activeCell="K242" sqref="K242:L242"/>
      <selection pane="bottomLeft" activeCell="K242" sqref="K242:L242"/>
      <selection pane="bottomRight" activeCell="K242" sqref="K242:L242"/>
    </sheetView>
  </sheetViews>
  <sheetFormatPr defaultRowHeight="15" x14ac:dyDescent="0.25"/>
  <cols>
    <col min="1" max="1" width="35.28515625" style="1" bestFit="1" customWidth="1"/>
    <col min="2" max="2" width="15.85546875" style="1" customWidth="1"/>
    <col min="3" max="3" width="8.85546875" style="1" customWidth="1"/>
    <col min="4" max="4" width="8.42578125" style="1" bestFit="1" customWidth="1"/>
    <col min="5" max="5" width="8.85546875" style="1" bestFit="1" customWidth="1"/>
    <col min="6" max="6" width="11.140625" style="1" customWidth="1"/>
    <col min="7" max="7" width="9" style="1" customWidth="1"/>
    <col min="8" max="8" width="9.7109375" style="1" customWidth="1"/>
    <col min="9" max="10" width="8.85546875" style="1" customWidth="1"/>
    <col min="11" max="11" width="8.7109375" style="1" bestFit="1" customWidth="1"/>
    <col min="12" max="12" width="9.85546875" style="1" customWidth="1"/>
    <col min="13" max="13" width="9.7109375" style="1" customWidth="1"/>
    <col min="14" max="14" width="9.85546875" style="1" customWidth="1"/>
    <col min="15" max="15" width="8.85546875" style="1" customWidth="1"/>
    <col min="16" max="16" width="10.42578125" style="1" customWidth="1"/>
    <col min="17" max="17" width="9.28515625" style="1" customWidth="1"/>
    <col min="18" max="18" width="8.42578125" style="1" bestFit="1" customWidth="1"/>
    <col min="19" max="22" width="9.140625" style="1" bestFit="1" customWidth="1"/>
    <col min="23" max="23" width="9.7109375" style="1" customWidth="1"/>
    <col min="24" max="29" width="9.140625" style="1" bestFit="1" customWidth="1"/>
    <col min="30" max="32" width="6.85546875" style="1" customWidth="1"/>
    <col min="33" max="33" width="9" style="1" customWidth="1"/>
    <col min="34" max="34" width="14.42578125" style="1" customWidth="1"/>
    <col min="35" max="36" width="8" style="1" customWidth="1"/>
    <col min="37" max="37" width="21" style="1" bestFit="1" customWidth="1"/>
    <col min="38" max="38" width="23.85546875" style="1" bestFit="1" customWidth="1"/>
    <col min="39" max="42" width="9.140625" style="1" customWidth="1"/>
    <col min="43" max="16384" width="9.140625" style="1"/>
  </cols>
  <sheetData>
    <row r="1" spans="1:89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4" t="s">
        <v>1</v>
      </c>
      <c r="AI1" s="194"/>
      <c r="AJ1" s="194"/>
      <c r="AM1" s="2"/>
    </row>
    <row r="2" spans="1:89" ht="20.25" x14ac:dyDescent="0.25">
      <c r="A2" s="3"/>
      <c r="B2" s="195" t="s">
        <v>2</v>
      </c>
      <c r="C2" s="195" t="s">
        <v>2</v>
      </c>
      <c r="D2" s="4"/>
      <c r="E2" s="197" t="s">
        <v>3</v>
      </c>
      <c r="F2" s="4"/>
      <c r="G2" s="197" t="s">
        <v>4</v>
      </c>
      <c r="H2" s="4"/>
      <c r="I2" s="197" t="s">
        <v>5</v>
      </c>
      <c r="J2" s="5"/>
      <c r="K2" s="199" t="s">
        <v>6</v>
      </c>
      <c r="L2" s="6" t="s">
        <v>2</v>
      </c>
      <c r="M2" s="6" t="s">
        <v>3</v>
      </c>
      <c r="N2" s="6" t="s">
        <v>4</v>
      </c>
      <c r="O2" s="7" t="s">
        <v>5</v>
      </c>
      <c r="P2" s="8"/>
      <c r="Q2" s="8"/>
      <c r="R2" s="9"/>
      <c r="S2" s="9"/>
      <c r="T2" s="9"/>
      <c r="U2" s="9"/>
      <c r="V2" s="9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200">
        <f>AH50</f>
        <v>1915.4999999999995</v>
      </c>
      <c r="AI2" s="11" t="s">
        <v>7</v>
      </c>
      <c r="AJ2" s="12"/>
      <c r="AN2" s="13"/>
      <c r="AO2" s="14"/>
      <c r="AP2" s="14"/>
    </row>
    <row r="3" spans="1:89" ht="19.5" thickBot="1" x14ac:dyDescent="0.3">
      <c r="A3" s="15"/>
      <c r="B3" s="196"/>
      <c r="C3" s="196"/>
      <c r="D3" s="16"/>
      <c r="E3" s="198"/>
      <c r="F3" s="16"/>
      <c r="G3" s="198"/>
      <c r="H3" s="16"/>
      <c r="I3" s="198"/>
      <c r="J3" s="17"/>
      <c r="K3" s="199"/>
      <c r="L3" s="18"/>
      <c r="M3" s="18"/>
      <c r="N3" s="18"/>
      <c r="O3" s="18"/>
      <c r="P3" s="19"/>
      <c r="Q3" s="19"/>
      <c r="R3" s="8"/>
      <c r="S3" s="8"/>
      <c r="T3" s="8"/>
      <c r="U3" s="8"/>
      <c r="V3" s="8"/>
      <c r="W3" s="20" t="s">
        <v>8</v>
      </c>
      <c r="X3" s="20"/>
      <c r="Y3" s="20" t="s">
        <v>9</v>
      </c>
      <c r="Z3" s="20"/>
      <c r="AA3" s="20"/>
      <c r="AB3" s="20"/>
      <c r="AC3" s="19"/>
      <c r="AD3" s="21"/>
      <c r="AE3" s="21"/>
      <c r="AF3" s="21"/>
      <c r="AG3" s="21"/>
      <c r="AH3" s="201" t="e">
        <f>AH68</f>
        <v>#REF!</v>
      </c>
      <c r="AI3" s="11" t="s">
        <v>10</v>
      </c>
      <c r="AJ3" s="12"/>
      <c r="AM3" s="23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</row>
    <row r="4" spans="1:89" ht="18.75" x14ac:dyDescent="0.25">
      <c r="A4" s="25" t="s">
        <v>11</v>
      </c>
      <c r="B4" s="25"/>
      <c r="C4" s="188" t="e">
        <f ca="1">"2080/"&amp;"07/"&amp;INT(MID(CELL("filename",E6),FIND("]",CELL("filename",E6))+1,200))</f>
        <v>#VALUE!</v>
      </c>
      <c r="D4" s="188"/>
      <c r="E4" s="188"/>
      <c r="F4" s="189" t="e">
        <f ca="1">"2080/"&amp;"06/"&amp;INT(MID(CELL("filename",H6),FIND("]",CELL("filename",H6))+1,200))</f>
        <v>#VALUE!</v>
      </c>
      <c r="G4" s="189"/>
      <c r="H4" s="189"/>
      <c r="I4" s="189" t="e">
        <f ca="1">TEXT(F4,"dddd")</f>
        <v>#VALUE!</v>
      </c>
      <c r="J4" s="189"/>
      <c r="K4" s="26"/>
      <c r="L4" s="1" t="str">
        <f>"Total Peak Supply(Inclusive of Export) ("&amp;ROUND(C252,0)&amp;" MW)"&amp;"    IPP   = "&amp;ROUND(C247,0)&amp;" MW     NEA RoR = "&amp;ROUND(C248,0)&amp;" MWImport   = "&amp;ROUND(C250,0)&amp;" MW      KL1+KL2+K3 = "&amp;ROUND(C249,0) &amp;" MW    EXPORT = "&amp;ROUND(C251,0)</f>
        <v>Total Peak Supply(Inclusive of Export) (0 MW)    IPP   = 0 MW     NEA RoR = 0 MWImport   = 0 MW      KL1+KL2+K3 = 0 MW    EXPORT = 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27"/>
      <c r="AF4" s="27"/>
      <c r="AG4" s="27"/>
      <c r="AH4" s="201">
        <f>AH72</f>
        <v>106</v>
      </c>
      <c r="AI4" s="11" t="s">
        <v>12</v>
      </c>
      <c r="AJ4" s="12"/>
      <c r="AM4" s="28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</row>
    <row r="5" spans="1:89" ht="15.75" customHeight="1" x14ac:dyDescent="0.25">
      <c r="A5" s="29"/>
      <c r="B5" s="30">
        <f t="shared" ref="B5:AF5" si="0">C84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 t="shared" si="0"/>
        <v>0</v>
      </c>
      <c r="AG5" s="30">
        <f>C84</f>
        <v>0</v>
      </c>
      <c r="AH5" s="201"/>
      <c r="AI5" s="11"/>
      <c r="AJ5" s="12"/>
      <c r="AM5" s="28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</row>
    <row r="6" spans="1:89" ht="18.75" x14ac:dyDescent="0.25">
      <c r="A6" s="29"/>
      <c r="B6" s="31"/>
      <c r="C6" s="31"/>
      <c r="D6" s="29"/>
      <c r="E6" s="32"/>
      <c r="F6" s="32"/>
      <c r="G6" s="32"/>
      <c r="H6" s="32"/>
      <c r="I6" s="32"/>
      <c r="J6" s="32"/>
      <c r="K6" s="26"/>
      <c r="L6" s="1" t="e">
        <f>"Evening Peak "&amp;ROUND(C252,0)&amp;"MW at "&amp;TRUNC(C253*24,0)&amp;":"&amp;ROUND((C253*24-TRUNC(C253*24,0))*60,0)&amp;"hr at "&amp;ROUND(C254,1)&amp;"Hz     "&amp;A244&amp;" "&amp;ROUND(C244,0)&amp;"MW at "&amp;TRUNC(D244*24,0)&amp;":"&amp;ROUND((D244*24-TRUNC(D244*24,0))*6,0)&amp;"0hr"</f>
        <v>#REF!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27"/>
      <c r="AF6" s="27"/>
      <c r="AG6" s="27"/>
      <c r="AH6" s="201" t="e">
        <f>SUM(AH2:AH4)</f>
        <v>#REF!</v>
      </c>
      <c r="AI6" s="33" t="s">
        <v>13</v>
      </c>
      <c r="AJ6" s="12"/>
      <c r="AM6" s="28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</row>
    <row r="7" spans="1:89" ht="16.5" thickBot="1" x14ac:dyDescent="0.3">
      <c r="A7" s="34" t="e">
        <f>"Base Load="&amp;ROUND(MIN($C$7:$AG$7),0)</f>
        <v>#REF!</v>
      </c>
      <c r="B7" s="35">
        <f t="shared" ref="B7:AE7" si="1">B91</f>
        <v>1985.5000000000002</v>
      </c>
      <c r="C7" s="35" t="e">
        <f t="shared" si="1"/>
        <v>#REF!</v>
      </c>
      <c r="D7" s="35" t="e">
        <f t="shared" si="1"/>
        <v>#REF!</v>
      </c>
      <c r="E7" s="35" t="e">
        <f t="shared" si="1"/>
        <v>#REF!</v>
      </c>
      <c r="F7" s="35" t="e">
        <f t="shared" si="1"/>
        <v>#REF!</v>
      </c>
      <c r="G7" s="35" t="e">
        <f t="shared" si="1"/>
        <v>#REF!</v>
      </c>
      <c r="H7" s="35" t="e">
        <f t="shared" si="1"/>
        <v>#REF!</v>
      </c>
      <c r="I7" s="35" t="e">
        <f t="shared" si="1"/>
        <v>#REF!</v>
      </c>
      <c r="J7" s="35" t="e">
        <f t="shared" si="1"/>
        <v>#REF!</v>
      </c>
      <c r="K7" s="35" t="e">
        <f t="shared" si="1"/>
        <v>#REF!</v>
      </c>
      <c r="L7" s="35">
        <f t="shared" si="1"/>
        <v>0</v>
      </c>
      <c r="M7" s="35">
        <f t="shared" si="1"/>
        <v>0</v>
      </c>
      <c r="N7" s="35">
        <f t="shared" si="1"/>
        <v>0</v>
      </c>
      <c r="O7" s="35">
        <f>O91</f>
        <v>0</v>
      </c>
      <c r="P7" s="35">
        <f t="shared" si="1"/>
        <v>0</v>
      </c>
      <c r="Q7" s="35">
        <f t="shared" si="1"/>
        <v>0</v>
      </c>
      <c r="R7" s="35">
        <f t="shared" si="1"/>
        <v>0</v>
      </c>
      <c r="S7" s="35">
        <f t="shared" si="1"/>
        <v>0</v>
      </c>
      <c r="T7" s="35">
        <f t="shared" si="1"/>
        <v>0</v>
      </c>
      <c r="U7" s="35">
        <f t="shared" si="1"/>
        <v>0</v>
      </c>
      <c r="V7" s="35">
        <f t="shared" si="1"/>
        <v>0</v>
      </c>
      <c r="W7" s="35">
        <f t="shared" si="1"/>
        <v>0</v>
      </c>
      <c r="X7" s="35">
        <f t="shared" si="1"/>
        <v>0</v>
      </c>
      <c r="Y7" s="35">
        <f t="shared" si="1"/>
        <v>0</v>
      </c>
      <c r="Z7" s="35">
        <f t="shared" si="1"/>
        <v>0</v>
      </c>
      <c r="AA7" s="35">
        <f t="shared" si="1"/>
        <v>0</v>
      </c>
      <c r="AB7" s="35">
        <f t="shared" si="1"/>
        <v>0</v>
      </c>
      <c r="AC7" s="35">
        <f t="shared" si="1"/>
        <v>0</v>
      </c>
      <c r="AD7" s="35">
        <f t="shared" si="1"/>
        <v>0</v>
      </c>
      <c r="AE7" s="35">
        <f t="shared" si="1"/>
        <v>0</v>
      </c>
      <c r="AF7" s="35"/>
      <c r="AG7" s="35"/>
      <c r="AH7" s="202"/>
      <c r="AJ7" s="37"/>
      <c r="AK7" s="35"/>
      <c r="AM7" s="23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</row>
    <row r="8" spans="1:89" ht="27" customHeight="1" thickTop="1" thickBot="1" x14ac:dyDescent="0.3">
      <c r="A8" s="38"/>
      <c r="B8" s="203" t="s">
        <v>251</v>
      </c>
      <c r="C8" s="190" t="s">
        <v>14</v>
      </c>
      <c r="D8" s="191"/>
      <c r="E8" s="191"/>
      <c r="F8" s="191"/>
      <c r="G8" s="191"/>
      <c r="H8" s="191"/>
      <c r="I8" s="191"/>
      <c r="J8" s="191"/>
      <c r="K8" s="191"/>
      <c r="L8" s="191"/>
      <c r="M8" s="192"/>
      <c r="N8" s="183" t="s">
        <v>15</v>
      </c>
      <c r="O8" s="184"/>
      <c r="P8" s="184"/>
      <c r="Q8" s="184"/>
      <c r="R8" s="184"/>
      <c r="S8" s="185"/>
      <c r="T8" s="183" t="s">
        <v>16</v>
      </c>
      <c r="U8" s="184"/>
      <c r="V8" s="184"/>
      <c r="W8" s="184"/>
      <c r="X8" s="184"/>
      <c r="Y8" s="184"/>
      <c r="Z8" s="184"/>
      <c r="AA8" s="184"/>
      <c r="AB8" s="185"/>
      <c r="AC8" s="183" t="s">
        <v>17</v>
      </c>
      <c r="AD8" s="184"/>
      <c r="AE8" s="184"/>
      <c r="AF8" s="184"/>
      <c r="AG8" s="185"/>
      <c r="AH8" s="39"/>
      <c r="AI8" s="40"/>
      <c r="AJ8" s="41"/>
      <c r="AM8" s="28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</row>
    <row r="9" spans="1:89" ht="13.5" customHeight="1" thickTop="1" x14ac:dyDescent="0.25">
      <c r="A9" s="186" t="s">
        <v>18</v>
      </c>
      <c r="B9" s="204"/>
      <c r="C9" s="180">
        <v>0</v>
      </c>
      <c r="D9" s="180">
        <v>4.1666666666666664E-2</v>
      </c>
      <c r="E9" s="180">
        <v>8.3333333333333301E-2</v>
      </c>
      <c r="F9" s="180">
        <v>0.125</v>
      </c>
      <c r="G9" s="180">
        <v>0.16666666666666699</v>
      </c>
      <c r="H9" s="180">
        <v>0.20833333333333301</v>
      </c>
      <c r="I9" s="180">
        <v>0.22916666666666666</v>
      </c>
      <c r="J9" s="180">
        <v>0.25</v>
      </c>
      <c r="K9" s="180">
        <v>0.27083333333333331</v>
      </c>
      <c r="L9" s="180">
        <v>0.29166666666666669</v>
      </c>
      <c r="M9" s="180">
        <v>0.3125</v>
      </c>
      <c r="N9" s="178">
        <v>0.33333333333333331</v>
      </c>
      <c r="O9" s="178">
        <v>0.375</v>
      </c>
      <c r="P9" s="178">
        <v>0.41666666666666702</v>
      </c>
      <c r="Q9" s="178">
        <v>0.45833333333333298</v>
      </c>
      <c r="R9" s="178">
        <v>0.5</v>
      </c>
      <c r="S9" s="178">
        <v>0.54166666666666696</v>
      </c>
      <c r="T9" s="176">
        <v>0.58333333333333304</v>
      </c>
      <c r="U9" s="176">
        <v>0.625</v>
      </c>
      <c r="V9" s="176">
        <v>0.66666666666666696</v>
      </c>
      <c r="W9" s="176">
        <v>0.70833333333333304</v>
      </c>
      <c r="X9" s="176">
        <v>0.72916666666666663</v>
      </c>
      <c r="Y9" s="176">
        <v>0.75</v>
      </c>
      <c r="Z9" s="176">
        <v>0.77083333333333337</v>
      </c>
      <c r="AA9" s="176">
        <v>0.79166666666666663</v>
      </c>
      <c r="AB9" s="176">
        <v>0.8125</v>
      </c>
      <c r="AC9" s="176">
        <v>0.83333333333333337</v>
      </c>
      <c r="AD9" s="176">
        <v>0.85416666666666663</v>
      </c>
      <c r="AE9" s="176">
        <v>0.875</v>
      </c>
      <c r="AF9" s="176">
        <v>0.91666666666666696</v>
      </c>
      <c r="AG9" s="176">
        <v>0.95833333333333304</v>
      </c>
      <c r="AH9" s="181" t="s">
        <v>1</v>
      </c>
      <c r="AI9" s="42"/>
      <c r="AJ9" s="41"/>
      <c r="AM9" s="28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</row>
    <row r="10" spans="1:89" ht="15.75" thickBot="1" x14ac:dyDescent="0.3">
      <c r="A10" s="187"/>
      <c r="B10" s="205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9"/>
      <c r="O10" s="179"/>
      <c r="P10" s="179"/>
      <c r="Q10" s="179"/>
      <c r="R10" s="179"/>
      <c r="S10" s="179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82"/>
      <c r="AI10" s="43"/>
      <c r="AM10" s="28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</row>
    <row r="11" spans="1:89" ht="15.75" thickTop="1" x14ac:dyDescent="0.25">
      <c r="A11" s="44" t="s">
        <v>252</v>
      </c>
      <c r="B11" s="206">
        <v>60.8</v>
      </c>
      <c r="C11" s="45">
        <f>IF($B11-'[4]30'!B11&lt;0,0,$B11-'[4]30'!B11)</f>
        <v>0</v>
      </c>
      <c r="D11" s="45">
        <f>IF($B11-'[4]30'!C11&lt;0,0,$B11-'[4]30'!C11)</f>
        <v>0</v>
      </c>
      <c r="E11" s="45">
        <f>IF($B11-'[4]30'!D11&lt;0,0,$B11-'[4]30'!D11)</f>
        <v>0</v>
      </c>
      <c r="F11" s="45">
        <f>IF($B11-'[4]30'!E11&lt;0,0,$B11-'[4]30'!E11)</f>
        <v>0</v>
      </c>
      <c r="G11" s="45">
        <f>IF($B11-'[4]30'!F11&lt;0,0,$B11-'[4]30'!F11)</f>
        <v>0</v>
      </c>
      <c r="H11" s="45">
        <f>IF($B11-'[4]30'!G11&lt;0,0,$B11-'[4]30'!G11)</f>
        <v>0</v>
      </c>
      <c r="I11" s="45">
        <f>IF($B11-'[4]30'!H11&lt;0,0,$B11-'[4]30'!H11)</f>
        <v>0</v>
      </c>
      <c r="J11" s="45">
        <f>IF($B11-'[4]30'!I11&lt;0,0,$B11-'[4]30'!I11)</f>
        <v>0</v>
      </c>
      <c r="K11" s="45">
        <f>IF($B11-'[4]30'!J11&lt;0,0,$B11-'[4]30'!J11)</f>
        <v>0</v>
      </c>
      <c r="L11" s="45">
        <f>IF($B11-'[4]30'!K11&lt;0,0,$B11-'[4]30'!K11)</f>
        <v>0</v>
      </c>
      <c r="M11" s="45">
        <f>IF($B11-'[4]30'!L11&lt;0,0,$B11-'[4]30'!L11)</f>
        <v>0</v>
      </c>
      <c r="N11" s="45">
        <f>IF($B11-'[4]30'!M11&lt;0,0,$B11-'[4]30'!M11)</f>
        <v>0</v>
      </c>
      <c r="O11" s="45">
        <f>IF($B11-'[4]30'!N11&lt;0,0,$B11-'[4]30'!N11)</f>
        <v>0</v>
      </c>
      <c r="P11" s="45">
        <f>IF($B11-'[4]30'!O11&lt;0,0,$B11-'[4]30'!O11)</f>
        <v>0</v>
      </c>
      <c r="Q11" s="45">
        <f>IF($B11-'[4]30'!P11&lt;0,0,$B11-'[4]30'!P11)</f>
        <v>0</v>
      </c>
      <c r="R11" s="45">
        <f>IF($B11-'[4]30'!Q11&lt;0,0,$B11-'[4]30'!Q11)</f>
        <v>1.8999999999999986</v>
      </c>
      <c r="S11" s="45">
        <f>IF($B11-'[4]30'!R11&lt;0,0,$B11-'[4]30'!R11)</f>
        <v>1.8999999999999986</v>
      </c>
      <c r="T11" s="45">
        <f>IF($B11-'[4]30'!S11&lt;0,0,$B11-'[4]30'!S11)</f>
        <v>1.8999999999999986</v>
      </c>
      <c r="U11" s="45">
        <f>IF($B11-'[4]30'!T11&lt;0,0,$B11-'[4]30'!T11)</f>
        <v>1.8999999999999986</v>
      </c>
      <c r="V11" s="45">
        <f>IF($B11-'[4]30'!U11&lt;0,0,$B11-'[4]30'!U11)</f>
        <v>1.8999999999999986</v>
      </c>
      <c r="W11" s="45">
        <f>IF($B11-'[4]30'!V11&lt;0,0,$B11-'[4]30'!V11)</f>
        <v>0</v>
      </c>
      <c r="X11" s="45">
        <f>IF($B11-'[4]30'!W11&lt;0,0,$B11-'[4]30'!W11)</f>
        <v>0</v>
      </c>
      <c r="Y11" s="45">
        <f>IF($B11-'[4]30'!X11&lt;0,0,$B11-'[4]30'!X11)</f>
        <v>0</v>
      </c>
      <c r="Z11" s="45">
        <f>IF($B11-'[4]30'!Y11&lt;0,0,$B11-'[4]30'!Y11)</f>
        <v>0</v>
      </c>
      <c r="AA11" s="45">
        <f>IF($B11-'[4]30'!Z11&lt;0,0,$B11-'[4]30'!Z11)</f>
        <v>0</v>
      </c>
      <c r="AB11" s="45">
        <f>IF($B11-'[4]30'!AA11&lt;0,0,$B11-'[4]30'!AA11)</f>
        <v>0</v>
      </c>
      <c r="AC11" s="45">
        <f>IF($B11-'[4]30'!AB11&lt;0,0,$B11-'[4]30'!AB11)</f>
        <v>0</v>
      </c>
      <c r="AD11" s="45">
        <f>IF($B11-'[4]30'!AC11&lt;0,0,$B11-'[4]30'!AC11)</f>
        <v>0.79999999999999716</v>
      </c>
      <c r="AE11" s="45">
        <f>IF($B11-'[4]30'!AD11&lt;0,0,$B11-'[4]30'!AD11)</f>
        <v>0</v>
      </c>
      <c r="AF11" s="45">
        <f>IF($B11-'[4]30'!AE11&lt;0,0,$B11-'[4]30'!AE11)</f>
        <v>0</v>
      </c>
      <c r="AG11" s="45">
        <f>IF($B11-'[4]30'!AF11&lt;0,0,$B11-'[4]30'!AF11)</f>
        <v>0</v>
      </c>
      <c r="AH11" s="47">
        <v>86</v>
      </c>
      <c r="AI11" s="48">
        <f t="shared" ref="AI11:AI76" si="2">MAX(C11:AG11)</f>
        <v>1.8999999999999986</v>
      </c>
      <c r="AJ11" s="49">
        <f t="shared" ref="AJ11:AJ76" si="3">MIN(C11:AG11)</f>
        <v>0</v>
      </c>
      <c r="AL11" s="170"/>
      <c r="AM11" s="28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</row>
    <row r="12" spans="1:89" x14ac:dyDescent="0.25">
      <c r="A12" s="44" t="s">
        <v>253</v>
      </c>
      <c r="B12" s="206">
        <v>13</v>
      </c>
      <c r="C12" s="45">
        <f>IF($B12-'[4]30'!B12&lt;0,0,$B12-'[4]30'!B12)</f>
        <v>5</v>
      </c>
      <c r="D12" s="45">
        <f>IF($B12-'[4]30'!C12&lt;0,0,$B12-'[4]30'!C12)</f>
        <v>13</v>
      </c>
      <c r="E12" s="45">
        <f>IF($B12-'[4]30'!D12&lt;0,0,$B12-'[4]30'!D12)</f>
        <v>13</v>
      </c>
      <c r="F12" s="45">
        <f>IF($B12-'[4]30'!E12&lt;0,0,$B12-'[4]30'!E12)</f>
        <v>13</v>
      </c>
      <c r="G12" s="45">
        <f>IF($B12-'[4]30'!F12&lt;0,0,$B12-'[4]30'!F12)</f>
        <v>13</v>
      </c>
      <c r="H12" s="45">
        <f>IF($B12-'[4]30'!G12&lt;0,0,$B12-'[4]30'!G12)</f>
        <v>13</v>
      </c>
      <c r="I12" s="45">
        <f>IF($B12-'[4]30'!H12&lt;0,0,$B12-'[4]30'!H12)</f>
        <v>5</v>
      </c>
      <c r="J12" s="45">
        <f>IF($B12-'[4]30'!I12&lt;0,0,$B12-'[4]30'!I12)</f>
        <v>5</v>
      </c>
      <c r="K12" s="45">
        <f>IF($B12-'[4]30'!J12&lt;0,0,$B12-'[4]30'!J12)</f>
        <v>0</v>
      </c>
      <c r="L12" s="45">
        <f>IF($B12-'[4]30'!K12&lt;0,0,$B12-'[4]30'!K12)</f>
        <v>0</v>
      </c>
      <c r="M12" s="45">
        <f>IF($B12-'[4]30'!L12&lt;0,0,$B12-'[4]30'!L12)</f>
        <v>0</v>
      </c>
      <c r="N12" s="45">
        <f>IF($B12-'[4]30'!M12&lt;0,0,$B12-'[4]30'!M12)</f>
        <v>0</v>
      </c>
      <c r="O12" s="45">
        <f>IF($B12-'[4]30'!N12&lt;0,0,$B12-'[4]30'!N12)</f>
        <v>0</v>
      </c>
      <c r="P12" s="45">
        <f>IF($B12-'[4]30'!O12&lt;0,0,$B12-'[4]30'!O12)</f>
        <v>0</v>
      </c>
      <c r="Q12" s="45">
        <f>IF($B12-'[4]30'!P12&lt;0,0,$B12-'[4]30'!P12)</f>
        <v>0</v>
      </c>
      <c r="R12" s="45">
        <f>IF($B12-'[4]30'!Q12&lt;0,0,$B12-'[4]30'!Q12)</f>
        <v>0</v>
      </c>
      <c r="S12" s="45">
        <f>IF($B12-'[4]30'!R12&lt;0,0,$B12-'[4]30'!R12)</f>
        <v>0</v>
      </c>
      <c r="T12" s="45">
        <f>IF($B12-'[4]30'!S12&lt;0,0,$B12-'[4]30'!S12)</f>
        <v>0</v>
      </c>
      <c r="U12" s="45">
        <f>IF($B12-'[4]30'!T12&lt;0,0,$B12-'[4]30'!T12)</f>
        <v>0</v>
      </c>
      <c r="V12" s="45">
        <f>IF($B12-'[4]30'!U12&lt;0,0,$B12-'[4]30'!U12)</f>
        <v>0</v>
      </c>
      <c r="W12" s="45">
        <f>IF($B12-'[4]30'!V12&lt;0,0,$B12-'[4]30'!V12)</f>
        <v>0</v>
      </c>
      <c r="X12" s="45">
        <f>IF($B12-'[4]30'!W12&lt;0,0,$B12-'[4]30'!W12)</f>
        <v>0</v>
      </c>
      <c r="Y12" s="45">
        <f>IF($B12-'[4]30'!X12&lt;0,0,$B12-'[4]30'!X12)</f>
        <v>0</v>
      </c>
      <c r="Z12" s="45">
        <f>IF($B12-'[4]30'!Y12&lt;0,0,$B12-'[4]30'!Y12)</f>
        <v>0</v>
      </c>
      <c r="AA12" s="45">
        <f>IF($B12-'[4]30'!Z12&lt;0,0,$B12-'[4]30'!Z12)</f>
        <v>0</v>
      </c>
      <c r="AB12" s="45">
        <f>IF($B12-'[4]30'!AA12&lt;0,0,$B12-'[4]30'!AA12)</f>
        <v>0</v>
      </c>
      <c r="AC12" s="45">
        <f>IF($B12-'[4]30'!AB12&lt;0,0,$B12-'[4]30'!AB12)</f>
        <v>0</v>
      </c>
      <c r="AD12" s="45">
        <f>IF($B12-'[4]30'!AC12&lt;0,0,$B12-'[4]30'!AC12)</f>
        <v>0</v>
      </c>
      <c r="AE12" s="45">
        <f>IF($B12-'[4]30'!AD12&lt;0,0,$B12-'[4]30'!AD12)</f>
        <v>0</v>
      </c>
      <c r="AF12" s="45">
        <f>IF($B12-'[4]30'!AE12&lt;0,0,$B12-'[4]30'!AE12)</f>
        <v>0</v>
      </c>
      <c r="AG12" s="45">
        <f>IF($B12-'[4]30'!AF12&lt;0,0,$B12-'[4]30'!AF12)</f>
        <v>0</v>
      </c>
      <c r="AH12" s="51">
        <v>54</v>
      </c>
      <c r="AI12" s="48">
        <f t="shared" si="2"/>
        <v>13</v>
      </c>
      <c r="AJ12" s="49">
        <f t="shared" si="3"/>
        <v>0</v>
      </c>
      <c r="AL12" s="170"/>
      <c r="AM12" s="28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</row>
    <row r="13" spans="1:89" x14ac:dyDescent="0.25">
      <c r="A13" s="44" t="s">
        <v>19</v>
      </c>
      <c r="B13" s="206">
        <v>34</v>
      </c>
      <c r="C13" s="45">
        <f>IF($B13-'[4]30'!B13&lt;0,0,$B13-'[4]30'!B13)</f>
        <v>2.5</v>
      </c>
      <c r="D13" s="45">
        <f>IF($B13-'[4]30'!C13&lt;0,0,$B13-'[4]30'!C13)</f>
        <v>2.5</v>
      </c>
      <c r="E13" s="45">
        <f>IF($B13-'[4]30'!D13&lt;0,0,$B13-'[4]30'!D13)</f>
        <v>2.5</v>
      </c>
      <c r="F13" s="45">
        <f>IF($B13-'[4]30'!E13&lt;0,0,$B13-'[4]30'!E13)</f>
        <v>2.5</v>
      </c>
      <c r="G13" s="45">
        <f>IF($B13-'[4]30'!F13&lt;0,0,$B13-'[4]30'!F13)</f>
        <v>2.5</v>
      </c>
      <c r="H13" s="45">
        <f>IF($B13-'[4]30'!G13&lt;0,0,$B13-'[4]30'!G13)</f>
        <v>2.5</v>
      </c>
      <c r="I13" s="45">
        <f>IF($B13-'[4]30'!H13&lt;0,0,$B13-'[4]30'!H13)</f>
        <v>2.5</v>
      </c>
      <c r="J13" s="45">
        <f>IF($B13-'[4]30'!I13&lt;0,0,$B13-'[4]30'!I13)</f>
        <v>2.5</v>
      </c>
      <c r="K13" s="45">
        <f>IF($B13-'[4]30'!J13&lt;0,0,$B13-'[4]30'!J13)</f>
        <v>2.5</v>
      </c>
      <c r="L13" s="45">
        <f>IF($B13-'[4]30'!K13&lt;0,0,$B13-'[4]30'!K13)</f>
        <v>2.5</v>
      </c>
      <c r="M13" s="45">
        <f>IF($B13-'[4]30'!L13&lt;0,0,$B13-'[4]30'!L13)</f>
        <v>2.5</v>
      </c>
      <c r="N13" s="45">
        <f>IF($B13-'[4]30'!M13&lt;0,0,$B13-'[4]30'!M13)</f>
        <v>2.5</v>
      </c>
      <c r="O13" s="45">
        <f>IF($B13-'[4]30'!N13&lt;0,0,$B13-'[4]30'!N13)</f>
        <v>2.5</v>
      </c>
      <c r="P13" s="45">
        <f>IF($B13-'[4]30'!O13&lt;0,0,$B13-'[4]30'!O13)</f>
        <v>2.5</v>
      </c>
      <c r="Q13" s="45">
        <f>IF($B13-'[4]30'!P13&lt;0,0,$B13-'[4]30'!P13)</f>
        <v>2.5</v>
      </c>
      <c r="R13" s="45">
        <f>IF($B13-'[4]30'!Q13&lt;0,0,$B13-'[4]30'!Q13)</f>
        <v>2.5</v>
      </c>
      <c r="S13" s="45">
        <f>IF($B13-'[4]30'!R13&lt;0,0,$B13-'[4]30'!R13)</f>
        <v>2.5</v>
      </c>
      <c r="T13" s="45">
        <f>IF($B13-'[4]30'!S13&lt;0,0,$B13-'[4]30'!S13)</f>
        <v>2.5</v>
      </c>
      <c r="U13" s="45">
        <f>IF($B13-'[4]30'!T13&lt;0,0,$B13-'[4]30'!T13)</f>
        <v>2.5</v>
      </c>
      <c r="V13" s="45">
        <f>IF($B13-'[4]30'!U13&lt;0,0,$B13-'[4]30'!U13)</f>
        <v>2.5</v>
      </c>
      <c r="W13" s="45">
        <f>IF($B13-'[4]30'!V13&lt;0,0,$B13-'[4]30'!V13)</f>
        <v>0.5</v>
      </c>
      <c r="X13" s="45">
        <f>IF($B13-'[4]30'!W13&lt;0,0,$B13-'[4]30'!W13)</f>
        <v>0.5</v>
      </c>
      <c r="Y13" s="45">
        <f>IF($B13-'[4]30'!X13&lt;0,0,$B13-'[4]30'!X13)</f>
        <v>0.5</v>
      </c>
      <c r="Z13" s="45">
        <f>IF($B13-'[4]30'!Y13&lt;0,0,$B13-'[4]30'!Y13)</f>
        <v>0.5</v>
      </c>
      <c r="AA13" s="45">
        <f>IF($B13-'[4]30'!Z13&lt;0,0,$B13-'[4]30'!Z13)</f>
        <v>0.5</v>
      </c>
      <c r="AB13" s="45">
        <f>IF($B13-'[4]30'!AA13&lt;0,0,$B13-'[4]30'!AA13)</f>
        <v>0.5</v>
      </c>
      <c r="AC13" s="45">
        <f>IF($B13-'[4]30'!AB13&lt;0,0,$B13-'[4]30'!AB13)</f>
        <v>0.5</v>
      </c>
      <c r="AD13" s="45">
        <f>IF($B13-'[4]30'!AC13&lt;0,0,$B13-'[4]30'!AC13)</f>
        <v>1.7999999999999972</v>
      </c>
      <c r="AE13" s="45">
        <f>IF($B13-'[4]30'!AD13&lt;0,0,$B13-'[4]30'!AD13)</f>
        <v>1.7999999999999972</v>
      </c>
      <c r="AF13" s="45">
        <f>IF($B13-'[4]30'!AE13&lt;0,0,$B13-'[4]30'!AE13)</f>
        <v>1.7999999999999972</v>
      </c>
      <c r="AG13" s="45">
        <f>IF($B13-'[4]30'!AF13&lt;0,0,$B13-'[4]30'!AF13)</f>
        <v>1.7999999999999972</v>
      </c>
      <c r="AH13" s="47">
        <v>52.4</v>
      </c>
      <c r="AI13" s="48">
        <f t="shared" si="2"/>
        <v>2.5</v>
      </c>
      <c r="AJ13" s="49">
        <f t="shared" si="3"/>
        <v>0.5</v>
      </c>
      <c r="AL13" s="170"/>
      <c r="AM13" s="28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</row>
    <row r="14" spans="1:89" x14ac:dyDescent="0.25">
      <c r="A14" s="44" t="s">
        <v>20</v>
      </c>
      <c r="B14" s="207">
        <v>50.5</v>
      </c>
      <c r="C14" s="45">
        <f>IF($B14-'[4]30'!B14&lt;0,0,$B14-'[4]30'!B14)</f>
        <v>0.10000000000000142</v>
      </c>
      <c r="D14" s="45">
        <f>IF($B14-'[4]30'!C14&lt;0,0,$B14-'[4]30'!C14)</f>
        <v>0.10000000000000142</v>
      </c>
      <c r="E14" s="45">
        <f>IF($B14-'[4]30'!D14&lt;0,0,$B14-'[4]30'!D14)</f>
        <v>0.10000000000000142</v>
      </c>
      <c r="F14" s="45">
        <f>IF($B14-'[4]30'!E14&lt;0,0,$B14-'[4]30'!E14)</f>
        <v>0.10000000000000142</v>
      </c>
      <c r="G14" s="45">
        <f>IF($B14-'[4]30'!F14&lt;0,0,$B14-'[4]30'!F14)</f>
        <v>0.10000000000000142</v>
      </c>
      <c r="H14" s="45">
        <f>IF($B14-'[4]30'!G14&lt;0,0,$B14-'[4]30'!G14)</f>
        <v>0.10000000000000142</v>
      </c>
      <c r="I14" s="45">
        <f>IF($B14-'[4]30'!H14&lt;0,0,$B14-'[4]30'!H14)</f>
        <v>0.10000000000000142</v>
      </c>
      <c r="J14" s="45">
        <f>IF($B14-'[4]30'!I14&lt;0,0,$B14-'[4]30'!I14)</f>
        <v>0.10000000000000142</v>
      </c>
      <c r="K14" s="45">
        <f>IF($B14-'[4]30'!J14&lt;0,0,$B14-'[4]30'!J14)</f>
        <v>0.10000000000000142</v>
      </c>
      <c r="L14" s="45">
        <f>IF($B14-'[4]30'!K14&lt;0,0,$B14-'[4]30'!K14)</f>
        <v>0.10000000000000142</v>
      </c>
      <c r="M14" s="45">
        <f>IF($B14-'[4]30'!L14&lt;0,0,$B14-'[4]30'!L14)</f>
        <v>0.10000000000000142</v>
      </c>
      <c r="N14" s="45">
        <f>IF($B14-'[4]30'!M14&lt;0,0,$B14-'[4]30'!M14)</f>
        <v>0.10000000000000142</v>
      </c>
      <c r="O14" s="45">
        <f>IF($B14-'[4]30'!N14&lt;0,0,$B14-'[4]30'!N14)</f>
        <v>0.10000000000000142</v>
      </c>
      <c r="P14" s="45">
        <f>IF($B14-'[4]30'!O14&lt;0,0,$B14-'[4]30'!O14)</f>
        <v>0.10000000000000142</v>
      </c>
      <c r="Q14" s="45">
        <f>IF($B14-'[4]30'!P14&lt;0,0,$B14-'[4]30'!P14)</f>
        <v>0.20000000000000284</v>
      </c>
      <c r="R14" s="45">
        <f>IF($B14-'[4]30'!Q14&lt;0,0,$B14-'[4]30'!Q14)</f>
        <v>0.20000000000000284</v>
      </c>
      <c r="S14" s="45">
        <f>IF($B14-'[4]30'!R14&lt;0,0,$B14-'[4]30'!R14)</f>
        <v>0.10000000000000142</v>
      </c>
      <c r="T14" s="45">
        <f>IF($B14-'[4]30'!S14&lt;0,0,$B14-'[4]30'!S14)</f>
        <v>0.10000000000000142</v>
      </c>
      <c r="U14" s="45">
        <f>IF($B14-'[4]30'!T14&lt;0,0,$B14-'[4]30'!T14)</f>
        <v>0.10000000000000142</v>
      </c>
      <c r="V14" s="45">
        <f>IF($B14-'[4]30'!U14&lt;0,0,$B14-'[4]30'!U14)</f>
        <v>0.10000000000000142</v>
      </c>
      <c r="W14" s="45">
        <f>IF($B14-'[4]30'!V14&lt;0,0,$B14-'[4]30'!V14)</f>
        <v>0.10000000000000142</v>
      </c>
      <c r="X14" s="45">
        <f>IF($B14-'[4]30'!W14&lt;0,0,$B14-'[4]30'!W14)</f>
        <v>0.10000000000000142</v>
      </c>
      <c r="Y14" s="45">
        <f>IF($B14-'[4]30'!X14&lt;0,0,$B14-'[4]30'!X14)</f>
        <v>0.10000000000000142</v>
      </c>
      <c r="Z14" s="45">
        <f>IF($B14-'[4]30'!Y14&lt;0,0,$B14-'[4]30'!Y14)</f>
        <v>0.10000000000000142</v>
      </c>
      <c r="AA14" s="45">
        <f>IF($B14-'[4]30'!Z14&lt;0,0,$B14-'[4]30'!Z14)</f>
        <v>0.10000000000000142</v>
      </c>
      <c r="AB14" s="45">
        <f>IF($B14-'[4]30'!AA14&lt;0,0,$B14-'[4]30'!AA14)</f>
        <v>0.10000000000000142</v>
      </c>
      <c r="AC14" s="45">
        <f>IF($B14-'[4]30'!AB14&lt;0,0,$B14-'[4]30'!AB14)</f>
        <v>0.10000000000000142</v>
      </c>
      <c r="AD14" s="45">
        <f>IF($B14-'[4]30'!AC14&lt;0,0,$B14-'[4]30'!AC14)</f>
        <v>0</v>
      </c>
      <c r="AE14" s="45">
        <f>IF($B14-'[4]30'!AD14&lt;0,0,$B14-'[4]30'!AD14)</f>
        <v>0</v>
      </c>
      <c r="AF14" s="45">
        <f>IF($B14-'[4]30'!AE14&lt;0,0,$B14-'[4]30'!AE14)</f>
        <v>0</v>
      </c>
      <c r="AG14" s="45">
        <f>IF($B14-'[4]30'!AF14&lt;0,0,$B14-'[4]30'!AF14)</f>
        <v>0</v>
      </c>
      <c r="AH14" s="51">
        <v>50</v>
      </c>
      <c r="AI14" s="48">
        <f t="shared" si="2"/>
        <v>0.20000000000000284</v>
      </c>
      <c r="AJ14" s="49">
        <f t="shared" si="3"/>
        <v>0</v>
      </c>
      <c r="AL14" s="170"/>
      <c r="AM14" s="28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</row>
    <row r="15" spans="1:89" x14ac:dyDescent="0.25">
      <c r="A15" s="44" t="s">
        <v>21</v>
      </c>
      <c r="B15" s="207">
        <v>33.5</v>
      </c>
      <c r="C15" s="45">
        <f>IF($B15-'[4]30'!B15&lt;0,0,$B15-'[4]30'!B15)</f>
        <v>1.6000000000000014</v>
      </c>
      <c r="D15" s="45">
        <f>IF($B15-'[4]30'!C15&lt;0,0,$B15-'[4]30'!C15)</f>
        <v>1.6000000000000014</v>
      </c>
      <c r="E15" s="45">
        <f>IF($B15-'[4]30'!D15&lt;0,0,$B15-'[4]30'!D15)</f>
        <v>1.6000000000000014</v>
      </c>
      <c r="F15" s="45">
        <f>IF($B15-'[4]30'!E15&lt;0,0,$B15-'[4]30'!E15)</f>
        <v>1.6000000000000014</v>
      </c>
      <c r="G15" s="45">
        <f>IF($B15-'[4]30'!F15&lt;0,0,$B15-'[4]30'!F15)</f>
        <v>1.6000000000000014</v>
      </c>
      <c r="H15" s="45">
        <f>IF($B15-'[4]30'!G15&lt;0,0,$B15-'[4]30'!G15)</f>
        <v>1.6000000000000014</v>
      </c>
      <c r="I15" s="45">
        <f>IF($B15-'[4]30'!H15&lt;0,0,$B15-'[4]30'!H15)</f>
        <v>1.6000000000000014</v>
      </c>
      <c r="J15" s="45">
        <f>IF($B15-'[4]30'!I15&lt;0,0,$B15-'[4]30'!I15)</f>
        <v>1.6000000000000014</v>
      </c>
      <c r="K15" s="45">
        <f>IF($B15-'[4]30'!J15&lt;0,0,$B15-'[4]30'!J15)</f>
        <v>1.6000000000000014</v>
      </c>
      <c r="L15" s="45">
        <f>IF($B15-'[4]30'!K15&lt;0,0,$B15-'[4]30'!K15)</f>
        <v>1.6000000000000014</v>
      </c>
      <c r="M15" s="45">
        <f>IF($B15-'[4]30'!L15&lt;0,0,$B15-'[4]30'!L15)</f>
        <v>1.6000000000000014</v>
      </c>
      <c r="N15" s="45">
        <f>IF($B15-'[4]30'!M15&lt;0,0,$B15-'[4]30'!M15)</f>
        <v>1.6000000000000014</v>
      </c>
      <c r="O15" s="45">
        <f>IF($B15-'[4]30'!N15&lt;0,0,$B15-'[4]30'!N15)</f>
        <v>1.6000000000000014</v>
      </c>
      <c r="P15" s="45">
        <f>IF($B15-'[4]30'!O15&lt;0,0,$B15-'[4]30'!O15)</f>
        <v>1.6000000000000014</v>
      </c>
      <c r="Q15" s="45">
        <f>IF($B15-'[4]30'!P15&lt;0,0,$B15-'[4]30'!P15)</f>
        <v>1.6000000000000014</v>
      </c>
      <c r="R15" s="45">
        <f>IF($B15-'[4]30'!Q15&lt;0,0,$B15-'[4]30'!Q15)</f>
        <v>1.6000000000000014</v>
      </c>
      <c r="S15" s="45">
        <f>IF($B15-'[4]30'!R15&lt;0,0,$B15-'[4]30'!R15)</f>
        <v>1.6000000000000014</v>
      </c>
      <c r="T15" s="45">
        <f>IF($B15-'[4]30'!S15&lt;0,0,$B15-'[4]30'!S15)</f>
        <v>1.6000000000000014</v>
      </c>
      <c r="U15" s="45">
        <f>IF($B15-'[4]30'!T15&lt;0,0,$B15-'[4]30'!T15)</f>
        <v>1.6000000000000014</v>
      </c>
      <c r="V15" s="45">
        <f>IF($B15-'[4]30'!U15&lt;0,0,$B15-'[4]30'!U15)</f>
        <v>1.6000000000000014</v>
      </c>
      <c r="W15" s="45">
        <f>IF($B15-'[4]30'!V15&lt;0,0,$B15-'[4]30'!V15)</f>
        <v>0</v>
      </c>
      <c r="X15" s="45">
        <f>IF($B15-'[4]30'!W15&lt;0,0,$B15-'[4]30'!W15)</f>
        <v>0</v>
      </c>
      <c r="Y15" s="45">
        <f>IF($B15-'[4]30'!X15&lt;0,0,$B15-'[4]30'!X15)</f>
        <v>0</v>
      </c>
      <c r="Z15" s="45">
        <f>IF($B15-'[4]30'!Y15&lt;0,0,$B15-'[4]30'!Y15)</f>
        <v>0</v>
      </c>
      <c r="AA15" s="45">
        <f>IF($B15-'[4]30'!Z15&lt;0,0,$B15-'[4]30'!Z15)</f>
        <v>0</v>
      </c>
      <c r="AB15" s="45">
        <f>IF($B15-'[4]30'!AA15&lt;0,0,$B15-'[4]30'!AA15)</f>
        <v>0</v>
      </c>
      <c r="AC15" s="45">
        <f>IF($B15-'[4]30'!AB15&lt;0,0,$B15-'[4]30'!AB15)</f>
        <v>0</v>
      </c>
      <c r="AD15" s="45">
        <f>IF($B15-'[4]30'!AC15&lt;0,0,$B15-'[4]30'!AC15)</f>
        <v>1.6000000000000014</v>
      </c>
      <c r="AE15" s="45">
        <f>IF($B15-'[4]30'!AD15&lt;0,0,$B15-'[4]30'!AD15)</f>
        <v>1.6000000000000014</v>
      </c>
      <c r="AF15" s="45">
        <f>IF($B15-'[4]30'!AE15&lt;0,0,$B15-'[4]30'!AE15)</f>
        <v>1.6000000000000014</v>
      </c>
      <c r="AG15" s="45">
        <f>IF($B15-'[4]30'!AF15&lt;0,0,$B15-'[4]30'!AF15)</f>
        <v>1.6000000000000014</v>
      </c>
      <c r="AH15" s="51">
        <v>45</v>
      </c>
      <c r="AI15" s="48">
        <f t="shared" si="2"/>
        <v>1.6000000000000014</v>
      </c>
      <c r="AJ15" s="49">
        <f t="shared" si="3"/>
        <v>0</v>
      </c>
      <c r="AL15" s="170"/>
      <c r="AM15" s="28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</row>
    <row r="16" spans="1:89" x14ac:dyDescent="0.25">
      <c r="A16" s="44" t="s">
        <v>254</v>
      </c>
      <c r="B16" s="207">
        <v>32</v>
      </c>
      <c r="C16" s="45">
        <f>IF($B16-'[4]30'!B16&lt;0,0,$B16-'[4]30'!B16)</f>
        <v>0</v>
      </c>
      <c r="D16" s="45">
        <f>IF($B16-'[4]30'!C16&lt;0,0,$B16-'[4]30'!C16)</f>
        <v>0</v>
      </c>
      <c r="E16" s="45">
        <f>IF($B16-'[4]30'!D16&lt;0,0,$B16-'[4]30'!D16)</f>
        <v>0</v>
      </c>
      <c r="F16" s="45">
        <f>IF($B16-'[4]30'!E16&lt;0,0,$B16-'[4]30'!E16)</f>
        <v>0</v>
      </c>
      <c r="G16" s="45">
        <f>IF($B16-'[4]30'!F16&lt;0,0,$B16-'[4]30'!F16)</f>
        <v>0</v>
      </c>
      <c r="H16" s="45">
        <f>IF($B16-'[4]30'!G16&lt;0,0,$B16-'[4]30'!G16)</f>
        <v>0</v>
      </c>
      <c r="I16" s="45">
        <f>IF($B16-'[4]30'!H16&lt;0,0,$B16-'[4]30'!H16)</f>
        <v>0</v>
      </c>
      <c r="J16" s="45">
        <f>IF($B16-'[4]30'!I16&lt;0,0,$B16-'[4]30'!I16)</f>
        <v>0</v>
      </c>
      <c r="K16" s="45">
        <f>IF($B16-'[4]30'!J16&lt;0,0,$B16-'[4]30'!J16)</f>
        <v>0</v>
      </c>
      <c r="L16" s="45">
        <f>IF($B16-'[4]30'!K16&lt;0,0,$B16-'[4]30'!K16)</f>
        <v>0</v>
      </c>
      <c r="M16" s="45">
        <f>IF($B16-'[4]30'!L16&lt;0,0,$B16-'[4]30'!L16)</f>
        <v>0</v>
      </c>
      <c r="N16" s="45">
        <f>IF($B16-'[4]30'!M16&lt;0,0,$B16-'[4]30'!M16)</f>
        <v>0</v>
      </c>
      <c r="O16" s="45">
        <f>IF($B16-'[4]30'!N16&lt;0,0,$B16-'[4]30'!N16)</f>
        <v>0</v>
      </c>
      <c r="P16" s="45">
        <f>IF($B16-'[4]30'!O16&lt;0,0,$B16-'[4]30'!O16)</f>
        <v>0</v>
      </c>
      <c r="Q16" s="45">
        <f>IF($B16-'[4]30'!P16&lt;0,0,$B16-'[4]30'!P16)</f>
        <v>0</v>
      </c>
      <c r="R16" s="45">
        <f>IF($B16-'[4]30'!Q16&lt;0,0,$B16-'[4]30'!Q16)</f>
        <v>0</v>
      </c>
      <c r="S16" s="45">
        <f>IF($B16-'[4]30'!R16&lt;0,0,$B16-'[4]30'!R16)</f>
        <v>0</v>
      </c>
      <c r="T16" s="45">
        <f>IF($B16-'[4]30'!S16&lt;0,0,$B16-'[4]30'!S16)</f>
        <v>0</v>
      </c>
      <c r="U16" s="45">
        <f>IF($B16-'[4]30'!T16&lt;0,0,$B16-'[4]30'!T16)</f>
        <v>0</v>
      </c>
      <c r="V16" s="45">
        <f>IF($B16-'[4]30'!U16&lt;0,0,$B16-'[4]30'!U16)</f>
        <v>0</v>
      </c>
      <c r="W16" s="45">
        <f>IF($B16-'[4]30'!V16&lt;0,0,$B16-'[4]30'!V16)</f>
        <v>0</v>
      </c>
      <c r="X16" s="45">
        <f>IF($B16-'[4]30'!W16&lt;0,0,$B16-'[4]30'!W16)</f>
        <v>0</v>
      </c>
      <c r="Y16" s="45">
        <f>IF($B16-'[4]30'!X16&lt;0,0,$B16-'[4]30'!X16)</f>
        <v>0</v>
      </c>
      <c r="Z16" s="45">
        <f>IF($B16-'[4]30'!Y16&lt;0,0,$B16-'[4]30'!Y16)</f>
        <v>0</v>
      </c>
      <c r="AA16" s="45">
        <f>IF($B16-'[4]30'!Z16&lt;0,0,$B16-'[4]30'!Z16)</f>
        <v>0</v>
      </c>
      <c r="AB16" s="45">
        <f>IF($B16-'[4]30'!AA16&lt;0,0,$B16-'[4]30'!AA16)</f>
        <v>0</v>
      </c>
      <c r="AC16" s="45">
        <f>IF($B16-'[4]30'!AB16&lt;0,0,$B16-'[4]30'!AB16)</f>
        <v>0</v>
      </c>
      <c r="AD16" s="45">
        <f>IF($B16-'[4]30'!AC16&lt;0,0,$B16-'[4]30'!AC16)</f>
        <v>1</v>
      </c>
      <c r="AE16" s="45">
        <f>IF($B16-'[4]30'!AD16&lt;0,0,$B16-'[4]30'!AD16)</f>
        <v>1</v>
      </c>
      <c r="AF16" s="45">
        <f>IF($B16-'[4]30'!AE16&lt;0,0,$B16-'[4]30'!AE16)</f>
        <v>1</v>
      </c>
      <c r="AG16" s="45">
        <f>IF($B16-'[4]30'!AF16&lt;0,0,$B16-'[4]30'!AF16)</f>
        <v>1</v>
      </c>
      <c r="AH16" s="51">
        <v>44</v>
      </c>
      <c r="AI16" s="48">
        <f>MAX(C16:AH16)</f>
        <v>44</v>
      </c>
      <c r="AJ16" s="49">
        <f>MIN(C16:AH16)</f>
        <v>0</v>
      </c>
      <c r="AL16" s="170"/>
      <c r="AM16" s="28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</row>
    <row r="17" spans="1:89" x14ac:dyDescent="0.25">
      <c r="A17" s="44" t="s">
        <v>22</v>
      </c>
      <c r="B17" s="207">
        <v>20.5</v>
      </c>
      <c r="C17" s="45">
        <f>IF($B17-'[4]30'!B17&lt;0,0,$B17-'[4]30'!B17)</f>
        <v>0</v>
      </c>
      <c r="D17" s="45">
        <f>IF($B17-'[4]30'!C17&lt;0,0,$B17-'[4]30'!C17)</f>
        <v>0</v>
      </c>
      <c r="E17" s="45">
        <f>IF($B17-'[4]30'!D17&lt;0,0,$B17-'[4]30'!D17)</f>
        <v>0</v>
      </c>
      <c r="F17" s="45">
        <f>IF($B17-'[4]30'!E17&lt;0,0,$B17-'[4]30'!E17)</f>
        <v>0</v>
      </c>
      <c r="G17" s="45">
        <f>IF($B17-'[4]30'!F17&lt;0,0,$B17-'[4]30'!F17)</f>
        <v>0</v>
      </c>
      <c r="H17" s="45">
        <f>IF($B17-'[4]30'!G17&lt;0,0,$B17-'[4]30'!G17)</f>
        <v>0</v>
      </c>
      <c r="I17" s="45">
        <f>IF($B17-'[4]30'!H17&lt;0,0,$B17-'[4]30'!H17)</f>
        <v>0.5</v>
      </c>
      <c r="J17" s="45">
        <f>IF($B17-'[4]30'!I17&lt;0,0,$B17-'[4]30'!I17)</f>
        <v>0.5</v>
      </c>
      <c r="K17" s="45">
        <f>IF($B17-'[4]30'!J17&lt;0,0,$B17-'[4]30'!J17)</f>
        <v>0.5</v>
      </c>
      <c r="L17" s="45">
        <f>IF($B17-'[4]30'!K17&lt;0,0,$B17-'[4]30'!K17)</f>
        <v>0.5</v>
      </c>
      <c r="M17" s="45">
        <f>IF($B17-'[4]30'!L17&lt;0,0,$B17-'[4]30'!L17)</f>
        <v>0.5</v>
      </c>
      <c r="N17" s="45">
        <f>IF($B17-'[4]30'!M17&lt;0,0,$B17-'[4]30'!M17)</f>
        <v>0.5</v>
      </c>
      <c r="O17" s="45">
        <f>IF($B17-'[4]30'!N17&lt;0,0,$B17-'[4]30'!N17)</f>
        <v>0.5</v>
      </c>
      <c r="P17" s="45">
        <f>IF($B17-'[4]30'!O17&lt;0,0,$B17-'[4]30'!O17)</f>
        <v>0.5</v>
      </c>
      <c r="Q17" s="45">
        <f>IF($B17-'[4]30'!P17&lt;0,0,$B17-'[4]30'!P17)</f>
        <v>0.5</v>
      </c>
      <c r="R17" s="45">
        <f>IF($B17-'[4]30'!Q17&lt;0,0,$B17-'[4]30'!Q17)</f>
        <v>0.5</v>
      </c>
      <c r="S17" s="45">
        <f>IF($B17-'[4]30'!R17&lt;0,0,$B17-'[4]30'!R17)</f>
        <v>0.5</v>
      </c>
      <c r="T17" s="45">
        <f>IF($B17-'[4]30'!S17&lt;0,0,$B17-'[4]30'!S17)</f>
        <v>0.5</v>
      </c>
      <c r="U17" s="45">
        <f>IF($B17-'[4]30'!T17&lt;0,0,$B17-'[4]30'!T17)</f>
        <v>0.5</v>
      </c>
      <c r="V17" s="45">
        <f>IF($B17-'[4]30'!U17&lt;0,0,$B17-'[4]30'!U17)</f>
        <v>0.5</v>
      </c>
      <c r="W17" s="45">
        <f>IF($B17-'[4]30'!V17&lt;0,0,$B17-'[4]30'!V17)</f>
        <v>0</v>
      </c>
      <c r="X17" s="45">
        <f>IF($B17-'[4]30'!W17&lt;0,0,$B17-'[4]30'!W17)</f>
        <v>0</v>
      </c>
      <c r="Y17" s="45">
        <f>IF($B17-'[4]30'!X17&lt;0,0,$B17-'[4]30'!X17)</f>
        <v>0</v>
      </c>
      <c r="Z17" s="45">
        <f>IF($B17-'[4]30'!Y17&lt;0,0,$B17-'[4]30'!Y17)</f>
        <v>0</v>
      </c>
      <c r="AA17" s="45">
        <f>IF($B17-'[4]30'!Z17&lt;0,0,$B17-'[4]30'!Z17)</f>
        <v>0</v>
      </c>
      <c r="AB17" s="45">
        <f>IF($B17-'[4]30'!AA17&lt;0,0,$B17-'[4]30'!AA17)</f>
        <v>0</v>
      </c>
      <c r="AC17" s="45">
        <f>IF($B17-'[4]30'!AB17&lt;0,0,$B17-'[4]30'!AB17)</f>
        <v>0</v>
      </c>
      <c r="AD17" s="45">
        <f>IF($B17-'[4]30'!AC17&lt;0,0,$B17-'[4]30'!AC17)</f>
        <v>0</v>
      </c>
      <c r="AE17" s="45">
        <f>IF($B17-'[4]30'!AD17&lt;0,0,$B17-'[4]30'!AD17)</f>
        <v>0</v>
      </c>
      <c r="AF17" s="45">
        <f>IF($B17-'[4]30'!AE17&lt;0,0,$B17-'[4]30'!AE17)</f>
        <v>0</v>
      </c>
      <c r="AG17" s="45">
        <f>IF($B17-'[4]30'!AF17&lt;0,0,$B17-'[4]30'!AF17)</f>
        <v>0</v>
      </c>
      <c r="AH17" s="51">
        <v>42</v>
      </c>
      <c r="AI17" s="48">
        <f t="shared" si="2"/>
        <v>0.5</v>
      </c>
      <c r="AJ17" s="49">
        <f t="shared" si="3"/>
        <v>0</v>
      </c>
      <c r="AL17" s="170"/>
      <c r="AM17" s="28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</row>
    <row r="18" spans="1:89" x14ac:dyDescent="0.25">
      <c r="A18" s="44" t="s">
        <v>255</v>
      </c>
      <c r="B18" s="45">
        <v>20.5</v>
      </c>
      <c r="C18" s="45">
        <f>IF($B18-'[4]30'!B18&lt;0,0,$B18-'[4]30'!B18)</f>
        <v>0.5</v>
      </c>
      <c r="D18" s="45">
        <f>IF($B18-'[4]30'!C18&lt;0,0,$B18-'[4]30'!C18)</f>
        <v>0.5</v>
      </c>
      <c r="E18" s="45">
        <f>IF($B18-'[4]30'!D18&lt;0,0,$B18-'[4]30'!D18)</f>
        <v>0.5</v>
      </c>
      <c r="F18" s="45">
        <f>IF($B18-'[4]30'!E18&lt;0,0,$B18-'[4]30'!E18)</f>
        <v>0.5</v>
      </c>
      <c r="G18" s="45">
        <f>IF($B18-'[4]30'!F18&lt;0,0,$B18-'[4]30'!F18)</f>
        <v>0.5</v>
      </c>
      <c r="H18" s="45">
        <f>IF($B18-'[4]30'!G18&lt;0,0,$B18-'[4]30'!G18)</f>
        <v>0.5</v>
      </c>
      <c r="I18" s="45">
        <f>IF($B18-'[4]30'!H18&lt;0,0,$B18-'[4]30'!H18)</f>
        <v>0.5</v>
      </c>
      <c r="J18" s="45">
        <f>IF($B18-'[4]30'!I18&lt;0,0,$B18-'[4]30'!I18)</f>
        <v>0.5</v>
      </c>
      <c r="K18" s="45">
        <f>IF($B18-'[4]30'!J18&lt;0,0,$B18-'[4]30'!J18)</f>
        <v>0.5</v>
      </c>
      <c r="L18" s="45">
        <f>IF($B18-'[4]30'!K18&lt;0,0,$B18-'[4]30'!K18)</f>
        <v>0.5</v>
      </c>
      <c r="M18" s="45">
        <f>IF($B18-'[4]30'!L18&lt;0,0,$B18-'[4]30'!L18)</f>
        <v>0.5</v>
      </c>
      <c r="N18" s="45">
        <f>IF($B18-'[4]30'!M18&lt;0,0,$B18-'[4]30'!M18)</f>
        <v>0.5</v>
      </c>
      <c r="O18" s="45">
        <f>IF($B18-'[4]30'!N18&lt;0,0,$B18-'[4]30'!N18)</f>
        <v>0.5</v>
      </c>
      <c r="P18" s="45">
        <f>IF($B18-'[4]30'!O18&lt;0,0,$B18-'[4]30'!O18)</f>
        <v>0.5</v>
      </c>
      <c r="Q18" s="45">
        <f>IF($B18-'[4]30'!P18&lt;0,0,$B18-'[4]30'!P18)</f>
        <v>0.5</v>
      </c>
      <c r="R18" s="45">
        <f>IF($B18-'[4]30'!Q18&lt;0,0,$B18-'[4]30'!Q18)</f>
        <v>0.5</v>
      </c>
      <c r="S18" s="45">
        <f>IF($B18-'[4]30'!R18&lt;0,0,$B18-'[4]30'!R18)</f>
        <v>0.5</v>
      </c>
      <c r="T18" s="45">
        <f>IF($B18-'[4]30'!S18&lt;0,0,$B18-'[4]30'!S18)</f>
        <v>0.5</v>
      </c>
      <c r="U18" s="45">
        <f>IF($B18-'[4]30'!T18&lt;0,0,$B18-'[4]30'!T18)</f>
        <v>0.5</v>
      </c>
      <c r="V18" s="45">
        <f>IF($B18-'[4]30'!U18&lt;0,0,$B18-'[4]30'!U18)</f>
        <v>0.5</v>
      </c>
      <c r="W18" s="45">
        <f>IF($B18-'[4]30'!V18&lt;0,0,$B18-'[4]30'!V18)</f>
        <v>0.5</v>
      </c>
      <c r="X18" s="45">
        <f>IF($B18-'[4]30'!W18&lt;0,0,$B18-'[4]30'!W18)</f>
        <v>0.5</v>
      </c>
      <c r="Y18" s="45">
        <f>IF($B18-'[4]30'!X18&lt;0,0,$B18-'[4]30'!X18)</f>
        <v>0.5</v>
      </c>
      <c r="Z18" s="45">
        <f>IF($B18-'[4]30'!Y18&lt;0,0,$B18-'[4]30'!Y18)</f>
        <v>0.5</v>
      </c>
      <c r="AA18" s="45">
        <f>IF($B18-'[4]30'!Z18&lt;0,0,$B18-'[4]30'!Z18)</f>
        <v>0.5</v>
      </c>
      <c r="AB18" s="45">
        <f>IF($B18-'[4]30'!AA18&lt;0,0,$B18-'[4]30'!AA18)</f>
        <v>0.5</v>
      </c>
      <c r="AC18" s="45">
        <f>IF($B18-'[4]30'!AB18&lt;0,0,$B18-'[4]30'!AB18)</f>
        <v>0.5</v>
      </c>
      <c r="AD18" s="45">
        <f>IF($B18-'[4]30'!AC18&lt;0,0,$B18-'[4]30'!AC18)</f>
        <v>0.5</v>
      </c>
      <c r="AE18" s="45">
        <f>IF($B18-'[4]30'!AD18&lt;0,0,$B18-'[4]30'!AD18)</f>
        <v>0.5</v>
      </c>
      <c r="AF18" s="45">
        <f>IF($B18-'[4]30'!AE18&lt;0,0,$B18-'[4]30'!AE18)</f>
        <v>0.5</v>
      </c>
      <c r="AG18" s="45">
        <f>IF($B18-'[4]30'!AF18&lt;0,0,$B18-'[4]30'!AF18)</f>
        <v>0.5</v>
      </c>
      <c r="AH18" s="51">
        <v>38.46</v>
      </c>
      <c r="AI18" s="48">
        <f t="shared" si="2"/>
        <v>0.5</v>
      </c>
      <c r="AJ18" s="49">
        <f t="shared" si="3"/>
        <v>0.5</v>
      </c>
      <c r="AL18" s="170"/>
      <c r="AM18" s="28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</row>
    <row r="19" spans="1:89" x14ac:dyDescent="0.25">
      <c r="A19" s="44" t="s">
        <v>256</v>
      </c>
      <c r="B19" s="45">
        <v>22</v>
      </c>
      <c r="C19" s="45">
        <f>IF($B19-'[4]30'!B19&lt;0,0,$B19-'[4]30'!B19)</f>
        <v>0</v>
      </c>
      <c r="D19" s="45">
        <f>IF($B19-'[4]30'!C19&lt;0,0,$B19-'[4]30'!C19)</f>
        <v>0</v>
      </c>
      <c r="E19" s="45">
        <f>IF($B19-'[4]30'!D19&lt;0,0,$B19-'[4]30'!D19)</f>
        <v>0</v>
      </c>
      <c r="F19" s="45">
        <f>IF($B19-'[4]30'!E19&lt;0,0,$B19-'[4]30'!E19)</f>
        <v>0</v>
      </c>
      <c r="G19" s="45">
        <f>IF($B19-'[4]30'!F19&lt;0,0,$B19-'[4]30'!F19)</f>
        <v>0</v>
      </c>
      <c r="H19" s="45">
        <f>IF($B19-'[4]30'!G19&lt;0,0,$B19-'[4]30'!G19)</f>
        <v>0</v>
      </c>
      <c r="I19" s="45">
        <f>IF($B19-'[4]30'!H19&lt;0,0,$B19-'[4]30'!H19)</f>
        <v>0</v>
      </c>
      <c r="J19" s="45">
        <f>IF($B19-'[4]30'!I19&lt;0,0,$B19-'[4]30'!I19)</f>
        <v>0</v>
      </c>
      <c r="K19" s="45">
        <f>IF($B19-'[4]30'!J19&lt;0,0,$B19-'[4]30'!J19)</f>
        <v>0</v>
      </c>
      <c r="L19" s="45">
        <f>IF($B19-'[4]30'!K19&lt;0,0,$B19-'[4]30'!K19)</f>
        <v>0</v>
      </c>
      <c r="M19" s="45">
        <f>IF($B19-'[4]30'!L19&lt;0,0,$B19-'[4]30'!L19)</f>
        <v>0</v>
      </c>
      <c r="N19" s="45">
        <f>IF($B19-'[4]30'!M19&lt;0,0,$B19-'[4]30'!M19)</f>
        <v>0</v>
      </c>
      <c r="O19" s="45">
        <f>IF($B19-'[4]30'!N19&lt;0,0,$B19-'[4]30'!N19)</f>
        <v>0</v>
      </c>
      <c r="P19" s="45">
        <f>IF($B19-'[4]30'!O19&lt;0,0,$B19-'[4]30'!O19)</f>
        <v>0</v>
      </c>
      <c r="Q19" s="45">
        <f>IF($B19-'[4]30'!P19&lt;0,0,$B19-'[4]30'!P19)</f>
        <v>0</v>
      </c>
      <c r="R19" s="45">
        <f>IF($B19-'[4]30'!Q19&lt;0,0,$B19-'[4]30'!Q19)</f>
        <v>0</v>
      </c>
      <c r="S19" s="45">
        <f>IF($B19-'[4]30'!R19&lt;0,0,$B19-'[4]30'!R19)</f>
        <v>0</v>
      </c>
      <c r="T19" s="45">
        <f>IF($B19-'[4]30'!S19&lt;0,0,$B19-'[4]30'!S19)</f>
        <v>0</v>
      </c>
      <c r="U19" s="45">
        <f>IF($B19-'[4]30'!T19&lt;0,0,$B19-'[4]30'!T19)</f>
        <v>0</v>
      </c>
      <c r="V19" s="45">
        <f>IF($B19-'[4]30'!U19&lt;0,0,$B19-'[4]30'!U19)</f>
        <v>0</v>
      </c>
      <c r="W19" s="45">
        <f>IF($B19-'[4]30'!V19&lt;0,0,$B19-'[4]30'!V19)</f>
        <v>0</v>
      </c>
      <c r="X19" s="45">
        <f>IF($B19-'[4]30'!W19&lt;0,0,$B19-'[4]30'!W19)</f>
        <v>0</v>
      </c>
      <c r="Y19" s="45">
        <f>IF($B19-'[4]30'!X19&lt;0,0,$B19-'[4]30'!X19)</f>
        <v>0</v>
      </c>
      <c r="Z19" s="45">
        <f>IF($B19-'[4]30'!Y19&lt;0,0,$B19-'[4]30'!Y19)</f>
        <v>0</v>
      </c>
      <c r="AA19" s="45">
        <f>IF($B19-'[4]30'!Z19&lt;0,0,$B19-'[4]30'!Z19)</f>
        <v>0</v>
      </c>
      <c r="AB19" s="45">
        <f>IF($B19-'[4]30'!AA19&lt;0,0,$B19-'[4]30'!AA19)</f>
        <v>0</v>
      </c>
      <c r="AC19" s="45">
        <f>IF($B19-'[4]30'!AB19&lt;0,0,$B19-'[4]30'!AB19)</f>
        <v>0</v>
      </c>
      <c r="AD19" s="45">
        <f>IF($B19-'[4]30'!AC19&lt;0,0,$B19-'[4]30'!AC19)</f>
        <v>0</v>
      </c>
      <c r="AE19" s="45">
        <f>IF($B19-'[4]30'!AD19&lt;0,0,$B19-'[4]30'!AD19)</f>
        <v>0</v>
      </c>
      <c r="AF19" s="45">
        <f>IF($B19-'[4]30'!AE19&lt;0,0,$B19-'[4]30'!AE19)</f>
        <v>0</v>
      </c>
      <c r="AG19" s="45">
        <f>IF($B19-'[4]30'!AF19&lt;0,0,$B19-'[4]30'!AF19)</f>
        <v>0</v>
      </c>
      <c r="AH19" s="51">
        <v>36</v>
      </c>
      <c r="AI19" s="48">
        <f t="shared" si="2"/>
        <v>0</v>
      </c>
      <c r="AJ19" s="49">
        <f t="shared" si="3"/>
        <v>0</v>
      </c>
      <c r="AL19" s="170"/>
      <c r="AM19" s="28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</row>
    <row r="20" spans="1:89" x14ac:dyDescent="0.25">
      <c r="A20" s="44" t="s">
        <v>23</v>
      </c>
      <c r="B20" s="45">
        <v>22</v>
      </c>
      <c r="C20" s="45">
        <f>IF($B20-'[4]30'!B20&lt;0,0,$B20-'[4]30'!B20)</f>
        <v>17</v>
      </c>
      <c r="D20" s="45">
        <f>IF($B20-'[4]30'!C20&lt;0,0,$B20-'[4]30'!C20)</f>
        <v>17</v>
      </c>
      <c r="E20" s="45">
        <f>IF($B20-'[4]30'!D20&lt;0,0,$B20-'[4]30'!D20)</f>
        <v>22</v>
      </c>
      <c r="F20" s="45">
        <f>IF($B20-'[4]30'!E20&lt;0,0,$B20-'[4]30'!E20)</f>
        <v>22</v>
      </c>
      <c r="G20" s="45">
        <f>IF($B20-'[4]30'!F20&lt;0,0,$B20-'[4]30'!F20)</f>
        <v>22</v>
      </c>
      <c r="H20" s="45">
        <f>IF($B20-'[4]30'!G20&lt;0,0,$B20-'[4]30'!G20)</f>
        <v>22</v>
      </c>
      <c r="I20" s="45">
        <f>IF($B20-'[4]30'!H20&lt;0,0,$B20-'[4]30'!H20)</f>
        <v>17</v>
      </c>
      <c r="J20" s="45">
        <f>IF($B20-'[4]30'!I20&lt;0,0,$B20-'[4]30'!I20)</f>
        <v>17</v>
      </c>
      <c r="K20" s="45">
        <f>IF($B20-'[4]30'!J20&lt;0,0,$B20-'[4]30'!J20)</f>
        <v>17</v>
      </c>
      <c r="L20" s="45">
        <f>IF($B20-'[4]30'!K20&lt;0,0,$B20-'[4]30'!K20)</f>
        <v>12</v>
      </c>
      <c r="M20" s="45">
        <f>IF($B20-'[4]30'!L20&lt;0,0,$B20-'[4]30'!L20)</f>
        <v>7</v>
      </c>
      <c r="N20" s="45">
        <f>IF($B20-'[4]30'!M20&lt;0,0,$B20-'[4]30'!M20)</f>
        <v>7</v>
      </c>
      <c r="O20" s="45">
        <f>IF($B20-'[4]30'!N20&lt;0,0,$B20-'[4]30'!N20)</f>
        <v>7</v>
      </c>
      <c r="P20" s="45">
        <f>IF($B20-'[4]30'!O20&lt;0,0,$B20-'[4]30'!O20)</f>
        <v>7</v>
      </c>
      <c r="Q20" s="45">
        <f>IF($B20-'[4]30'!P20&lt;0,0,$B20-'[4]30'!P20)</f>
        <v>7</v>
      </c>
      <c r="R20" s="45">
        <f>IF($B20-'[4]30'!Q20&lt;0,0,$B20-'[4]30'!Q20)</f>
        <v>7</v>
      </c>
      <c r="S20" s="45">
        <f>IF($B20-'[4]30'!R20&lt;0,0,$B20-'[4]30'!R20)</f>
        <v>7</v>
      </c>
      <c r="T20" s="45">
        <f>IF($B20-'[4]30'!S20&lt;0,0,$B20-'[4]30'!S20)</f>
        <v>12.1</v>
      </c>
      <c r="U20" s="45">
        <f>IF($B20-'[4]30'!T20&lt;0,0,$B20-'[4]30'!T20)</f>
        <v>12.1</v>
      </c>
      <c r="V20" s="45">
        <f>IF($B20-'[4]30'!U20&lt;0,0,$B20-'[4]30'!U20)</f>
        <v>12.1</v>
      </c>
      <c r="W20" s="45">
        <f>IF($B20-'[4]30'!V20&lt;0,0,$B20-'[4]30'!V20)</f>
        <v>0</v>
      </c>
      <c r="X20" s="45">
        <f>IF($B20-'[4]30'!W20&lt;0,0,$B20-'[4]30'!W20)</f>
        <v>0</v>
      </c>
      <c r="Y20" s="45">
        <f>IF($B20-'[4]30'!X20&lt;0,0,$B20-'[4]30'!X20)</f>
        <v>0</v>
      </c>
      <c r="Z20" s="45">
        <f>IF($B20-'[4]30'!Y20&lt;0,0,$B20-'[4]30'!Y20)</f>
        <v>0</v>
      </c>
      <c r="AA20" s="45">
        <f>IF($B20-'[4]30'!Z20&lt;0,0,$B20-'[4]30'!Z20)</f>
        <v>0</v>
      </c>
      <c r="AB20" s="45">
        <f>IF($B20-'[4]30'!AA20&lt;0,0,$B20-'[4]30'!AA20)</f>
        <v>0</v>
      </c>
      <c r="AC20" s="45">
        <f>IF($B20-'[4]30'!AB20&lt;0,0,$B20-'[4]30'!AB20)</f>
        <v>0</v>
      </c>
      <c r="AD20" s="45">
        <f>IF($B20-'[4]30'!AC20&lt;0,0,$B20-'[4]30'!AC20)</f>
        <v>0</v>
      </c>
      <c r="AE20" s="45">
        <f>IF($B20-'[4]30'!AD20&lt;0,0,$B20-'[4]30'!AD20)</f>
        <v>0</v>
      </c>
      <c r="AF20" s="45">
        <f>IF($B20-'[4]30'!AE20&lt;0,0,$B20-'[4]30'!AE20)</f>
        <v>0</v>
      </c>
      <c r="AG20" s="45">
        <f>IF($B20-'[4]30'!AF20&lt;0,0,$B20-'[4]30'!AF20)</f>
        <v>6.3000000000000007</v>
      </c>
      <c r="AH20" s="52">
        <v>30</v>
      </c>
      <c r="AI20" s="48">
        <f t="shared" si="2"/>
        <v>22</v>
      </c>
      <c r="AJ20" s="49">
        <f t="shared" si="3"/>
        <v>0</v>
      </c>
      <c r="AL20" s="170"/>
      <c r="AM20" s="28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</row>
    <row r="21" spans="1:89" x14ac:dyDescent="0.25">
      <c r="A21" s="44" t="s">
        <v>24</v>
      </c>
      <c r="B21" s="45">
        <v>18.8</v>
      </c>
      <c r="C21" s="45">
        <f>IF($B21-'[4]30'!B21&lt;0,0,$B21-'[4]30'!B21)</f>
        <v>1</v>
      </c>
      <c r="D21" s="45">
        <f>IF($B21-'[4]30'!C21&lt;0,0,$B21-'[4]30'!C21)</f>
        <v>1</v>
      </c>
      <c r="E21" s="45">
        <f>IF($B21-'[4]30'!D21&lt;0,0,$B21-'[4]30'!D21)</f>
        <v>1</v>
      </c>
      <c r="F21" s="45">
        <f>IF($B21-'[4]30'!E21&lt;0,0,$B21-'[4]30'!E21)</f>
        <v>1</v>
      </c>
      <c r="G21" s="45">
        <f>IF($B21-'[4]30'!F21&lt;0,0,$B21-'[4]30'!F21)</f>
        <v>1</v>
      </c>
      <c r="H21" s="45">
        <f>IF($B21-'[4]30'!G21&lt;0,0,$B21-'[4]30'!G21)</f>
        <v>1</v>
      </c>
      <c r="I21" s="45">
        <f>IF($B21-'[4]30'!H21&lt;0,0,$B21-'[4]30'!H21)</f>
        <v>1</v>
      </c>
      <c r="J21" s="45">
        <f>IF($B21-'[4]30'!I21&lt;0,0,$B21-'[4]30'!I21)</f>
        <v>1</v>
      </c>
      <c r="K21" s="45">
        <f>IF($B21-'[4]30'!J21&lt;0,0,$B21-'[4]30'!J21)</f>
        <v>1</v>
      </c>
      <c r="L21" s="45">
        <f>IF($B21-'[4]30'!K21&lt;0,0,$B21-'[4]30'!K21)</f>
        <v>1</v>
      </c>
      <c r="M21" s="45">
        <f>IF($B21-'[4]30'!L21&lt;0,0,$B21-'[4]30'!L21)</f>
        <v>1</v>
      </c>
      <c r="N21" s="45">
        <f>IF($B21-'[4]30'!M21&lt;0,0,$B21-'[4]30'!M21)</f>
        <v>1</v>
      </c>
      <c r="O21" s="45">
        <f>IF($B21-'[4]30'!N21&lt;0,0,$B21-'[4]30'!N21)</f>
        <v>1</v>
      </c>
      <c r="P21" s="45">
        <f>IF($B21-'[4]30'!O21&lt;0,0,$B21-'[4]30'!O21)</f>
        <v>1</v>
      </c>
      <c r="Q21" s="45">
        <f>IF($B21-'[4]30'!P21&lt;0,0,$B21-'[4]30'!P21)</f>
        <v>1</v>
      </c>
      <c r="R21" s="45">
        <f>IF($B21-'[4]30'!Q21&lt;0,0,$B21-'[4]30'!Q21)</f>
        <v>1</v>
      </c>
      <c r="S21" s="45">
        <f>IF($B21-'[4]30'!R21&lt;0,0,$B21-'[4]30'!R21)</f>
        <v>1</v>
      </c>
      <c r="T21" s="45">
        <f>IF($B21-'[4]30'!S21&lt;0,0,$B21-'[4]30'!S21)</f>
        <v>1</v>
      </c>
      <c r="U21" s="45">
        <f>IF($B21-'[4]30'!T21&lt;0,0,$B21-'[4]30'!T21)</f>
        <v>1</v>
      </c>
      <c r="V21" s="45">
        <f>IF($B21-'[4]30'!U21&lt;0,0,$B21-'[4]30'!U21)</f>
        <v>1</v>
      </c>
      <c r="W21" s="45">
        <f>IF($B21-'[4]30'!V21&lt;0,0,$B21-'[4]30'!V21)</f>
        <v>1</v>
      </c>
      <c r="X21" s="45">
        <f>IF($B21-'[4]30'!W21&lt;0,0,$B21-'[4]30'!W21)</f>
        <v>1</v>
      </c>
      <c r="Y21" s="45">
        <f>IF($B21-'[4]30'!X21&lt;0,0,$B21-'[4]30'!X21)</f>
        <v>1</v>
      </c>
      <c r="Z21" s="45">
        <f>IF($B21-'[4]30'!Y21&lt;0,0,$B21-'[4]30'!Y21)</f>
        <v>1</v>
      </c>
      <c r="AA21" s="45">
        <f>IF($B21-'[4]30'!Z21&lt;0,0,$B21-'[4]30'!Z21)</f>
        <v>1</v>
      </c>
      <c r="AB21" s="45">
        <f>IF($B21-'[4]30'!AA21&lt;0,0,$B21-'[4]30'!AA21)</f>
        <v>1</v>
      </c>
      <c r="AC21" s="45">
        <f>IF($B21-'[4]30'!AB21&lt;0,0,$B21-'[4]30'!AB21)</f>
        <v>1</v>
      </c>
      <c r="AD21" s="45">
        <f>IF($B21-'[4]30'!AC21&lt;0,0,$B21-'[4]30'!AC21)</f>
        <v>1</v>
      </c>
      <c r="AE21" s="45">
        <f>IF($B21-'[4]30'!AD21&lt;0,0,$B21-'[4]30'!AD21)</f>
        <v>1</v>
      </c>
      <c r="AF21" s="45">
        <f>IF($B21-'[4]30'!AE21&lt;0,0,$B21-'[4]30'!AE21)</f>
        <v>1</v>
      </c>
      <c r="AG21" s="45">
        <f>IF($B21-'[4]30'!AF21&lt;0,0,$B21-'[4]30'!AF21)</f>
        <v>1</v>
      </c>
      <c r="AH21" s="51">
        <v>24.2</v>
      </c>
      <c r="AI21" s="48">
        <f t="shared" si="2"/>
        <v>1</v>
      </c>
      <c r="AJ21" s="49">
        <f t="shared" si="3"/>
        <v>1</v>
      </c>
      <c r="AL21" s="170"/>
      <c r="AM21" s="28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</row>
    <row r="22" spans="1:89" x14ac:dyDescent="0.25">
      <c r="A22" s="44" t="s">
        <v>257</v>
      </c>
      <c r="B22" s="45">
        <v>20</v>
      </c>
      <c r="C22" s="45">
        <f>IF($B22-'[4]30'!B22&lt;0,0,$B22-'[4]30'!B22)</f>
        <v>0</v>
      </c>
      <c r="D22" s="45">
        <f>IF($B22-'[4]30'!C22&lt;0,0,$B22-'[4]30'!C22)</f>
        <v>0</v>
      </c>
      <c r="E22" s="45">
        <f>IF($B22-'[4]30'!D22&lt;0,0,$B22-'[4]30'!D22)</f>
        <v>0</v>
      </c>
      <c r="F22" s="45">
        <f>IF($B22-'[4]30'!E22&lt;0,0,$B22-'[4]30'!E22)</f>
        <v>0</v>
      </c>
      <c r="G22" s="45">
        <f>IF($B22-'[4]30'!F22&lt;0,0,$B22-'[4]30'!F22)</f>
        <v>0</v>
      </c>
      <c r="H22" s="45">
        <f>IF($B22-'[4]30'!G22&lt;0,0,$B22-'[4]30'!G22)</f>
        <v>0</v>
      </c>
      <c r="I22" s="45">
        <f>IF($B22-'[4]30'!H22&lt;0,0,$B22-'[4]30'!H22)</f>
        <v>0</v>
      </c>
      <c r="J22" s="45">
        <f>IF($B22-'[4]30'!I22&lt;0,0,$B22-'[4]30'!I22)</f>
        <v>0</v>
      </c>
      <c r="K22" s="45">
        <f>IF($B22-'[4]30'!J22&lt;0,0,$B22-'[4]30'!J22)</f>
        <v>0</v>
      </c>
      <c r="L22" s="45">
        <f>IF($B22-'[4]30'!K22&lt;0,0,$B22-'[4]30'!K22)</f>
        <v>0</v>
      </c>
      <c r="M22" s="45">
        <f>IF($B22-'[4]30'!L22&lt;0,0,$B22-'[4]30'!L22)</f>
        <v>0</v>
      </c>
      <c r="N22" s="45">
        <f>IF($B22-'[4]30'!M22&lt;0,0,$B22-'[4]30'!M22)</f>
        <v>0</v>
      </c>
      <c r="O22" s="45">
        <f>IF($B22-'[4]30'!N22&lt;0,0,$B22-'[4]30'!N22)</f>
        <v>0</v>
      </c>
      <c r="P22" s="45">
        <f>IF($B22-'[4]30'!O22&lt;0,0,$B22-'[4]30'!O22)</f>
        <v>0</v>
      </c>
      <c r="Q22" s="45">
        <f>IF($B22-'[4]30'!P22&lt;0,0,$B22-'[4]30'!P22)</f>
        <v>0</v>
      </c>
      <c r="R22" s="45">
        <f>IF($B22-'[4]30'!Q22&lt;0,0,$B22-'[4]30'!Q22)</f>
        <v>0</v>
      </c>
      <c r="S22" s="45">
        <f>IF($B22-'[4]30'!R22&lt;0,0,$B22-'[4]30'!R22)</f>
        <v>0</v>
      </c>
      <c r="T22" s="45">
        <f>IF($B22-'[4]30'!S22&lt;0,0,$B22-'[4]30'!S22)</f>
        <v>0</v>
      </c>
      <c r="U22" s="45">
        <f>IF($B22-'[4]30'!T22&lt;0,0,$B22-'[4]30'!T22)</f>
        <v>0</v>
      </c>
      <c r="V22" s="45">
        <f>IF($B22-'[4]30'!U22&lt;0,0,$B22-'[4]30'!U22)</f>
        <v>0</v>
      </c>
      <c r="W22" s="45">
        <f>IF($B22-'[4]30'!V22&lt;0,0,$B22-'[4]30'!V22)</f>
        <v>0</v>
      </c>
      <c r="X22" s="45">
        <f>IF($B22-'[4]30'!W22&lt;0,0,$B22-'[4]30'!W22)</f>
        <v>0</v>
      </c>
      <c r="Y22" s="45">
        <f>IF($B22-'[4]30'!X22&lt;0,0,$B22-'[4]30'!X22)</f>
        <v>0</v>
      </c>
      <c r="Z22" s="45">
        <f>IF($B22-'[4]30'!Y22&lt;0,0,$B22-'[4]30'!Y22)</f>
        <v>0</v>
      </c>
      <c r="AA22" s="45">
        <f>IF($B22-'[4]30'!Z22&lt;0,0,$B22-'[4]30'!Z22)</f>
        <v>0</v>
      </c>
      <c r="AB22" s="45">
        <f>IF($B22-'[4]30'!AA22&lt;0,0,$B22-'[4]30'!AA22)</f>
        <v>0</v>
      </c>
      <c r="AC22" s="45">
        <f>IF($B22-'[4]30'!AB22&lt;0,0,$B22-'[4]30'!AB22)</f>
        <v>0</v>
      </c>
      <c r="AD22" s="45">
        <f>IF($B22-'[4]30'!AC22&lt;0,0,$B22-'[4]30'!AC22)</f>
        <v>0</v>
      </c>
      <c r="AE22" s="45">
        <f>IF($B22-'[4]30'!AD22&lt;0,0,$B22-'[4]30'!AD22)</f>
        <v>0</v>
      </c>
      <c r="AF22" s="45">
        <f>IF($B22-'[4]30'!AE22&lt;0,0,$B22-'[4]30'!AE22)</f>
        <v>0</v>
      </c>
      <c r="AG22" s="45">
        <f>IF($B22-'[4]30'!AF22&lt;0,0,$B22-'[4]30'!AF22)</f>
        <v>0</v>
      </c>
      <c r="AH22" s="51">
        <v>28</v>
      </c>
      <c r="AI22" s="48">
        <f t="shared" si="2"/>
        <v>0</v>
      </c>
      <c r="AJ22" s="49">
        <f t="shared" si="3"/>
        <v>0</v>
      </c>
      <c r="AL22" s="170"/>
      <c r="AM22" s="28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</row>
    <row r="23" spans="1:89" x14ac:dyDescent="0.25">
      <c r="A23" s="44" t="s">
        <v>25</v>
      </c>
      <c r="B23" s="45">
        <v>23</v>
      </c>
      <c r="C23" s="45">
        <f>IF($B23-'[4]30'!B23&lt;0,0,$B23-'[4]30'!B23)</f>
        <v>18.5</v>
      </c>
      <c r="D23" s="45">
        <f>IF($B23-'[4]30'!C23&lt;0,0,$B23-'[4]30'!C23)</f>
        <v>18.5</v>
      </c>
      <c r="E23" s="45">
        <f>IF($B23-'[4]30'!D23&lt;0,0,$B23-'[4]30'!D23)</f>
        <v>23</v>
      </c>
      <c r="F23" s="45">
        <f>IF($B23-'[4]30'!E23&lt;0,0,$B23-'[4]30'!E23)</f>
        <v>23</v>
      </c>
      <c r="G23" s="45">
        <f>IF($B23-'[4]30'!F23&lt;0,0,$B23-'[4]30'!F23)</f>
        <v>23</v>
      </c>
      <c r="H23" s="45">
        <f>IF($B23-'[4]30'!G23&lt;0,0,$B23-'[4]30'!G23)</f>
        <v>23</v>
      </c>
      <c r="I23" s="45">
        <f>IF($B23-'[4]30'!H23&lt;0,0,$B23-'[4]30'!H23)</f>
        <v>18</v>
      </c>
      <c r="J23" s="45">
        <f>IF($B23-'[4]30'!I23&lt;0,0,$B23-'[4]30'!I23)</f>
        <v>18</v>
      </c>
      <c r="K23" s="45">
        <f>IF($B23-'[4]30'!J23&lt;0,0,$B23-'[4]30'!J23)</f>
        <v>18</v>
      </c>
      <c r="L23" s="45">
        <f>IF($B23-'[4]30'!K23&lt;0,0,$B23-'[4]30'!K23)</f>
        <v>13</v>
      </c>
      <c r="M23" s="45">
        <f>IF($B23-'[4]30'!L23&lt;0,0,$B23-'[4]30'!L23)</f>
        <v>10</v>
      </c>
      <c r="N23" s="45">
        <f>IF($B23-'[4]30'!M23&lt;0,0,$B23-'[4]30'!M23)</f>
        <v>10</v>
      </c>
      <c r="O23" s="45">
        <f>IF($B23-'[4]30'!N23&lt;0,0,$B23-'[4]30'!N23)</f>
        <v>10</v>
      </c>
      <c r="P23" s="45">
        <f>IF($B23-'[4]30'!O23&lt;0,0,$B23-'[4]30'!O23)</f>
        <v>10</v>
      </c>
      <c r="Q23" s="45">
        <f>IF($B23-'[4]30'!P23&lt;0,0,$B23-'[4]30'!P23)</f>
        <v>10</v>
      </c>
      <c r="R23" s="45">
        <f>IF($B23-'[4]30'!Q23&lt;0,0,$B23-'[4]30'!Q23)</f>
        <v>10</v>
      </c>
      <c r="S23" s="45">
        <f>IF($B23-'[4]30'!R23&lt;0,0,$B23-'[4]30'!R23)</f>
        <v>10</v>
      </c>
      <c r="T23" s="45">
        <f>IF($B23-'[4]30'!S23&lt;0,0,$B23-'[4]30'!S23)</f>
        <v>14.7</v>
      </c>
      <c r="U23" s="45">
        <f>IF($B23-'[4]30'!T23&lt;0,0,$B23-'[4]30'!T23)</f>
        <v>14.7</v>
      </c>
      <c r="V23" s="45">
        <f>IF($B23-'[4]30'!U23&lt;0,0,$B23-'[4]30'!U23)</f>
        <v>14.7</v>
      </c>
      <c r="W23" s="45">
        <f>IF($B23-'[4]30'!V23&lt;0,0,$B23-'[4]30'!V23)</f>
        <v>2</v>
      </c>
      <c r="X23" s="45">
        <f>IF($B23-'[4]30'!W23&lt;0,0,$B23-'[4]30'!W23)</f>
        <v>0</v>
      </c>
      <c r="Y23" s="45">
        <f>IF($B23-'[4]30'!X23&lt;0,0,$B23-'[4]30'!X23)</f>
        <v>0</v>
      </c>
      <c r="Z23" s="45">
        <f>IF($B23-'[4]30'!Y23&lt;0,0,$B23-'[4]30'!Y23)</f>
        <v>0</v>
      </c>
      <c r="AA23" s="45">
        <f>IF($B23-'[4]30'!Z23&lt;0,0,$B23-'[4]30'!Z23)</f>
        <v>0</v>
      </c>
      <c r="AB23" s="45">
        <f>IF($B23-'[4]30'!AA23&lt;0,0,$B23-'[4]30'!AA23)</f>
        <v>0</v>
      </c>
      <c r="AC23" s="45">
        <f>IF($B23-'[4]30'!AB23&lt;0,0,$B23-'[4]30'!AB23)</f>
        <v>0</v>
      </c>
      <c r="AD23" s="45">
        <f>IF($B23-'[4]30'!AC23&lt;0,0,$B23-'[4]30'!AC23)</f>
        <v>4.6999999999999993</v>
      </c>
      <c r="AE23" s="45">
        <f>IF($B23-'[4]30'!AD23&lt;0,0,$B23-'[4]30'!AD23)</f>
        <v>4.6999999999999993</v>
      </c>
      <c r="AF23" s="45">
        <f>IF($B23-'[4]30'!AE23&lt;0,0,$B23-'[4]30'!AE23)</f>
        <v>4.6999999999999993</v>
      </c>
      <c r="AG23" s="45">
        <f>IF($B23-'[4]30'!AF23&lt;0,0,$B23-'[4]30'!AF23)</f>
        <v>11.2</v>
      </c>
      <c r="AH23" s="52">
        <v>30</v>
      </c>
      <c r="AI23" s="48">
        <f t="shared" si="2"/>
        <v>23</v>
      </c>
      <c r="AJ23" s="49">
        <f t="shared" si="3"/>
        <v>0</v>
      </c>
      <c r="AL23" s="170"/>
      <c r="AM23" s="28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</row>
    <row r="24" spans="1:89" x14ac:dyDescent="0.25">
      <c r="A24" s="44" t="s">
        <v>26</v>
      </c>
      <c r="B24" s="45">
        <v>22.3</v>
      </c>
      <c r="C24" s="45">
        <f>IF($B24-'[4]30'!B24&lt;0,0,$B24-'[4]30'!B24)</f>
        <v>1.8000000000000007</v>
      </c>
      <c r="D24" s="45">
        <f>IF($B24-'[4]30'!C24&lt;0,0,$B24-'[4]30'!C24)</f>
        <v>1.8000000000000007</v>
      </c>
      <c r="E24" s="45">
        <f>IF($B24-'[4]30'!D24&lt;0,0,$B24-'[4]30'!D24)</f>
        <v>1.8000000000000007</v>
      </c>
      <c r="F24" s="45">
        <f>IF($B24-'[4]30'!E24&lt;0,0,$B24-'[4]30'!E24)</f>
        <v>1.8000000000000007</v>
      </c>
      <c r="G24" s="45">
        <f>IF($B24-'[4]30'!F24&lt;0,0,$B24-'[4]30'!F24)</f>
        <v>1.8000000000000007</v>
      </c>
      <c r="H24" s="45">
        <f>IF($B24-'[4]30'!G24&lt;0,0,$B24-'[4]30'!G24)</f>
        <v>1.8000000000000007</v>
      </c>
      <c r="I24" s="45">
        <f>IF($B24-'[4]30'!H24&lt;0,0,$B24-'[4]30'!H24)</f>
        <v>1.8000000000000007</v>
      </c>
      <c r="J24" s="45">
        <f>IF($B24-'[4]30'!I24&lt;0,0,$B24-'[4]30'!I24)</f>
        <v>1.8000000000000007</v>
      </c>
      <c r="K24" s="45">
        <f>IF($B24-'[4]30'!J24&lt;0,0,$B24-'[4]30'!J24)</f>
        <v>1.8000000000000007</v>
      </c>
      <c r="L24" s="45">
        <f>IF($B24-'[4]30'!K24&lt;0,0,$B24-'[4]30'!K24)</f>
        <v>1.8000000000000007</v>
      </c>
      <c r="M24" s="45">
        <f>IF($B24-'[4]30'!L24&lt;0,0,$B24-'[4]30'!L24)</f>
        <v>1.8000000000000007</v>
      </c>
      <c r="N24" s="45">
        <f>IF($B24-'[4]30'!M24&lt;0,0,$B24-'[4]30'!M24)</f>
        <v>1.8000000000000007</v>
      </c>
      <c r="O24" s="45">
        <f>IF($B24-'[4]30'!N24&lt;0,0,$B24-'[4]30'!N24)</f>
        <v>1.8000000000000007</v>
      </c>
      <c r="P24" s="45">
        <f>IF($B24-'[4]30'!O24&lt;0,0,$B24-'[4]30'!O24)</f>
        <v>1.8000000000000007</v>
      </c>
      <c r="Q24" s="45">
        <f>IF($B24-'[4]30'!P24&lt;0,0,$B24-'[4]30'!P24)</f>
        <v>1.8000000000000007</v>
      </c>
      <c r="R24" s="45">
        <f>IF($B24-'[4]30'!Q24&lt;0,0,$B24-'[4]30'!Q24)</f>
        <v>1.8000000000000007</v>
      </c>
      <c r="S24" s="45">
        <f>IF($B24-'[4]30'!R24&lt;0,0,$B24-'[4]30'!R24)</f>
        <v>1.8000000000000007</v>
      </c>
      <c r="T24" s="45">
        <f>IF($B24-'[4]30'!S24&lt;0,0,$B24-'[4]30'!S24)</f>
        <v>1.8000000000000007</v>
      </c>
      <c r="U24" s="45">
        <f>IF($B24-'[4]30'!T24&lt;0,0,$B24-'[4]30'!T24)</f>
        <v>1.8000000000000007</v>
      </c>
      <c r="V24" s="45">
        <f>IF($B24-'[4]30'!U24&lt;0,0,$B24-'[4]30'!U24)</f>
        <v>1.8000000000000007</v>
      </c>
      <c r="W24" s="45">
        <f>IF($B24-'[4]30'!V24&lt;0,0,$B24-'[4]30'!V24)</f>
        <v>3.8000000000000007</v>
      </c>
      <c r="X24" s="45">
        <f>IF($B24-'[4]30'!W24&lt;0,0,$B24-'[4]30'!W24)</f>
        <v>3.8000000000000007</v>
      </c>
      <c r="Y24" s="45">
        <f>IF($B24-'[4]30'!X24&lt;0,0,$B24-'[4]30'!X24)</f>
        <v>3.8000000000000007</v>
      </c>
      <c r="Z24" s="45">
        <f>IF($B24-'[4]30'!Y24&lt;0,0,$B24-'[4]30'!Y24)</f>
        <v>3.8000000000000007</v>
      </c>
      <c r="AA24" s="45">
        <f>IF($B24-'[4]30'!Z24&lt;0,0,$B24-'[4]30'!Z24)</f>
        <v>3.8000000000000007</v>
      </c>
      <c r="AB24" s="45">
        <f>IF($B24-'[4]30'!AA24&lt;0,0,$B24-'[4]30'!AA24)</f>
        <v>3.8000000000000007</v>
      </c>
      <c r="AC24" s="45">
        <f>IF($B24-'[4]30'!AB24&lt;0,0,$B24-'[4]30'!AB24)</f>
        <v>3.8000000000000007</v>
      </c>
      <c r="AD24" s="45">
        <f>IF($B24-'[4]30'!AC24&lt;0,0,$B24-'[4]30'!AC24)</f>
        <v>2.9000000000000021</v>
      </c>
      <c r="AE24" s="45">
        <f>IF($B24-'[4]30'!AD24&lt;0,0,$B24-'[4]30'!AD24)</f>
        <v>2.9000000000000021</v>
      </c>
      <c r="AF24" s="45">
        <f>IF($B24-'[4]30'!AE24&lt;0,0,$B24-'[4]30'!AE24)</f>
        <v>2.9000000000000021</v>
      </c>
      <c r="AG24" s="45">
        <f>IF($B24-'[4]30'!AF24&lt;0,0,$B24-'[4]30'!AF24)</f>
        <v>2.9000000000000021</v>
      </c>
      <c r="AH24" s="51">
        <v>25</v>
      </c>
      <c r="AI24" s="48">
        <f t="shared" si="2"/>
        <v>3.8000000000000007</v>
      </c>
      <c r="AJ24" s="49">
        <f t="shared" si="3"/>
        <v>1.8000000000000007</v>
      </c>
      <c r="AL24" s="170"/>
      <c r="AM24" s="28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</row>
    <row r="25" spans="1:89" x14ac:dyDescent="0.25">
      <c r="A25" s="44" t="s">
        <v>27</v>
      </c>
      <c r="B25" s="45">
        <v>0</v>
      </c>
      <c r="C25" s="45">
        <f>IF($B25-'[4]30'!B25&lt;0,0,$B25-'[4]30'!B25)</f>
        <v>0</v>
      </c>
      <c r="D25" s="45">
        <f>IF($B25-'[4]30'!C25&lt;0,0,$B25-'[4]30'!C25)</f>
        <v>0</v>
      </c>
      <c r="E25" s="45">
        <f>IF($B25-'[4]30'!D25&lt;0,0,$B25-'[4]30'!D25)</f>
        <v>0</v>
      </c>
      <c r="F25" s="45">
        <f>IF($B25-'[4]30'!E25&lt;0,0,$B25-'[4]30'!E25)</f>
        <v>0</v>
      </c>
      <c r="G25" s="45">
        <f>IF($B25-'[4]30'!F25&lt;0,0,$B25-'[4]30'!F25)</f>
        <v>0</v>
      </c>
      <c r="H25" s="45">
        <f>IF($B25-'[4]30'!G25&lt;0,0,$B25-'[4]30'!G25)</f>
        <v>0</v>
      </c>
      <c r="I25" s="45">
        <f>IF($B25-'[4]30'!H25&lt;0,0,$B25-'[4]30'!H25)</f>
        <v>0</v>
      </c>
      <c r="J25" s="45">
        <f>IF($B25-'[4]30'!I25&lt;0,0,$B25-'[4]30'!I25)</f>
        <v>0</v>
      </c>
      <c r="K25" s="45">
        <f>IF($B25-'[4]30'!J25&lt;0,0,$B25-'[4]30'!J25)</f>
        <v>0</v>
      </c>
      <c r="L25" s="45">
        <f>IF($B25-'[4]30'!K25&lt;0,0,$B25-'[4]30'!K25)</f>
        <v>0</v>
      </c>
      <c r="M25" s="45">
        <f>IF($B25-'[4]30'!L25&lt;0,0,$B25-'[4]30'!L25)</f>
        <v>0</v>
      </c>
      <c r="N25" s="45">
        <f>IF($B25-'[4]30'!M25&lt;0,0,$B25-'[4]30'!M25)</f>
        <v>0</v>
      </c>
      <c r="O25" s="45">
        <f>IF($B25-'[4]30'!N25&lt;0,0,$B25-'[4]30'!N25)</f>
        <v>0</v>
      </c>
      <c r="P25" s="45">
        <f>IF($B25-'[4]30'!O25&lt;0,0,$B25-'[4]30'!O25)</f>
        <v>0</v>
      </c>
      <c r="Q25" s="45">
        <f>IF($B25-'[4]30'!P25&lt;0,0,$B25-'[4]30'!P25)</f>
        <v>0</v>
      </c>
      <c r="R25" s="45">
        <f>IF($B25-'[4]30'!Q25&lt;0,0,$B25-'[4]30'!Q25)</f>
        <v>0</v>
      </c>
      <c r="S25" s="45">
        <f>IF($B25-'[4]30'!R25&lt;0,0,$B25-'[4]30'!R25)</f>
        <v>0</v>
      </c>
      <c r="T25" s="45">
        <f>IF($B25-'[4]30'!S25&lt;0,0,$B25-'[4]30'!S25)</f>
        <v>0</v>
      </c>
      <c r="U25" s="45">
        <f>IF($B25-'[4]30'!T25&lt;0,0,$B25-'[4]30'!T25)</f>
        <v>0</v>
      </c>
      <c r="V25" s="45">
        <f>IF($B25-'[4]30'!U25&lt;0,0,$B25-'[4]30'!U25)</f>
        <v>0</v>
      </c>
      <c r="W25" s="45">
        <f>IF($B25-'[4]30'!V25&lt;0,0,$B25-'[4]30'!V25)</f>
        <v>0</v>
      </c>
      <c r="X25" s="45">
        <f>IF($B25-'[4]30'!W25&lt;0,0,$B25-'[4]30'!W25)</f>
        <v>0</v>
      </c>
      <c r="Y25" s="45">
        <f>IF($B25-'[4]30'!X25&lt;0,0,$B25-'[4]30'!X25)</f>
        <v>0</v>
      </c>
      <c r="Z25" s="45">
        <f>IF($B25-'[4]30'!Y25&lt;0,0,$B25-'[4]30'!Y25)</f>
        <v>0</v>
      </c>
      <c r="AA25" s="45">
        <f>IF($B25-'[4]30'!Z25&lt;0,0,$B25-'[4]30'!Z25)</f>
        <v>0</v>
      </c>
      <c r="AB25" s="45">
        <f>IF($B25-'[4]30'!AA25&lt;0,0,$B25-'[4]30'!AA25)</f>
        <v>0</v>
      </c>
      <c r="AC25" s="45">
        <f>IF($B25-'[4]30'!AB25&lt;0,0,$B25-'[4]30'!AB25)</f>
        <v>0</v>
      </c>
      <c r="AD25" s="45">
        <f>IF($B25-'[4]30'!AC25&lt;0,0,$B25-'[4]30'!AC25)</f>
        <v>0</v>
      </c>
      <c r="AE25" s="45">
        <f>IF($B25-'[4]30'!AD25&lt;0,0,$B25-'[4]30'!AD25)</f>
        <v>0</v>
      </c>
      <c r="AF25" s="45">
        <f>IF($B25-'[4]30'!AE25&lt;0,0,$B25-'[4]30'!AE25)</f>
        <v>0</v>
      </c>
      <c r="AG25" s="45">
        <f>IF($B25-'[4]30'!AF25&lt;0,0,$B25-'[4]30'!AF25)</f>
        <v>0</v>
      </c>
      <c r="AH25" s="51">
        <v>25</v>
      </c>
      <c r="AI25" s="48">
        <f t="shared" si="2"/>
        <v>0</v>
      </c>
      <c r="AJ25" s="49">
        <f t="shared" si="3"/>
        <v>0</v>
      </c>
      <c r="AL25" s="170"/>
      <c r="AM25" s="28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</row>
    <row r="26" spans="1:89" x14ac:dyDescent="0.25">
      <c r="A26" s="44" t="s">
        <v>28</v>
      </c>
      <c r="B26" s="45">
        <v>19</v>
      </c>
      <c r="C26" s="45">
        <f>IF($B26-'[4]30'!B26&lt;0,0,$B26-'[4]30'!B26)</f>
        <v>0</v>
      </c>
      <c r="D26" s="45">
        <f>IF($B26-'[4]30'!C26&lt;0,0,$B26-'[4]30'!C26)</f>
        <v>0</v>
      </c>
      <c r="E26" s="45">
        <f>IF($B26-'[4]30'!D26&lt;0,0,$B26-'[4]30'!D26)</f>
        <v>0</v>
      </c>
      <c r="F26" s="45">
        <f>IF($B26-'[4]30'!E26&lt;0,0,$B26-'[4]30'!E26)</f>
        <v>0</v>
      </c>
      <c r="G26" s="45">
        <f>IF($B26-'[4]30'!F26&lt;0,0,$B26-'[4]30'!F26)</f>
        <v>0</v>
      </c>
      <c r="H26" s="45">
        <f>IF($B26-'[4]30'!G26&lt;0,0,$B26-'[4]30'!G26)</f>
        <v>0</v>
      </c>
      <c r="I26" s="45">
        <f>IF($B26-'[4]30'!H26&lt;0,0,$B26-'[4]30'!H26)</f>
        <v>0</v>
      </c>
      <c r="J26" s="45">
        <f>IF($B26-'[4]30'!I26&lt;0,0,$B26-'[4]30'!I26)</f>
        <v>0</v>
      </c>
      <c r="K26" s="45">
        <f>IF($B26-'[4]30'!J26&lt;0,0,$B26-'[4]30'!J26)</f>
        <v>0</v>
      </c>
      <c r="L26" s="45">
        <f>IF($B26-'[4]30'!K26&lt;0,0,$B26-'[4]30'!K26)</f>
        <v>0</v>
      </c>
      <c r="M26" s="45">
        <f>IF($B26-'[4]30'!L26&lt;0,0,$B26-'[4]30'!L26)</f>
        <v>0</v>
      </c>
      <c r="N26" s="45">
        <f>IF($B26-'[4]30'!M26&lt;0,0,$B26-'[4]30'!M26)</f>
        <v>0</v>
      </c>
      <c r="O26" s="45">
        <f>IF($B26-'[4]30'!N26&lt;0,0,$B26-'[4]30'!N26)</f>
        <v>0</v>
      </c>
      <c r="P26" s="45">
        <f>IF($B26-'[4]30'!O26&lt;0,0,$B26-'[4]30'!O26)</f>
        <v>0</v>
      </c>
      <c r="Q26" s="45">
        <f>IF($B26-'[4]30'!P26&lt;0,0,$B26-'[4]30'!P26)</f>
        <v>0</v>
      </c>
      <c r="R26" s="45">
        <f>IF($B26-'[4]30'!Q26&lt;0,0,$B26-'[4]30'!Q26)</f>
        <v>0</v>
      </c>
      <c r="S26" s="45">
        <f>IF($B26-'[4]30'!R26&lt;0,0,$B26-'[4]30'!R26)</f>
        <v>0</v>
      </c>
      <c r="T26" s="45">
        <f>IF($B26-'[4]30'!S26&lt;0,0,$B26-'[4]30'!S26)</f>
        <v>0</v>
      </c>
      <c r="U26" s="45">
        <f>IF($B26-'[4]30'!T26&lt;0,0,$B26-'[4]30'!T26)</f>
        <v>0</v>
      </c>
      <c r="V26" s="45">
        <f>IF($B26-'[4]30'!U26&lt;0,0,$B26-'[4]30'!U26)</f>
        <v>0</v>
      </c>
      <c r="W26" s="45">
        <f>IF($B26-'[4]30'!V26&lt;0,0,$B26-'[4]30'!V26)</f>
        <v>0</v>
      </c>
      <c r="X26" s="45">
        <f>IF($B26-'[4]30'!W26&lt;0,0,$B26-'[4]30'!W26)</f>
        <v>0</v>
      </c>
      <c r="Y26" s="45">
        <f>IF($B26-'[4]30'!X26&lt;0,0,$B26-'[4]30'!X26)</f>
        <v>0</v>
      </c>
      <c r="Z26" s="45">
        <f>IF($B26-'[4]30'!Y26&lt;0,0,$B26-'[4]30'!Y26)</f>
        <v>0</v>
      </c>
      <c r="AA26" s="45">
        <f>IF($B26-'[4]30'!Z26&lt;0,0,$B26-'[4]30'!Z26)</f>
        <v>0</v>
      </c>
      <c r="AB26" s="45">
        <f>IF($B26-'[4]30'!AA26&lt;0,0,$B26-'[4]30'!AA26)</f>
        <v>0</v>
      </c>
      <c r="AC26" s="45">
        <f>IF($B26-'[4]30'!AB26&lt;0,0,$B26-'[4]30'!AB26)</f>
        <v>0</v>
      </c>
      <c r="AD26" s="45">
        <f>IF($B26-'[4]30'!AC26&lt;0,0,$B26-'[4]30'!AC26)</f>
        <v>0</v>
      </c>
      <c r="AE26" s="45">
        <f>IF($B26-'[4]30'!AD26&lt;0,0,$B26-'[4]30'!AD26)</f>
        <v>0</v>
      </c>
      <c r="AF26" s="45">
        <f>IF($B26-'[4]30'!AE26&lt;0,0,$B26-'[4]30'!AE26)</f>
        <v>0</v>
      </c>
      <c r="AG26" s="45">
        <f>IF($B26-'[4]30'!AF26&lt;0,0,$B26-'[4]30'!AF26)</f>
        <v>0</v>
      </c>
      <c r="AH26" s="51">
        <v>25</v>
      </c>
      <c r="AI26" s="48">
        <f t="shared" si="2"/>
        <v>0</v>
      </c>
      <c r="AJ26" s="49">
        <f t="shared" si="3"/>
        <v>0</v>
      </c>
      <c r="AL26" s="170"/>
      <c r="AM26" s="28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</row>
    <row r="27" spans="1:89" x14ac:dyDescent="0.25">
      <c r="A27" s="44" t="s">
        <v>258</v>
      </c>
      <c r="B27" s="45">
        <v>22</v>
      </c>
      <c r="C27" s="45">
        <f>IF($B27-'[4]30'!B27&lt;0,0,$B27-'[4]30'!B27)</f>
        <v>17.5</v>
      </c>
      <c r="D27" s="45">
        <f>IF($B27-'[4]30'!C27&lt;0,0,$B27-'[4]30'!C27)</f>
        <v>17.5</v>
      </c>
      <c r="E27" s="45">
        <f>IF($B27-'[4]30'!D27&lt;0,0,$B27-'[4]30'!D27)</f>
        <v>22</v>
      </c>
      <c r="F27" s="45">
        <f>IF($B27-'[4]30'!E27&lt;0,0,$B27-'[4]30'!E27)</f>
        <v>22</v>
      </c>
      <c r="G27" s="45">
        <f>IF($B27-'[4]30'!F27&lt;0,0,$B27-'[4]30'!F27)</f>
        <v>22</v>
      </c>
      <c r="H27" s="45">
        <f>IF($B27-'[4]30'!G27&lt;0,0,$B27-'[4]30'!G27)</f>
        <v>22</v>
      </c>
      <c r="I27" s="45">
        <f>IF($B27-'[4]30'!H27&lt;0,0,$B27-'[4]30'!H27)</f>
        <v>18</v>
      </c>
      <c r="J27" s="45">
        <f>IF($B27-'[4]30'!I27&lt;0,0,$B27-'[4]30'!I27)</f>
        <v>18</v>
      </c>
      <c r="K27" s="45">
        <f>IF($B27-'[4]30'!J27&lt;0,0,$B27-'[4]30'!J27)</f>
        <v>18</v>
      </c>
      <c r="L27" s="45">
        <f>IF($B27-'[4]30'!K27&lt;0,0,$B27-'[4]30'!K27)</f>
        <v>12</v>
      </c>
      <c r="M27" s="45">
        <f>IF($B27-'[4]30'!L27&lt;0,0,$B27-'[4]30'!L27)</f>
        <v>9</v>
      </c>
      <c r="N27" s="45">
        <f>IF($B27-'[4]30'!M27&lt;0,0,$B27-'[4]30'!M27)</f>
        <v>9</v>
      </c>
      <c r="O27" s="45">
        <f>IF($B27-'[4]30'!N27&lt;0,0,$B27-'[4]30'!N27)</f>
        <v>9</v>
      </c>
      <c r="P27" s="45">
        <f>IF($B27-'[4]30'!O27&lt;0,0,$B27-'[4]30'!O27)</f>
        <v>9</v>
      </c>
      <c r="Q27" s="45">
        <f>IF($B27-'[4]30'!P27&lt;0,0,$B27-'[4]30'!P27)</f>
        <v>9</v>
      </c>
      <c r="R27" s="45">
        <f>IF($B27-'[4]30'!Q27&lt;0,0,$B27-'[4]30'!Q27)</f>
        <v>9</v>
      </c>
      <c r="S27" s="45">
        <f>IF($B27-'[4]30'!R27&lt;0,0,$B27-'[4]30'!R27)</f>
        <v>9</v>
      </c>
      <c r="T27" s="45">
        <f>IF($B27-'[4]30'!S27&lt;0,0,$B27-'[4]30'!S27)</f>
        <v>13.5</v>
      </c>
      <c r="U27" s="45">
        <f>IF($B27-'[4]30'!T27&lt;0,0,$B27-'[4]30'!T27)</f>
        <v>13.5</v>
      </c>
      <c r="V27" s="45">
        <f>IF($B27-'[4]30'!U27&lt;0,0,$B27-'[4]30'!U27)</f>
        <v>13.5</v>
      </c>
      <c r="W27" s="45">
        <f>IF($B27-'[4]30'!V27&lt;0,0,$B27-'[4]30'!V27)</f>
        <v>2</v>
      </c>
      <c r="X27" s="45">
        <f>IF($B27-'[4]30'!W27&lt;0,0,$B27-'[4]30'!W27)</f>
        <v>0</v>
      </c>
      <c r="Y27" s="45">
        <f>IF($B27-'[4]30'!X27&lt;0,0,$B27-'[4]30'!X27)</f>
        <v>0</v>
      </c>
      <c r="Z27" s="45">
        <f>IF($B27-'[4]30'!Y27&lt;0,0,$B27-'[4]30'!Y27)</f>
        <v>0</v>
      </c>
      <c r="AA27" s="45">
        <f>IF($B27-'[4]30'!Z27&lt;0,0,$B27-'[4]30'!Z27)</f>
        <v>0</v>
      </c>
      <c r="AB27" s="45">
        <f>IF($B27-'[4]30'!AA27&lt;0,0,$B27-'[4]30'!AA27)</f>
        <v>0</v>
      </c>
      <c r="AC27" s="45">
        <f>IF($B27-'[4]30'!AB27&lt;0,0,$B27-'[4]30'!AB27)</f>
        <v>0</v>
      </c>
      <c r="AD27" s="45">
        <f>IF($B27-'[4]30'!AC27&lt;0,0,$B27-'[4]30'!AC27)</f>
        <v>1.5</v>
      </c>
      <c r="AE27" s="45">
        <f>IF($B27-'[4]30'!AD27&lt;0,0,$B27-'[4]30'!AD27)</f>
        <v>1.5</v>
      </c>
      <c r="AF27" s="45">
        <f>IF($B27-'[4]30'!AE27&lt;0,0,$B27-'[4]30'!AE27)</f>
        <v>1.5</v>
      </c>
      <c r="AG27" s="45">
        <f>IF($B27-'[4]30'!AF27&lt;0,0,$B27-'[4]30'!AF27)</f>
        <v>9</v>
      </c>
      <c r="AH27" s="51">
        <v>25</v>
      </c>
      <c r="AI27" s="48">
        <f t="shared" si="2"/>
        <v>22</v>
      </c>
      <c r="AJ27" s="49">
        <f t="shared" si="3"/>
        <v>0</v>
      </c>
      <c r="AL27" s="170"/>
      <c r="AM27" s="28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</row>
    <row r="28" spans="1:89" x14ac:dyDescent="0.25">
      <c r="A28" s="44" t="s">
        <v>29</v>
      </c>
      <c r="B28" s="45">
        <v>18</v>
      </c>
      <c r="C28" s="45">
        <f>IF($B28-'[4]30'!B28&lt;0,0,$B28-'[4]30'!B28)</f>
        <v>1.1000000000000014</v>
      </c>
      <c r="D28" s="45">
        <f>IF($B28-'[4]30'!C28&lt;0,0,$B28-'[4]30'!C28)</f>
        <v>1.1000000000000014</v>
      </c>
      <c r="E28" s="45">
        <f>IF($B28-'[4]30'!D28&lt;0,0,$B28-'[4]30'!D28)</f>
        <v>1.1000000000000014</v>
      </c>
      <c r="F28" s="45">
        <f>IF($B28-'[4]30'!E28&lt;0,0,$B28-'[4]30'!E28)</f>
        <v>1.1000000000000014</v>
      </c>
      <c r="G28" s="45">
        <f>IF($B28-'[4]30'!F28&lt;0,0,$B28-'[4]30'!F28)</f>
        <v>1.1000000000000014</v>
      </c>
      <c r="H28" s="45">
        <f>IF($B28-'[4]30'!G28&lt;0,0,$B28-'[4]30'!G28)</f>
        <v>1.1000000000000014</v>
      </c>
      <c r="I28" s="45">
        <f>IF($B28-'[4]30'!H28&lt;0,0,$B28-'[4]30'!H28)</f>
        <v>1.1000000000000014</v>
      </c>
      <c r="J28" s="45">
        <f>IF($B28-'[4]30'!I28&lt;0,0,$B28-'[4]30'!I28)</f>
        <v>1.1000000000000014</v>
      </c>
      <c r="K28" s="45">
        <f>IF($B28-'[4]30'!J28&lt;0,0,$B28-'[4]30'!J28)</f>
        <v>1.1000000000000014</v>
      </c>
      <c r="L28" s="45">
        <f>IF($B28-'[4]30'!K28&lt;0,0,$B28-'[4]30'!K28)</f>
        <v>1.1000000000000014</v>
      </c>
      <c r="M28" s="45">
        <f>IF($B28-'[4]30'!L28&lt;0,0,$B28-'[4]30'!L28)</f>
        <v>1.1000000000000014</v>
      </c>
      <c r="N28" s="45">
        <f>IF($B28-'[4]30'!M28&lt;0,0,$B28-'[4]30'!M28)</f>
        <v>1.1000000000000014</v>
      </c>
      <c r="O28" s="45">
        <f>IF($B28-'[4]30'!N28&lt;0,0,$B28-'[4]30'!N28)</f>
        <v>1.1000000000000014</v>
      </c>
      <c r="P28" s="45">
        <f>IF($B28-'[4]30'!O28&lt;0,0,$B28-'[4]30'!O28)</f>
        <v>1.1000000000000014</v>
      </c>
      <c r="Q28" s="45">
        <f>IF($B28-'[4]30'!P28&lt;0,0,$B28-'[4]30'!P28)</f>
        <v>1.1000000000000014</v>
      </c>
      <c r="R28" s="45">
        <f>IF($B28-'[4]30'!Q28&lt;0,0,$B28-'[4]30'!Q28)</f>
        <v>1.1000000000000014</v>
      </c>
      <c r="S28" s="45">
        <f>IF($B28-'[4]30'!R28&lt;0,0,$B28-'[4]30'!R28)</f>
        <v>1.1000000000000014</v>
      </c>
      <c r="T28" s="45">
        <f>IF($B28-'[4]30'!S28&lt;0,0,$B28-'[4]30'!S28)</f>
        <v>1.1000000000000014</v>
      </c>
      <c r="U28" s="45">
        <f>IF($B28-'[4]30'!T28&lt;0,0,$B28-'[4]30'!T28)</f>
        <v>1.1000000000000014</v>
      </c>
      <c r="V28" s="45">
        <f>IF($B28-'[4]30'!U28&lt;0,0,$B28-'[4]30'!U28)</f>
        <v>1.1000000000000014</v>
      </c>
      <c r="W28" s="45">
        <f>IF($B28-'[4]30'!V28&lt;0,0,$B28-'[4]30'!V28)</f>
        <v>1.1000000000000014</v>
      </c>
      <c r="X28" s="45">
        <f>IF($B28-'[4]30'!W28&lt;0,0,$B28-'[4]30'!W28)</f>
        <v>1.1000000000000014</v>
      </c>
      <c r="Y28" s="45">
        <f>IF($B28-'[4]30'!X28&lt;0,0,$B28-'[4]30'!X28)</f>
        <v>1.1000000000000014</v>
      </c>
      <c r="Z28" s="45">
        <f>IF($B28-'[4]30'!Y28&lt;0,0,$B28-'[4]30'!Y28)</f>
        <v>1.1000000000000014</v>
      </c>
      <c r="AA28" s="45">
        <f>IF($B28-'[4]30'!Z28&lt;0,0,$B28-'[4]30'!Z28)</f>
        <v>1.1000000000000014</v>
      </c>
      <c r="AB28" s="45">
        <f>IF($B28-'[4]30'!AA28&lt;0,0,$B28-'[4]30'!AA28)</f>
        <v>1.1000000000000014</v>
      </c>
      <c r="AC28" s="45">
        <f>IF($B28-'[4]30'!AB28&lt;0,0,$B28-'[4]30'!AB28)</f>
        <v>1.1000000000000014</v>
      </c>
      <c r="AD28" s="45">
        <f>IF($B28-'[4]30'!AC28&lt;0,0,$B28-'[4]30'!AC28)</f>
        <v>0.60000000000000142</v>
      </c>
      <c r="AE28" s="45">
        <f>IF($B28-'[4]30'!AD28&lt;0,0,$B28-'[4]30'!AD28)</f>
        <v>0.60000000000000142</v>
      </c>
      <c r="AF28" s="45">
        <f>IF($B28-'[4]30'!AE28&lt;0,0,$B28-'[4]30'!AE28)</f>
        <v>0.60000000000000142</v>
      </c>
      <c r="AG28" s="45">
        <f>IF($B28-'[4]30'!AF28&lt;0,0,$B28-'[4]30'!AF28)</f>
        <v>0.60000000000000142</v>
      </c>
      <c r="AH28" s="51">
        <v>23.5</v>
      </c>
      <c r="AI28" s="48">
        <f t="shared" si="2"/>
        <v>1.1000000000000014</v>
      </c>
      <c r="AJ28" s="49">
        <f t="shared" si="3"/>
        <v>0.60000000000000142</v>
      </c>
      <c r="AL28" s="170"/>
      <c r="AM28" s="28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</row>
    <row r="29" spans="1:89" x14ac:dyDescent="0.25">
      <c r="A29" s="44" t="s">
        <v>30</v>
      </c>
      <c r="B29" s="45">
        <v>11</v>
      </c>
      <c r="C29" s="45">
        <f>IF($B29-'[4]30'!B29&lt;0,0,$B29-'[4]30'!B29)</f>
        <v>0</v>
      </c>
      <c r="D29" s="45">
        <f>IF($B29-'[4]30'!C29&lt;0,0,$B29-'[4]30'!C29)</f>
        <v>0</v>
      </c>
      <c r="E29" s="45">
        <f>IF($B29-'[4]30'!D29&lt;0,0,$B29-'[4]30'!D29)</f>
        <v>0</v>
      </c>
      <c r="F29" s="45">
        <f>IF($B29-'[4]30'!E29&lt;0,0,$B29-'[4]30'!E29)</f>
        <v>0</v>
      </c>
      <c r="G29" s="45">
        <f>IF($B29-'[4]30'!F29&lt;0,0,$B29-'[4]30'!F29)</f>
        <v>0</v>
      </c>
      <c r="H29" s="45">
        <f>IF($B29-'[4]30'!G29&lt;0,0,$B29-'[4]30'!G29)</f>
        <v>0</v>
      </c>
      <c r="I29" s="45">
        <f>IF($B29-'[4]30'!H29&lt;0,0,$B29-'[4]30'!H29)</f>
        <v>0</v>
      </c>
      <c r="J29" s="45">
        <f>IF($B29-'[4]30'!I29&lt;0,0,$B29-'[4]30'!I29)</f>
        <v>0</v>
      </c>
      <c r="K29" s="45">
        <f>IF($B29-'[4]30'!J29&lt;0,0,$B29-'[4]30'!J29)</f>
        <v>0</v>
      </c>
      <c r="L29" s="45">
        <f>IF($B29-'[4]30'!K29&lt;0,0,$B29-'[4]30'!K29)</f>
        <v>0</v>
      </c>
      <c r="M29" s="45">
        <f>IF($B29-'[4]30'!L29&lt;0,0,$B29-'[4]30'!L29)</f>
        <v>0</v>
      </c>
      <c r="N29" s="45">
        <f>IF($B29-'[4]30'!M29&lt;0,0,$B29-'[4]30'!M29)</f>
        <v>0</v>
      </c>
      <c r="O29" s="45">
        <f>IF($B29-'[4]30'!N29&lt;0,0,$B29-'[4]30'!N29)</f>
        <v>0</v>
      </c>
      <c r="P29" s="45">
        <f>IF($B29-'[4]30'!O29&lt;0,0,$B29-'[4]30'!O29)</f>
        <v>0</v>
      </c>
      <c r="Q29" s="45">
        <f>IF($B29-'[4]30'!P29&lt;0,0,$B29-'[4]30'!P29)</f>
        <v>0</v>
      </c>
      <c r="R29" s="45">
        <f>IF($B29-'[4]30'!Q29&lt;0,0,$B29-'[4]30'!Q29)</f>
        <v>0</v>
      </c>
      <c r="S29" s="45">
        <f>IF($B29-'[4]30'!R29&lt;0,0,$B29-'[4]30'!R29)</f>
        <v>0</v>
      </c>
      <c r="T29" s="45">
        <f>IF($B29-'[4]30'!S29&lt;0,0,$B29-'[4]30'!S29)</f>
        <v>0</v>
      </c>
      <c r="U29" s="45">
        <f>IF($B29-'[4]30'!T29&lt;0,0,$B29-'[4]30'!T29)</f>
        <v>0</v>
      </c>
      <c r="V29" s="45">
        <f>IF($B29-'[4]30'!U29&lt;0,0,$B29-'[4]30'!U29)</f>
        <v>0</v>
      </c>
      <c r="W29" s="45">
        <f>IF($B29-'[4]30'!V29&lt;0,0,$B29-'[4]30'!V29)</f>
        <v>0</v>
      </c>
      <c r="X29" s="45">
        <f>IF($B29-'[4]30'!W29&lt;0,0,$B29-'[4]30'!W29)</f>
        <v>0</v>
      </c>
      <c r="Y29" s="45">
        <f>IF($B29-'[4]30'!X29&lt;0,0,$B29-'[4]30'!X29)</f>
        <v>0</v>
      </c>
      <c r="Z29" s="45">
        <f>IF($B29-'[4]30'!Y29&lt;0,0,$B29-'[4]30'!Y29)</f>
        <v>0</v>
      </c>
      <c r="AA29" s="45">
        <f>IF($B29-'[4]30'!Z29&lt;0,0,$B29-'[4]30'!Z29)</f>
        <v>0</v>
      </c>
      <c r="AB29" s="45">
        <f>IF($B29-'[4]30'!AA29&lt;0,0,$B29-'[4]30'!AA29)</f>
        <v>0</v>
      </c>
      <c r="AC29" s="45">
        <f>IF($B29-'[4]30'!AB29&lt;0,0,$B29-'[4]30'!AB29)</f>
        <v>0</v>
      </c>
      <c r="AD29" s="45">
        <f>IF($B29-'[4]30'!AC29&lt;0,0,$B29-'[4]30'!AC29)</f>
        <v>0</v>
      </c>
      <c r="AE29" s="45">
        <f>IF($B29-'[4]30'!AD29&lt;0,0,$B29-'[4]30'!AD29)</f>
        <v>0</v>
      </c>
      <c r="AF29" s="45">
        <f>IF($B29-'[4]30'!AE29&lt;0,0,$B29-'[4]30'!AE29)</f>
        <v>0</v>
      </c>
      <c r="AG29" s="45">
        <f>IF($B29-'[4]30'!AF29&lt;0,0,$B29-'[4]30'!AF29)</f>
        <v>0</v>
      </c>
      <c r="AH29" s="51">
        <v>22.2</v>
      </c>
      <c r="AI29" s="48">
        <f t="shared" si="2"/>
        <v>0</v>
      </c>
      <c r="AJ29" s="49">
        <f t="shared" si="3"/>
        <v>0</v>
      </c>
      <c r="AL29" s="170"/>
      <c r="AM29" s="28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</row>
    <row r="30" spans="1:89" x14ac:dyDescent="0.25">
      <c r="A30" s="44" t="s">
        <v>31</v>
      </c>
      <c r="B30" s="45">
        <v>15</v>
      </c>
      <c r="C30" s="45">
        <f>IF($B30-'[4]30'!B30&lt;0,0,$B30-'[4]30'!B30)</f>
        <v>0</v>
      </c>
      <c r="D30" s="45">
        <f>IF($B30-'[4]30'!C30&lt;0,0,$B30-'[4]30'!C30)</f>
        <v>0</v>
      </c>
      <c r="E30" s="45">
        <f>IF($B30-'[4]30'!D30&lt;0,0,$B30-'[4]30'!D30)</f>
        <v>0</v>
      </c>
      <c r="F30" s="45">
        <f>IF($B30-'[4]30'!E30&lt;0,0,$B30-'[4]30'!E30)</f>
        <v>0</v>
      </c>
      <c r="G30" s="45">
        <f>IF($B30-'[4]30'!F30&lt;0,0,$B30-'[4]30'!F30)</f>
        <v>0</v>
      </c>
      <c r="H30" s="45">
        <f>IF($B30-'[4]30'!G30&lt;0,0,$B30-'[4]30'!G30)</f>
        <v>0</v>
      </c>
      <c r="I30" s="45">
        <f>IF($B30-'[4]30'!H30&lt;0,0,$B30-'[4]30'!H30)</f>
        <v>0</v>
      </c>
      <c r="J30" s="45">
        <f>IF($B30-'[4]30'!I30&lt;0,0,$B30-'[4]30'!I30)</f>
        <v>0</v>
      </c>
      <c r="K30" s="45">
        <f>IF($B30-'[4]30'!J30&lt;0,0,$B30-'[4]30'!J30)</f>
        <v>0</v>
      </c>
      <c r="L30" s="45">
        <f>IF($B30-'[4]30'!K30&lt;0,0,$B30-'[4]30'!K30)</f>
        <v>0</v>
      </c>
      <c r="M30" s="45">
        <f>IF($B30-'[4]30'!L30&lt;0,0,$B30-'[4]30'!L30)</f>
        <v>0</v>
      </c>
      <c r="N30" s="45">
        <f>IF($B30-'[4]30'!M30&lt;0,0,$B30-'[4]30'!M30)</f>
        <v>0</v>
      </c>
      <c r="O30" s="45">
        <f>IF($B30-'[4]30'!N30&lt;0,0,$B30-'[4]30'!N30)</f>
        <v>0</v>
      </c>
      <c r="P30" s="45">
        <f>IF($B30-'[4]30'!O30&lt;0,0,$B30-'[4]30'!O30)</f>
        <v>0</v>
      </c>
      <c r="Q30" s="45">
        <f>IF($B30-'[4]30'!P30&lt;0,0,$B30-'[4]30'!P30)</f>
        <v>0</v>
      </c>
      <c r="R30" s="45">
        <f>IF($B30-'[4]30'!Q30&lt;0,0,$B30-'[4]30'!Q30)</f>
        <v>0</v>
      </c>
      <c r="S30" s="45">
        <f>IF($B30-'[4]30'!R30&lt;0,0,$B30-'[4]30'!R30)</f>
        <v>0</v>
      </c>
      <c r="T30" s="45">
        <f>IF($B30-'[4]30'!S30&lt;0,0,$B30-'[4]30'!S30)</f>
        <v>0</v>
      </c>
      <c r="U30" s="45">
        <f>IF($B30-'[4]30'!T30&lt;0,0,$B30-'[4]30'!T30)</f>
        <v>0</v>
      </c>
      <c r="V30" s="45">
        <f>IF($B30-'[4]30'!U30&lt;0,0,$B30-'[4]30'!U30)</f>
        <v>0</v>
      </c>
      <c r="W30" s="45">
        <f>IF($B30-'[4]30'!V30&lt;0,0,$B30-'[4]30'!V30)</f>
        <v>0</v>
      </c>
      <c r="X30" s="45">
        <f>IF($B30-'[4]30'!W30&lt;0,0,$B30-'[4]30'!W30)</f>
        <v>0</v>
      </c>
      <c r="Y30" s="45">
        <f>IF($B30-'[4]30'!X30&lt;0,0,$B30-'[4]30'!X30)</f>
        <v>0</v>
      </c>
      <c r="Z30" s="45">
        <f>IF($B30-'[4]30'!Y30&lt;0,0,$B30-'[4]30'!Y30)</f>
        <v>0</v>
      </c>
      <c r="AA30" s="45">
        <f>IF($B30-'[4]30'!Z30&lt;0,0,$B30-'[4]30'!Z30)</f>
        <v>0</v>
      </c>
      <c r="AB30" s="45">
        <f>IF($B30-'[4]30'!AA30&lt;0,0,$B30-'[4]30'!AA30)</f>
        <v>0</v>
      </c>
      <c r="AC30" s="45">
        <f>IF($B30-'[4]30'!AB30&lt;0,0,$B30-'[4]30'!AB30)</f>
        <v>0</v>
      </c>
      <c r="AD30" s="45">
        <f>IF($B30-'[4]30'!AC30&lt;0,0,$B30-'[4]30'!AC30)</f>
        <v>0</v>
      </c>
      <c r="AE30" s="45">
        <f>IF($B30-'[4]30'!AD30&lt;0,0,$B30-'[4]30'!AD30)</f>
        <v>0</v>
      </c>
      <c r="AF30" s="45">
        <f>IF($B30-'[4]30'!AE30&lt;0,0,$B30-'[4]30'!AE30)</f>
        <v>0</v>
      </c>
      <c r="AG30" s="45">
        <f>IF($B30-'[4]30'!AF30&lt;0,0,$B30-'[4]30'!AF30)</f>
        <v>0</v>
      </c>
      <c r="AH30" s="51">
        <v>22.1</v>
      </c>
      <c r="AI30" s="48">
        <f t="shared" si="2"/>
        <v>0</v>
      </c>
      <c r="AJ30" s="49">
        <f t="shared" si="3"/>
        <v>0</v>
      </c>
      <c r="AL30" s="170"/>
      <c r="AM30" s="28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</row>
    <row r="31" spans="1:89" x14ac:dyDescent="0.25">
      <c r="A31" s="44" t="s">
        <v>32</v>
      </c>
      <c r="B31" s="45">
        <v>13</v>
      </c>
      <c r="C31" s="45">
        <f>IF($B31-'[4]30'!B31&lt;0,0,$B31-'[4]30'!B31)</f>
        <v>0</v>
      </c>
      <c r="D31" s="45">
        <f>IF($B31-'[4]30'!C31&lt;0,0,$B31-'[4]30'!C31)</f>
        <v>0</v>
      </c>
      <c r="E31" s="45">
        <f>IF($B31-'[4]30'!D31&lt;0,0,$B31-'[4]30'!D31)</f>
        <v>0</v>
      </c>
      <c r="F31" s="45">
        <f>IF($B31-'[4]30'!E31&lt;0,0,$B31-'[4]30'!E31)</f>
        <v>0</v>
      </c>
      <c r="G31" s="45">
        <f>IF($B31-'[4]30'!F31&lt;0,0,$B31-'[4]30'!F31)</f>
        <v>0</v>
      </c>
      <c r="H31" s="45">
        <f>IF($B31-'[4]30'!G31&lt;0,0,$B31-'[4]30'!G31)</f>
        <v>0</v>
      </c>
      <c r="I31" s="45">
        <f>IF($B31-'[4]30'!H31&lt;0,0,$B31-'[4]30'!H31)</f>
        <v>0</v>
      </c>
      <c r="J31" s="45">
        <f>IF($B31-'[4]30'!I31&lt;0,0,$B31-'[4]30'!I31)</f>
        <v>0</v>
      </c>
      <c r="K31" s="45">
        <f>IF($B31-'[4]30'!J31&lt;0,0,$B31-'[4]30'!J31)</f>
        <v>0</v>
      </c>
      <c r="L31" s="45">
        <f>IF($B31-'[4]30'!K31&lt;0,0,$B31-'[4]30'!K31)</f>
        <v>0</v>
      </c>
      <c r="M31" s="45">
        <f>IF($B31-'[4]30'!L31&lt;0,0,$B31-'[4]30'!L31)</f>
        <v>0</v>
      </c>
      <c r="N31" s="45">
        <f>IF($B31-'[4]30'!M31&lt;0,0,$B31-'[4]30'!M31)</f>
        <v>0</v>
      </c>
      <c r="O31" s="45">
        <f>IF($B31-'[4]30'!N31&lt;0,0,$B31-'[4]30'!N31)</f>
        <v>0</v>
      </c>
      <c r="P31" s="45">
        <f>IF($B31-'[4]30'!O31&lt;0,0,$B31-'[4]30'!O31)</f>
        <v>0</v>
      </c>
      <c r="Q31" s="45">
        <f>IF($B31-'[4]30'!P31&lt;0,0,$B31-'[4]30'!P31)</f>
        <v>0</v>
      </c>
      <c r="R31" s="45">
        <f>IF($B31-'[4]30'!Q31&lt;0,0,$B31-'[4]30'!Q31)</f>
        <v>0</v>
      </c>
      <c r="S31" s="45">
        <f>IF($B31-'[4]30'!R31&lt;0,0,$B31-'[4]30'!R31)</f>
        <v>0</v>
      </c>
      <c r="T31" s="45">
        <f>IF($B31-'[4]30'!S31&lt;0,0,$B31-'[4]30'!S31)</f>
        <v>0</v>
      </c>
      <c r="U31" s="45">
        <f>IF($B31-'[4]30'!T31&lt;0,0,$B31-'[4]30'!T31)</f>
        <v>0</v>
      </c>
      <c r="V31" s="45">
        <f>IF($B31-'[4]30'!U31&lt;0,0,$B31-'[4]30'!U31)</f>
        <v>0</v>
      </c>
      <c r="W31" s="45">
        <f>IF($B31-'[4]30'!V31&lt;0,0,$B31-'[4]30'!V31)</f>
        <v>0</v>
      </c>
      <c r="X31" s="45">
        <f>IF($B31-'[4]30'!W31&lt;0,0,$B31-'[4]30'!W31)</f>
        <v>0</v>
      </c>
      <c r="Y31" s="45">
        <f>IF($B31-'[4]30'!X31&lt;0,0,$B31-'[4]30'!X31)</f>
        <v>0</v>
      </c>
      <c r="Z31" s="45">
        <f>IF($B31-'[4]30'!Y31&lt;0,0,$B31-'[4]30'!Y31)</f>
        <v>0</v>
      </c>
      <c r="AA31" s="45">
        <f>IF($B31-'[4]30'!Z31&lt;0,0,$B31-'[4]30'!Z31)</f>
        <v>0</v>
      </c>
      <c r="AB31" s="45">
        <f>IF($B31-'[4]30'!AA31&lt;0,0,$B31-'[4]30'!AA31)</f>
        <v>0</v>
      </c>
      <c r="AC31" s="45">
        <f>IF($B31-'[4]30'!AB31&lt;0,0,$B31-'[4]30'!AB31)</f>
        <v>0</v>
      </c>
      <c r="AD31" s="45">
        <f>IF($B31-'[4]30'!AC31&lt;0,0,$B31-'[4]30'!AC31)</f>
        <v>0</v>
      </c>
      <c r="AE31" s="45">
        <f>IF($B31-'[4]30'!AD31&lt;0,0,$B31-'[4]30'!AD31)</f>
        <v>0</v>
      </c>
      <c r="AF31" s="45">
        <f>IF($B31-'[4]30'!AE31&lt;0,0,$B31-'[4]30'!AE31)</f>
        <v>0</v>
      </c>
      <c r="AG31" s="45">
        <f>IF($B31-'[4]30'!AF31&lt;0,0,$B31-'[4]30'!AF31)</f>
        <v>0</v>
      </c>
      <c r="AH31" s="51">
        <v>22</v>
      </c>
      <c r="AI31" s="48">
        <f t="shared" si="2"/>
        <v>0</v>
      </c>
      <c r="AJ31" s="49">
        <f t="shared" si="3"/>
        <v>0</v>
      </c>
      <c r="AL31" s="170"/>
      <c r="AM31" s="28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</row>
    <row r="32" spans="1:89" x14ac:dyDescent="0.25">
      <c r="A32" s="44" t="s">
        <v>33</v>
      </c>
      <c r="B32" s="45">
        <v>14</v>
      </c>
      <c r="C32" s="45">
        <f>IF($B32-'[4]30'!B32&lt;0,0,$B32-'[4]30'!B32)</f>
        <v>0</v>
      </c>
      <c r="D32" s="45">
        <f>IF($B32-'[4]30'!C32&lt;0,0,$B32-'[4]30'!C32)</f>
        <v>0</v>
      </c>
      <c r="E32" s="45">
        <f>IF($B32-'[4]30'!D32&lt;0,0,$B32-'[4]30'!D32)</f>
        <v>0</v>
      </c>
      <c r="F32" s="45">
        <f>IF($B32-'[4]30'!E32&lt;0,0,$B32-'[4]30'!E32)</f>
        <v>0</v>
      </c>
      <c r="G32" s="45">
        <f>IF($B32-'[4]30'!F32&lt;0,0,$B32-'[4]30'!F32)</f>
        <v>0</v>
      </c>
      <c r="H32" s="45">
        <f>IF($B32-'[4]30'!G32&lt;0,0,$B32-'[4]30'!G32)</f>
        <v>0</v>
      </c>
      <c r="I32" s="45">
        <f>IF($B32-'[4]30'!H32&lt;0,0,$B32-'[4]30'!H32)</f>
        <v>0</v>
      </c>
      <c r="J32" s="45">
        <f>IF($B32-'[4]30'!I32&lt;0,0,$B32-'[4]30'!I32)</f>
        <v>0</v>
      </c>
      <c r="K32" s="45">
        <f>IF($B32-'[4]30'!J32&lt;0,0,$B32-'[4]30'!J32)</f>
        <v>0</v>
      </c>
      <c r="L32" s="45">
        <f>IF($B32-'[4]30'!K32&lt;0,0,$B32-'[4]30'!K32)</f>
        <v>0</v>
      </c>
      <c r="M32" s="45">
        <f>IF($B32-'[4]30'!L32&lt;0,0,$B32-'[4]30'!L32)</f>
        <v>0</v>
      </c>
      <c r="N32" s="45">
        <f>IF($B32-'[4]30'!M32&lt;0,0,$B32-'[4]30'!M32)</f>
        <v>0</v>
      </c>
      <c r="O32" s="45">
        <f>IF($B32-'[4]30'!N32&lt;0,0,$B32-'[4]30'!N32)</f>
        <v>0</v>
      </c>
      <c r="P32" s="45">
        <f>IF($B32-'[4]30'!O32&lt;0,0,$B32-'[4]30'!O32)</f>
        <v>0</v>
      </c>
      <c r="Q32" s="45">
        <f>IF($B32-'[4]30'!P32&lt;0,0,$B32-'[4]30'!P32)</f>
        <v>0</v>
      </c>
      <c r="R32" s="45">
        <f>IF($B32-'[4]30'!Q32&lt;0,0,$B32-'[4]30'!Q32)</f>
        <v>0</v>
      </c>
      <c r="S32" s="45">
        <f>IF($B32-'[4]30'!R32&lt;0,0,$B32-'[4]30'!R32)</f>
        <v>0</v>
      </c>
      <c r="T32" s="45">
        <f>IF($B32-'[4]30'!S32&lt;0,0,$B32-'[4]30'!S32)</f>
        <v>0</v>
      </c>
      <c r="U32" s="45">
        <f>IF($B32-'[4]30'!T32&lt;0,0,$B32-'[4]30'!T32)</f>
        <v>0</v>
      </c>
      <c r="V32" s="45">
        <f>IF($B32-'[4]30'!U32&lt;0,0,$B32-'[4]30'!U32)</f>
        <v>0</v>
      </c>
      <c r="W32" s="45">
        <f>IF($B32-'[4]30'!V32&lt;0,0,$B32-'[4]30'!V32)</f>
        <v>0</v>
      </c>
      <c r="X32" s="45">
        <f>IF($B32-'[4]30'!W32&lt;0,0,$B32-'[4]30'!W32)</f>
        <v>0</v>
      </c>
      <c r="Y32" s="45">
        <f>IF($B32-'[4]30'!X32&lt;0,0,$B32-'[4]30'!X32)</f>
        <v>0</v>
      </c>
      <c r="Z32" s="45">
        <f>IF($B32-'[4]30'!Y32&lt;0,0,$B32-'[4]30'!Y32)</f>
        <v>0</v>
      </c>
      <c r="AA32" s="45">
        <f>IF($B32-'[4]30'!Z32&lt;0,0,$B32-'[4]30'!Z32)</f>
        <v>0</v>
      </c>
      <c r="AB32" s="45">
        <f>IF($B32-'[4]30'!AA32&lt;0,0,$B32-'[4]30'!AA32)</f>
        <v>0</v>
      </c>
      <c r="AC32" s="45">
        <f>IF($B32-'[4]30'!AB32&lt;0,0,$B32-'[4]30'!AB32)</f>
        <v>0</v>
      </c>
      <c r="AD32" s="45">
        <f>IF($B32-'[4]30'!AC32&lt;0,0,$B32-'[4]30'!AC32)</f>
        <v>0</v>
      </c>
      <c r="AE32" s="45">
        <f>IF($B32-'[4]30'!AD32&lt;0,0,$B32-'[4]30'!AD32)</f>
        <v>0</v>
      </c>
      <c r="AF32" s="45">
        <f>IF($B32-'[4]30'!AE32&lt;0,0,$B32-'[4]30'!AE32)</f>
        <v>0</v>
      </c>
      <c r="AG32" s="45">
        <f>IF($B32-'[4]30'!AF32&lt;0,0,$B32-'[4]30'!AF32)</f>
        <v>0</v>
      </c>
      <c r="AH32" s="51">
        <v>22</v>
      </c>
      <c r="AI32" s="48">
        <f t="shared" si="2"/>
        <v>0</v>
      </c>
      <c r="AJ32" s="49">
        <f t="shared" si="3"/>
        <v>0</v>
      </c>
      <c r="AL32" s="170"/>
      <c r="AM32" s="28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</row>
    <row r="33" spans="1:89" x14ac:dyDescent="0.25">
      <c r="A33" s="44" t="s">
        <v>34</v>
      </c>
      <c r="B33" s="45">
        <v>14</v>
      </c>
      <c r="C33" s="45">
        <f>IF($B33-'[4]30'!B33&lt;0,0,$B33-'[4]30'!B33)</f>
        <v>14</v>
      </c>
      <c r="D33" s="45">
        <f>IF($B33-'[4]30'!C33&lt;0,0,$B33-'[4]30'!C33)</f>
        <v>14</v>
      </c>
      <c r="E33" s="45">
        <f>IF($B33-'[4]30'!D33&lt;0,0,$B33-'[4]30'!D33)</f>
        <v>14</v>
      </c>
      <c r="F33" s="45">
        <f>IF($B33-'[4]30'!E33&lt;0,0,$B33-'[4]30'!E33)</f>
        <v>14</v>
      </c>
      <c r="G33" s="45">
        <f>IF($B33-'[4]30'!F33&lt;0,0,$B33-'[4]30'!F33)</f>
        <v>14</v>
      </c>
      <c r="H33" s="45">
        <f>IF($B33-'[4]30'!G33&lt;0,0,$B33-'[4]30'!G33)</f>
        <v>14</v>
      </c>
      <c r="I33" s="45">
        <f>IF($B33-'[4]30'!H33&lt;0,0,$B33-'[4]30'!H33)</f>
        <v>9</v>
      </c>
      <c r="J33" s="45">
        <f>IF($B33-'[4]30'!I33&lt;0,0,$B33-'[4]30'!I33)</f>
        <v>9</v>
      </c>
      <c r="K33" s="45">
        <f>IF($B33-'[4]30'!J33&lt;0,0,$B33-'[4]30'!J33)</f>
        <v>9</v>
      </c>
      <c r="L33" s="45">
        <f>IF($B33-'[4]30'!K33&lt;0,0,$B33-'[4]30'!K33)</f>
        <v>9</v>
      </c>
      <c r="M33" s="45">
        <f>IF($B33-'[4]30'!L33&lt;0,0,$B33-'[4]30'!L33)</f>
        <v>4</v>
      </c>
      <c r="N33" s="45">
        <f>IF($B33-'[4]30'!M33&lt;0,0,$B33-'[4]30'!M33)</f>
        <v>4</v>
      </c>
      <c r="O33" s="45">
        <f>IF($B33-'[4]30'!N33&lt;0,0,$B33-'[4]30'!N33)</f>
        <v>4</v>
      </c>
      <c r="P33" s="45">
        <f>IF($B33-'[4]30'!O33&lt;0,0,$B33-'[4]30'!O33)</f>
        <v>4</v>
      </c>
      <c r="Q33" s="45">
        <f>IF($B33-'[4]30'!P33&lt;0,0,$B33-'[4]30'!P33)</f>
        <v>4</v>
      </c>
      <c r="R33" s="45">
        <f>IF($B33-'[4]30'!Q33&lt;0,0,$B33-'[4]30'!Q33)</f>
        <v>4</v>
      </c>
      <c r="S33" s="45">
        <f>IF($B33-'[4]30'!R33&lt;0,0,$B33-'[4]30'!R33)</f>
        <v>4</v>
      </c>
      <c r="T33" s="45">
        <f>IF($B33-'[4]30'!S33&lt;0,0,$B33-'[4]30'!S33)</f>
        <v>8</v>
      </c>
      <c r="U33" s="45">
        <f>IF($B33-'[4]30'!T33&lt;0,0,$B33-'[4]30'!T33)</f>
        <v>8</v>
      </c>
      <c r="V33" s="45">
        <f>IF($B33-'[4]30'!U33&lt;0,0,$B33-'[4]30'!U33)</f>
        <v>8</v>
      </c>
      <c r="W33" s="45">
        <f>IF($B33-'[4]30'!V33&lt;0,0,$B33-'[4]30'!V33)</f>
        <v>8</v>
      </c>
      <c r="X33" s="45">
        <f>IF($B33-'[4]30'!W33&lt;0,0,$B33-'[4]30'!W33)</f>
        <v>4</v>
      </c>
      <c r="Y33" s="45">
        <f>IF($B33-'[4]30'!X33&lt;0,0,$B33-'[4]30'!X33)</f>
        <v>4</v>
      </c>
      <c r="Z33" s="45">
        <f>IF($B33-'[4]30'!Y33&lt;0,0,$B33-'[4]30'!Y33)</f>
        <v>4</v>
      </c>
      <c r="AA33" s="45">
        <f>IF($B33-'[4]30'!Z33&lt;0,0,$B33-'[4]30'!Z33)</f>
        <v>2</v>
      </c>
      <c r="AB33" s="45">
        <f>IF($B33-'[4]30'!AA33&lt;0,0,$B33-'[4]30'!AA33)</f>
        <v>2</v>
      </c>
      <c r="AC33" s="45">
        <f>IF($B33-'[4]30'!AB33&lt;0,0,$B33-'[4]30'!AB33)</f>
        <v>2</v>
      </c>
      <c r="AD33" s="45">
        <f>IF($B33-'[4]30'!AC33&lt;0,0,$B33-'[4]30'!AC33)</f>
        <v>2</v>
      </c>
      <c r="AE33" s="45">
        <f>IF($B33-'[4]30'!AD33&lt;0,0,$B33-'[4]30'!AD33)</f>
        <v>4</v>
      </c>
      <c r="AF33" s="45">
        <f>IF($B33-'[4]30'!AE33&lt;0,0,$B33-'[4]30'!AE33)</f>
        <v>4</v>
      </c>
      <c r="AG33" s="45">
        <f>IF($B33-'[4]30'!AF33&lt;0,0,$B33-'[4]30'!AF33)</f>
        <v>4</v>
      </c>
      <c r="AH33" s="51">
        <v>20</v>
      </c>
      <c r="AI33" s="48">
        <f t="shared" si="2"/>
        <v>14</v>
      </c>
      <c r="AJ33" s="49">
        <f t="shared" si="3"/>
        <v>2</v>
      </c>
      <c r="AL33" s="170"/>
      <c r="AM33" s="28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</row>
    <row r="34" spans="1:89" x14ac:dyDescent="0.25">
      <c r="A34" s="44" t="s">
        <v>259</v>
      </c>
      <c r="B34" s="45">
        <v>9</v>
      </c>
      <c r="C34" s="45">
        <f>IF($B34-'[4]30'!B34&lt;0,0,$B34-'[4]30'!B34)</f>
        <v>9</v>
      </c>
      <c r="D34" s="45">
        <f>IF($B34-'[4]30'!C34&lt;0,0,$B34-'[4]30'!C34)</f>
        <v>9</v>
      </c>
      <c r="E34" s="45">
        <f>IF($B34-'[4]30'!D34&lt;0,0,$B34-'[4]30'!D34)</f>
        <v>9</v>
      </c>
      <c r="F34" s="45">
        <f>IF($B34-'[4]30'!E34&lt;0,0,$B34-'[4]30'!E34)</f>
        <v>9</v>
      </c>
      <c r="G34" s="45">
        <f>IF($B34-'[4]30'!F34&lt;0,0,$B34-'[4]30'!F34)</f>
        <v>9</v>
      </c>
      <c r="H34" s="45">
        <f>IF($B34-'[4]30'!G34&lt;0,0,$B34-'[4]30'!G34)</f>
        <v>9</v>
      </c>
      <c r="I34" s="45">
        <f>IF($B34-'[4]30'!H34&lt;0,0,$B34-'[4]30'!H34)</f>
        <v>5</v>
      </c>
      <c r="J34" s="45">
        <f>IF($B34-'[4]30'!I34&lt;0,0,$B34-'[4]30'!I34)</f>
        <v>5</v>
      </c>
      <c r="K34" s="45">
        <f>IF($B34-'[4]30'!J34&lt;0,0,$B34-'[4]30'!J34)</f>
        <v>5</v>
      </c>
      <c r="L34" s="45">
        <f>IF($B34-'[4]30'!K34&lt;0,0,$B34-'[4]30'!K34)</f>
        <v>5</v>
      </c>
      <c r="M34" s="45">
        <f>IF($B34-'[4]30'!L34&lt;0,0,$B34-'[4]30'!L34)</f>
        <v>0</v>
      </c>
      <c r="N34" s="45">
        <f>IF($B34-'[4]30'!M34&lt;0,0,$B34-'[4]30'!M34)</f>
        <v>0</v>
      </c>
      <c r="O34" s="45">
        <f>IF($B34-'[4]30'!N34&lt;0,0,$B34-'[4]30'!N34)</f>
        <v>0</v>
      </c>
      <c r="P34" s="45">
        <f>IF($B34-'[4]30'!O34&lt;0,0,$B34-'[4]30'!O34)</f>
        <v>0</v>
      </c>
      <c r="Q34" s="45">
        <f>IF($B34-'[4]30'!P34&lt;0,0,$B34-'[4]30'!P34)</f>
        <v>0</v>
      </c>
      <c r="R34" s="45">
        <f>IF($B34-'[4]30'!Q34&lt;0,0,$B34-'[4]30'!Q34)</f>
        <v>0</v>
      </c>
      <c r="S34" s="45">
        <f>IF($B34-'[4]30'!R34&lt;0,0,$B34-'[4]30'!R34)</f>
        <v>0</v>
      </c>
      <c r="T34" s="45">
        <f>IF($B34-'[4]30'!S34&lt;0,0,$B34-'[4]30'!S34)</f>
        <v>3</v>
      </c>
      <c r="U34" s="45">
        <f>IF($B34-'[4]30'!T34&lt;0,0,$B34-'[4]30'!T34)</f>
        <v>3</v>
      </c>
      <c r="V34" s="45">
        <f>IF($B34-'[4]30'!U34&lt;0,0,$B34-'[4]30'!U34)</f>
        <v>3</v>
      </c>
      <c r="W34" s="45">
        <f>IF($B34-'[4]30'!V34&lt;0,0,$B34-'[4]30'!V34)</f>
        <v>3</v>
      </c>
      <c r="X34" s="45">
        <f>IF($B34-'[4]30'!W34&lt;0,0,$B34-'[4]30'!W34)</f>
        <v>0</v>
      </c>
      <c r="Y34" s="45">
        <f>IF($B34-'[4]30'!X34&lt;0,0,$B34-'[4]30'!X34)</f>
        <v>0</v>
      </c>
      <c r="Z34" s="45">
        <f>IF($B34-'[4]30'!Y34&lt;0,0,$B34-'[4]30'!Y34)</f>
        <v>0</v>
      </c>
      <c r="AA34" s="45">
        <f>IF($B34-'[4]30'!Z34&lt;0,0,$B34-'[4]30'!Z34)</f>
        <v>0</v>
      </c>
      <c r="AB34" s="45">
        <f>IF($B34-'[4]30'!AA34&lt;0,0,$B34-'[4]30'!AA34)</f>
        <v>0</v>
      </c>
      <c r="AC34" s="45">
        <f>IF($B34-'[4]30'!AB34&lt;0,0,$B34-'[4]30'!AB34)</f>
        <v>0</v>
      </c>
      <c r="AD34" s="45">
        <f>IF($B34-'[4]30'!AC34&lt;0,0,$B34-'[4]30'!AC34)</f>
        <v>0</v>
      </c>
      <c r="AE34" s="45">
        <f>IF($B34-'[4]30'!AD34&lt;0,0,$B34-'[4]30'!AD34)</f>
        <v>4</v>
      </c>
      <c r="AF34" s="45">
        <f>IF($B34-'[4]30'!AE34&lt;0,0,$B34-'[4]30'!AE34)</f>
        <v>4</v>
      </c>
      <c r="AG34" s="45">
        <f>IF($B34-'[4]30'!AF34&lt;0,0,$B34-'[4]30'!AF34)</f>
        <v>4</v>
      </c>
      <c r="AH34" s="51">
        <v>18</v>
      </c>
      <c r="AI34" s="48">
        <f t="shared" si="2"/>
        <v>9</v>
      </c>
      <c r="AJ34" s="49">
        <f t="shared" si="3"/>
        <v>0</v>
      </c>
      <c r="AL34" s="170"/>
      <c r="AM34" s="28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</row>
    <row r="35" spans="1:89" x14ac:dyDescent="0.25">
      <c r="A35" s="44" t="s">
        <v>260</v>
      </c>
      <c r="B35" s="45">
        <v>5</v>
      </c>
      <c r="C35" s="45">
        <f>IF($B35-'[4]30'!B35&lt;0,0,$B35-'[4]30'!B35)</f>
        <v>0</v>
      </c>
      <c r="D35" s="45">
        <f>IF($B35-'[4]30'!C35&lt;0,0,$B35-'[4]30'!C35)</f>
        <v>0</v>
      </c>
      <c r="E35" s="45">
        <f>IF($B35-'[4]30'!D35&lt;0,0,$B35-'[4]30'!D35)</f>
        <v>0</v>
      </c>
      <c r="F35" s="45">
        <f>IF($B35-'[4]30'!E35&lt;0,0,$B35-'[4]30'!E35)</f>
        <v>0</v>
      </c>
      <c r="G35" s="45">
        <f>IF($B35-'[4]30'!F35&lt;0,0,$B35-'[4]30'!F35)</f>
        <v>0</v>
      </c>
      <c r="H35" s="45">
        <f>IF($B35-'[4]30'!G35&lt;0,0,$B35-'[4]30'!G35)</f>
        <v>0</v>
      </c>
      <c r="I35" s="45">
        <f>IF($B35-'[4]30'!H35&lt;0,0,$B35-'[4]30'!H35)</f>
        <v>0</v>
      </c>
      <c r="J35" s="45">
        <f>IF($B35-'[4]30'!I35&lt;0,0,$B35-'[4]30'!I35)</f>
        <v>0</v>
      </c>
      <c r="K35" s="45">
        <f>IF($B35-'[4]30'!J35&lt;0,0,$B35-'[4]30'!J35)</f>
        <v>0</v>
      </c>
      <c r="L35" s="45">
        <f>IF($B35-'[4]30'!K35&lt;0,0,$B35-'[4]30'!K35)</f>
        <v>0</v>
      </c>
      <c r="M35" s="45">
        <f>IF($B35-'[4]30'!L35&lt;0,0,$B35-'[4]30'!L35)</f>
        <v>0</v>
      </c>
      <c r="N35" s="45">
        <f>IF($B35-'[4]30'!M35&lt;0,0,$B35-'[4]30'!M35)</f>
        <v>0</v>
      </c>
      <c r="O35" s="45">
        <f>IF($B35-'[4]30'!N35&lt;0,0,$B35-'[4]30'!N35)</f>
        <v>0</v>
      </c>
      <c r="P35" s="45">
        <f>IF($B35-'[4]30'!O35&lt;0,0,$B35-'[4]30'!O35)</f>
        <v>0</v>
      </c>
      <c r="Q35" s="45">
        <f>IF($B35-'[4]30'!P35&lt;0,0,$B35-'[4]30'!P35)</f>
        <v>0</v>
      </c>
      <c r="R35" s="45">
        <f>IF($B35-'[4]30'!Q35&lt;0,0,$B35-'[4]30'!Q35)</f>
        <v>0</v>
      </c>
      <c r="S35" s="45">
        <f>IF($B35-'[4]30'!R35&lt;0,0,$B35-'[4]30'!R35)</f>
        <v>0</v>
      </c>
      <c r="T35" s="45">
        <f>IF($B35-'[4]30'!S35&lt;0,0,$B35-'[4]30'!S35)</f>
        <v>0</v>
      </c>
      <c r="U35" s="45">
        <f>IF($B35-'[4]30'!T35&lt;0,0,$B35-'[4]30'!T35)</f>
        <v>0</v>
      </c>
      <c r="V35" s="45">
        <f>IF($B35-'[4]30'!U35&lt;0,0,$B35-'[4]30'!U35)</f>
        <v>0</v>
      </c>
      <c r="W35" s="45">
        <f>IF($B35-'[4]30'!V35&lt;0,0,$B35-'[4]30'!V35)</f>
        <v>0</v>
      </c>
      <c r="X35" s="45">
        <f>IF($B35-'[4]30'!W35&lt;0,0,$B35-'[4]30'!W35)</f>
        <v>0</v>
      </c>
      <c r="Y35" s="45">
        <f>IF($B35-'[4]30'!X35&lt;0,0,$B35-'[4]30'!X35)</f>
        <v>0</v>
      </c>
      <c r="Z35" s="45">
        <f>IF($B35-'[4]30'!Y35&lt;0,0,$B35-'[4]30'!Y35)</f>
        <v>0</v>
      </c>
      <c r="AA35" s="45">
        <f>IF($B35-'[4]30'!Z35&lt;0,0,$B35-'[4]30'!Z35)</f>
        <v>0</v>
      </c>
      <c r="AB35" s="45">
        <f>IF($B35-'[4]30'!AA35&lt;0,0,$B35-'[4]30'!AA35)</f>
        <v>0</v>
      </c>
      <c r="AC35" s="45">
        <f>IF($B35-'[4]30'!AB35&lt;0,0,$B35-'[4]30'!AB35)</f>
        <v>0</v>
      </c>
      <c r="AD35" s="45">
        <f>IF($B35-'[4]30'!AC35&lt;0,0,$B35-'[4]30'!AC35)</f>
        <v>0</v>
      </c>
      <c r="AE35" s="45">
        <f>IF($B35-'[4]30'!AD35&lt;0,0,$B35-'[4]30'!AD35)</f>
        <v>0</v>
      </c>
      <c r="AF35" s="45">
        <f>IF($B35-'[4]30'!AE35&lt;0,0,$B35-'[4]30'!AE35)</f>
        <v>0</v>
      </c>
      <c r="AG35" s="45">
        <f>IF($B35-'[4]30'!AF35&lt;0,0,$B35-'[4]30'!AF35)</f>
        <v>0</v>
      </c>
      <c r="AH35" s="51">
        <v>14.9</v>
      </c>
      <c r="AI35" s="48">
        <f t="shared" si="2"/>
        <v>0</v>
      </c>
      <c r="AJ35" s="49">
        <f t="shared" si="3"/>
        <v>0</v>
      </c>
      <c r="AL35" s="170"/>
      <c r="AM35" s="28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</row>
    <row r="36" spans="1:89" x14ac:dyDescent="0.25">
      <c r="A36" s="44" t="s">
        <v>35</v>
      </c>
      <c r="B36" s="45">
        <v>0</v>
      </c>
      <c r="C36" s="45">
        <f>IF($B36-'[4]30'!B36&lt;0,0,$B36-'[4]30'!B36)</f>
        <v>0</v>
      </c>
      <c r="D36" s="45">
        <f>IF($B36-'[4]30'!C36&lt;0,0,$B36-'[4]30'!C36)</f>
        <v>0</v>
      </c>
      <c r="E36" s="45">
        <f>IF($B36-'[4]30'!D36&lt;0,0,$B36-'[4]30'!D36)</f>
        <v>0</v>
      </c>
      <c r="F36" s="45">
        <f>IF($B36-'[4]30'!E36&lt;0,0,$B36-'[4]30'!E36)</f>
        <v>0</v>
      </c>
      <c r="G36" s="45">
        <f>IF($B36-'[4]30'!F36&lt;0,0,$B36-'[4]30'!F36)</f>
        <v>0</v>
      </c>
      <c r="H36" s="45">
        <f>IF($B36-'[4]30'!G36&lt;0,0,$B36-'[4]30'!G36)</f>
        <v>0</v>
      </c>
      <c r="I36" s="45">
        <f>IF($B36-'[4]30'!H36&lt;0,0,$B36-'[4]30'!H36)</f>
        <v>0</v>
      </c>
      <c r="J36" s="45">
        <f>IF($B36-'[4]30'!I36&lt;0,0,$B36-'[4]30'!I36)</f>
        <v>0</v>
      </c>
      <c r="K36" s="45">
        <f>IF($B36-'[4]30'!J36&lt;0,0,$B36-'[4]30'!J36)</f>
        <v>0</v>
      </c>
      <c r="L36" s="45">
        <f>IF($B36-'[4]30'!K36&lt;0,0,$B36-'[4]30'!K36)</f>
        <v>0</v>
      </c>
      <c r="M36" s="45">
        <f>IF($B36-'[4]30'!L36&lt;0,0,$B36-'[4]30'!L36)</f>
        <v>0</v>
      </c>
      <c r="N36" s="45">
        <f>IF($B36-'[4]30'!M36&lt;0,0,$B36-'[4]30'!M36)</f>
        <v>0</v>
      </c>
      <c r="O36" s="45">
        <f>IF($B36-'[4]30'!N36&lt;0,0,$B36-'[4]30'!N36)</f>
        <v>0</v>
      </c>
      <c r="P36" s="45">
        <f>IF($B36-'[4]30'!O36&lt;0,0,$B36-'[4]30'!O36)</f>
        <v>0</v>
      </c>
      <c r="Q36" s="45">
        <f>IF($B36-'[4]30'!P36&lt;0,0,$B36-'[4]30'!P36)</f>
        <v>0</v>
      </c>
      <c r="R36" s="45">
        <f>IF($B36-'[4]30'!Q36&lt;0,0,$B36-'[4]30'!Q36)</f>
        <v>0</v>
      </c>
      <c r="S36" s="45">
        <f>IF($B36-'[4]30'!R36&lt;0,0,$B36-'[4]30'!R36)</f>
        <v>0</v>
      </c>
      <c r="T36" s="45">
        <f>IF($B36-'[4]30'!S36&lt;0,0,$B36-'[4]30'!S36)</f>
        <v>0</v>
      </c>
      <c r="U36" s="45">
        <f>IF($B36-'[4]30'!T36&lt;0,0,$B36-'[4]30'!T36)</f>
        <v>0</v>
      </c>
      <c r="V36" s="45">
        <f>IF($B36-'[4]30'!U36&lt;0,0,$B36-'[4]30'!U36)</f>
        <v>0</v>
      </c>
      <c r="W36" s="45">
        <f>IF($B36-'[4]30'!V36&lt;0,0,$B36-'[4]30'!V36)</f>
        <v>0</v>
      </c>
      <c r="X36" s="45">
        <f>IF($B36-'[4]30'!W36&lt;0,0,$B36-'[4]30'!W36)</f>
        <v>0</v>
      </c>
      <c r="Y36" s="45">
        <f>IF($B36-'[4]30'!X36&lt;0,0,$B36-'[4]30'!X36)</f>
        <v>0</v>
      </c>
      <c r="Z36" s="45">
        <f>IF($B36-'[4]30'!Y36&lt;0,0,$B36-'[4]30'!Y36)</f>
        <v>0</v>
      </c>
      <c r="AA36" s="45">
        <f>IF($B36-'[4]30'!Z36&lt;0,0,$B36-'[4]30'!Z36)</f>
        <v>0</v>
      </c>
      <c r="AB36" s="45">
        <f>IF($B36-'[4]30'!AA36&lt;0,0,$B36-'[4]30'!AA36)</f>
        <v>0</v>
      </c>
      <c r="AC36" s="45">
        <f>IF($B36-'[4]30'!AB36&lt;0,0,$B36-'[4]30'!AB36)</f>
        <v>0</v>
      </c>
      <c r="AD36" s="45">
        <f>IF($B36-'[4]30'!AC36&lt;0,0,$B36-'[4]30'!AC36)</f>
        <v>0</v>
      </c>
      <c r="AE36" s="45">
        <f>IF($B36-'[4]30'!AD36&lt;0,0,$B36-'[4]30'!AD36)</f>
        <v>0</v>
      </c>
      <c r="AF36" s="45">
        <f>IF($B36-'[4]30'!AE36&lt;0,0,$B36-'[4]30'!AE36)</f>
        <v>0</v>
      </c>
      <c r="AG36" s="45">
        <f>IF($B36-'[4]30'!AF36&lt;0,0,$B36-'[4]30'!AF36)</f>
        <v>0</v>
      </c>
      <c r="AH36" s="51">
        <v>14.9</v>
      </c>
      <c r="AI36" s="48">
        <f t="shared" si="2"/>
        <v>0</v>
      </c>
      <c r="AJ36" s="49">
        <f t="shared" si="3"/>
        <v>0</v>
      </c>
      <c r="AL36" s="170"/>
      <c r="AM36" s="28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</row>
    <row r="37" spans="1:89" x14ac:dyDescent="0.25">
      <c r="A37" s="44" t="s">
        <v>36</v>
      </c>
      <c r="B37" s="45">
        <v>6.5</v>
      </c>
      <c r="C37" s="45">
        <f>IF($B37-'[4]30'!B37&lt;0,0,$B37-'[4]30'!B37)</f>
        <v>0</v>
      </c>
      <c r="D37" s="45">
        <f>IF($B37-'[4]30'!C37&lt;0,0,$B37-'[4]30'!C37)</f>
        <v>0</v>
      </c>
      <c r="E37" s="45">
        <f>IF($B37-'[4]30'!D37&lt;0,0,$B37-'[4]30'!D37)</f>
        <v>0</v>
      </c>
      <c r="F37" s="45">
        <f>IF($B37-'[4]30'!E37&lt;0,0,$B37-'[4]30'!E37)</f>
        <v>0</v>
      </c>
      <c r="G37" s="45">
        <f>IF($B37-'[4]30'!F37&lt;0,0,$B37-'[4]30'!F37)</f>
        <v>0</v>
      </c>
      <c r="H37" s="45">
        <f>IF($B37-'[4]30'!G37&lt;0,0,$B37-'[4]30'!G37)</f>
        <v>0</v>
      </c>
      <c r="I37" s="45">
        <f>IF($B37-'[4]30'!H37&lt;0,0,$B37-'[4]30'!H37)</f>
        <v>0</v>
      </c>
      <c r="J37" s="45">
        <f>IF($B37-'[4]30'!I37&lt;0,0,$B37-'[4]30'!I37)</f>
        <v>0</v>
      </c>
      <c r="K37" s="45">
        <f>IF($B37-'[4]30'!J37&lt;0,0,$B37-'[4]30'!J37)</f>
        <v>0</v>
      </c>
      <c r="L37" s="45">
        <f>IF($B37-'[4]30'!K37&lt;0,0,$B37-'[4]30'!K37)</f>
        <v>0</v>
      </c>
      <c r="M37" s="45">
        <f>IF($B37-'[4]30'!L37&lt;0,0,$B37-'[4]30'!L37)</f>
        <v>0</v>
      </c>
      <c r="N37" s="45">
        <f>IF($B37-'[4]30'!M37&lt;0,0,$B37-'[4]30'!M37)</f>
        <v>0</v>
      </c>
      <c r="O37" s="45">
        <f>IF($B37-'[4]30'!N37&lt;0,0,$B37-'[4]30'!N37)</f>
        <v>0</v>
      </c>
      <c r="P37" s="45">
        <f>IF($B37-'[4]30'!O37&lt;0,0,$B37-'[4]30'!O37)</f>
        <v>0</v>
      </c>
      <c r="Q37" s="45">
        <f>IF($B37-'[4]30'!P37&lt;0,0,$B37-'[4]30'!P37)</f>
        <v>0</v>
      </c>
      <c r="R37" s="45">
        <f>IF($B37-'[4]30'!Q37&lt;0,0,$B37-'[4]30'!Q37)</f>
        <v>0</v>
      </c>
      <c r="S37" s="45">
        <f>IF($B37-'[4]30'!R37&lt;0,0,$B37-'[4]30'!R37)</f>
        <v>0</v>
      </c>
      <c r="T37" s="45">
        <f>IF($B37-'[4]30'!S37&lt;0,0,$B37-'[4]30'!S37)</f>
        <v>0</v>
      </c>
      <c r="U37" s="45">
        <f>IF($B37-'[4]30'!T37&lt;0,0,$B37-'[4]30'!T37)</f>
        <v>0</v>
      </c>
      <c r="V37" s="45">
        <f>IF($B37-'[4]30'!U37&lt;0,0,$B37-'[4]30'!U37)</f>
        <v>0</v>
      </c>
      <c r="W37" s="45">
        <f>IF($B37-'[4]30'!V37&lt;0,0,$B37-'[4]30'!V37)</f>
        <v>0</v>
      </c>
      <c r="X37" s="45">
        <f>IF($B37-'[4]30'!W37&lt;0,0,$B37-'[4]30'!W37)</f>
        <v>0</v>
      </c>
      <c r="Y37" s="45">
        <f>IF($B37-'[4]30'!X37&lt;0,0,$B37-'[4]30'!X37)</f>
        <v>0</v>
      </c>
      <c r="Z37" s="45">
        <f>IF($B37-'[4]30'!Y37&lt;0,0,$B37-'[4]30'!Y37)</f>
        <v>0</v>
      </c>
      <c r="AA37" s="45">
        <f>IF($B37-'[4]30'!Z37&lt;0,0,$B37-'[4]30'!Z37)</f>
        <v>0</v>
      </c>
      <c r="AB37" s="45">
        <f>IF($B37-'[4]30'!AA37&lt;0,0,$B37-'[4]30'!AA37)</f>
        <v>0</v>
      </c>
      <c r="AC37" s="45">
        <f>IF($B37-'[4]30'!AB37&lt;0,0,$B37-'[4]30'!AB37)</f>
        <v>0</v>
      </c>
      <c r="AD37" s="45">
        <f>IF($B37-'[4]30'!AC37&lt;0,0,$B37-'[4]30'!AC37)</f>
        <v>0</v>
      </c>
      <c r="AE37" s="45">
        <f>IF($B37-'[4]30'!AD37&lt;0,0,$B37-'[4]30'!AD37)</f>
        <v>0</v>
      </c>
      <c r="AF37" s="45">
        <f>IF($B37-'[4]30'!AE37&lt;0,0,$B37-'[4]30'!AE37)</f>
        <v>0</v>
      </c>
      <c r="AG37" s="45">
        <f>IF($B37-'[4]30'!AF37&lt;0,0,$B37-'[4]30'!AF37)</f>
        <v>0</v>
      </c>
      <c r="AH37" s="51">
        <v>13.6</v>
      </c>
      <c r="AI37" s="48">
        <f t="shared" si="2"/>
        <v>0</v>
      </c>
      <c r="AJ37" s="49">
        <f t="shared" si="3"/>
        <v>0</v>
      </c>
      <c r="AL37" s="170"/>
      <c r="AM37" s="28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</row>
    <row r="38" spans="1:89" x14ac:dyDescent="0.25">
      <c r="A38" s="44" t="s">
        <v>37</v>
      </c>
      <c r="B38" s="45">
        <v>5</v>
      </c>
      <c r="C38" s="45">
        <f>IF($B38-'[4]30'!B38&lt;0,0,$B38-'[4]30'!B38)</f>
        <v>0</v>
      </c>
      <c r="D38" s="45">
        <f>IF($B38-'[4]30'!C38&lt;0,0,$B38-'[4]30'!C38)</f>
        <v>0</v>
      </c>
      <c r="E38" s="45">
        <f>IF($B38-'[4]30'!D38&lt;0,0,$B38-'[4]30'!D38)</f>
        <v>0</v>
      </c>
      <c r="F38" s="45">
        <f>IF($B38-'[4]30'!E38&lt;0,0,$B38-'[4]30'!E38)</f>
        <v>0</v>
      </c>
      <c r="G38" s="45">
        <f>IF($B38-'[4]30'!F38&lt;0,0,$B38-'[4]30'!F38)</f>
        <v>0</v>
      </c>
      <c r="H38" s="45">
        <f>IF($B38-'[4]30'!G38&lt;0,0,$B38-'[4]30'!G38)</f>
        <v>0</v>
      </c>
      <c r="I38" s="45">
        <f>IF($B38-'[4]30'!H38&lt;0,0,$B38-'[4]30'!H38)</f>
        <v>0</v>
      </c>
      <c r="J38" s="45">
        <f>IF($B38-'[4]30'!I38&lt;0,0,$B38-'[4]30'!I38)</f>
        <v>0</v>
      </c>
      <c r="K38" s="45">
        <f>IF($B38-'[4]30'!J38&lt;0,0,$B38-'[4]30'!J38)</f>
        <v>0</v>
      </c>
      <c r="L38" s="45">
        <f>IF($B38-'[4]30'!K38&lt;0,0,$B38-'[4]30'!K38)</f>
        <v>0</v>
      </c>
      <c r="M38" s="45">
        <f>IF($B38-'[4]30'!L38&lt;0,0,$B38-'[4]30'!L38)</f>
        <v>0</v>
      </c>
      <c r="N38" s="45">
        <f>IF($B38-'[4]30'!M38&lt;0,0,$B38-'[4]30'!M38)</f>
        <v>0</v>
      </c>
      <c r="O38" s="45">
        <f>IF($B38-'[4]30'!N38&lt;0,0,$B38-'[4]30'!N38)</f>
        <v>0</v>
      </c>
      <c r="P38" s="45">
        <f>IF($B38-'[4]30'!O38&lt;0,0,$B38-'[4]30'!O38)</f>
        <v>0</v>
      </c>
      <c r="Q38" s="45">
        <f>IF($B38-'[4]30'!P38&lt;0,0,$B38-'[4]30'!P38)</f>
        <v>0</v>
      </c>
      <c r="R38" s="45">
        <f>IF($B38-'[4]30'!Q38&lt;0,0,$B38-'[4]30'!Q38)</f>
        <v>0</v>
      </c>
      <c r="S38" s="45">
        <f>IF($B38-'[4]30'!R38&lt;0,0,$B38-'[4]30'!R38)</f>
        <v>0</v>
      </c>
      <c r="T38" s="45">
        <f>IF($B38-'[4]30'!S38&lt;0,0,$B38-'[4]30'!S38)</f>
        <v>0</v>
      </c>
      <c r="U38" s="45">
        <f>IF($B38-'[4]30'!T38&lt;0,0,$B38-'[4]30'!T38)</f>
        <v>0</v>
      </c>
      <c r="V38" s="45">
        <f>IF($B38-'[4]30'!U38&lt;0,0,$B38-'[4]30'!U38)</f>
        <v>0</v>
      </c>
      <c r="W38" s="45">
        <f>IF($B38-'[4]30'!V38&lt;0,0,$B38-'[4]30'!V38)</f>
        <v>0</v>
      </c>
      <c r="X38" s="45">
        <f>IF($B38-'[4]30'!W38&lt;0,0,$B38-'[4]30'!W38)</f>
        <v>0</v>
      </c>
      <c r="Y38" s="45">
        <f>IF($B38-'[4]30'!X38&lt;0,0,$B38-'[4]30'!X38)</f>
        <v>0</v>
      </c>
      <c r="Z38" s="45">
        <f>IF($B38-'[4]30'!Y38&lt;0,0,$B38-'[4]30'!Y38)</f>
        <v>0</v>
      </c>
      <c r="AA38" s="45">
        <f>IF($B38-'[4]30'!Z38&lt;0,0,$B38-'[4]30'!Z38)</f>
        <v>0</v>
      </c>
      <c r="AB38" s="45">
        <f>IF($B38-'[4]30'!AA38&lt;0,0,$B38-'[4]30'!AA38)</f>
        <v>0</v>
      </c>
      <c r="AC38" s="45">
        <f>IF($B38-'[4]30'!AB38&lt;0,0,$B38-'[4]30'!AB38)</f>
        <v>0</v>
      </c>
      <c r="AD38" s="45">
        <f>IF($B38-'[4]30'!AC38&lt;0,0,$B38-'[4]30'!AC38)</f>
        <v>0</v>
      </c>
      <c r="AE38" s="45">
        <f>IF($B38-'[4]30'!AD38&lt;0,0,$B38-'[4]30'!AD38)</f>
        <v>0</v>
      </c>
      <c r="AF38" s="45">
        <f>IF($B38-'[4]30'!AE38&lt;0,0,$B38-'[4]30'!AE38)</f>
        <v>0</v>
      </c>
      <c r="AG38" s="45">
        <f>IF($B38-'[4]30'!AF38&lt;0,0,$B38-'[4]30'!AF38)</f>
        <v>0</v>
      </c>
      <c r="AH38" s="51">
        <v>13</v>
      </c>
      <c r="AI38" s="48">
        <f t="shared" si="2"/>
        <v>0</v>
      </c>
      <c r="AJ38" s="49">
        <f t="shared" si="3"/>
        <v>0</v>
      </c>
      <c r="AL38" s="170"/>
      <c r="AM38" s="28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</row>
    <row r="39" spans="1:89" x14ac:dyDescent="0.25">
      <c r="A39" s="44" t="s">
        <v>38</v>
      </c>
      <c r="B39" s="45">
        <v>10</v>
      </c>
      <c r="C39" s="45">
        <f>IF($B39-'[4]30'!B39&lt;0,0,$B39-'[4]30'!B39)</f>
        <v>8</v>
      </c>
      <c r="D39" s="45">
        <f>IF($B39-'[4]30'!C39&lt;0,0,$B39-'[4]30'!C39)</f>
        <v>8</v>
      </c>
      <c r="E39" s="45">
        <f>IF($B39-'[4]30'!D39&lt;0,0,$B39-'[4]30'!D39)</f>
        <v>10</v>
      </c>
      <c r="F39" s="45">
        <f>IF($B39-'[4]30'!E39&lt;0,0,$B39-'[4]30'!E39)</f>
        <v>10</v>
      </c>
      <c r="G39" s="45">
        <f>IF($B39-'[4]30'!F39&lt;0,0,$B39-'[4]30'!F39)</f>
        <v>10</v>
      </c>
      <c r="H39" s="45">
        <f>IF($B39-'[4]30'!G39&lt;0,0,$B39-'[4]30'!G39)</f>
        <v>10</v>
      </c>
      <c r="I39" s="45">
        <f>IF($B39-'[4]30'!H39&lt;0,0,$B39-'[4]30'!H39)</f>
        <v>8</v>
      </c>
      <c r="J39" s="45">
        <f>IF($B39-'[4]30'!I39&lt;0,0,$B39-'[4]30'!I39)</f>
        <v>8</v>
      </c>
      <c r="K39" s="45">
        <f>IF($B39-'[4]30'!J39&lt;0,0,$B39-'[4]30'!J39)</f>
        <v>8</v>
      </c>
      <c r="L39" s="45">
        <f>IF($B39-'[4]30'!K39&lt;0,0,$B39-'[4]30'!K39)</f>
        <v>5</v>
      </c>
      <c r="M39" s="45">
        <f>IF($B39-'[4]30'!L39&lt;0,0,$B39-'[4]30'!L39)</f>
        <v>4</v>
      </c>
      <c r="N39" s="45">
        <f>IF($B39-'[4]30'!M39&lt;0,0,$B39-'[4]30'!M39)</f>
        <v>4</v>
      </c>
      <c r="O39" s="45">
        <f>IF($B39-'[4]30'!N39&lt;0,0,$B39-'[4]30'!N39)</f>
        <v>4</v>
      </c>
      <c r="P39" s="45">
        <f>IF($B39-'[4]30'!O39&lt;0,0,$B39-'[4]30'!O39)</f>
        <v>4</v>
      </c>
      <c r="Q39" s="45">
        <f>IF($B39-'[4]30'!P39&lt;0,0,$B39-'[4]30'!P39)</f>
        <v>4</v>
      </c>
      <c r="R39" s="45">
        <f>IF($B39-'[4]30'!Q39&lt;0,0,$B39-'[4]30'!Q39)</f>
        <v>4</v>
      </c>
      <c r="S39" s="45">
        <f>IF($B39-'[4]30'!R39&lt;0,0,$B39-'[4]30'!R39)</f>
        <v>4</v>
      </c>
      <c r="T39" s="45">
        <f>IF($B39-'[4]30'!S39&lt;0,0,$B39-'[4]30'!S39)</f>
        <v>6</v>
      </c>
      <c r="U39" s="45">
        <f>IF($B39-'[4]30'!T39&lt;0,0,$B39-'[4]30'!T39)</f>
        <v>6</v>
      </c>
      <c r="V39" s="45">
        <f>IF($B39-'[4]30'!U39&lt;0,0,$B39-'[4]30'!U39)</f>
        <v>6</v>
      </c>
      <c r="W39" s="45">
        <f>IF($B39-'[4]30'!V39&lt;0,0,$B39-'[4]30'!V39)</f>
        <v>0.40000000000000036</v>
      </c>
      <c r="X39" s="45">
        <f>IF($B39-'[4]30'!W39&lt;0,0,$B39-'[4]30'!W39)</f>
        <v>0</v>
      </c>
      <c r="Y39" s="45">
        <f>IF($B39-'[4]30'!X39&lt;0,0,$B39-'[4]30'!X39)</f>
        <v>0</v>
      </c>
      <c r="Z39" s="45">
        <f>IF($B39-'[4]30'!Y39&lt;0,0,$B39-'[4]30'!Y39)</f>
        <v>0</v>
      </c>
      <c r="AA39" s="45">
        <f>IF($B39-'[4]30'!Z39&lt;0,0,$B39-'[4]30'!Z39)</f>
        <v>0</v>
      </c>
      <c r="AB39" s="45">
        <f>IF($B39-'[4]30'!AA39&lt;0,0,$B39-'[4]30'!AA39)</f>
        <v>0</v>
      </c>
      <c r="AC39" s="45">
        <f>IF($B39-'[4]30'!AB39&lt;0,0,$B39-'[4]30'!AB39)</f>
        <v>0</v>
      </c>
      <c r="AD39" s="45">
        <f>IF($B39-'[4]30'!AC39&lt;0,0,$B39-'[4]30'!AC39)</f>
        <v>0</v>
      </c>
      <c r="AE39" s="45">
        <f>IF($B39-'[4]30'!AD39&lt;0,0,$B39-'[4]30'!AD39)</f>
        <v>0</v>
      </c>
      <c r="AF39" s="45">
        <f>IF($B39-'[4]30'!AE39&lt;0,0,$B39-'[4]30'!AE39)</f>
        <v>0</v>
      </c>
      <c r="AG39" s="45">
        <f>IF($B39-'[4]30'!AF39&lt;0,0,$B39-'[4]30'!AF39)</f>
        <v>4</v>
      </c>
      <c r="AH39" s="51">
        <v>12</v>
      </c>
      <c r="AI39" s="48">
        <f t="shared" si="2"/>
        <v>10</v>
      </c>
      <c r="AJ39" s="49">
        <f t="shared" si="3"/>
        <v>0</v>
      </c>
      <c r="AL39" s="170"/>
      <c r="AM39" s="28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</row>
    <row r="40" spans="1:89" x14ac:dyDescent="0.25">
      <c r="A40" s="44" t="s">
        <v>39</v>
      </c>
      <c r="B40" s="45">
        <v>12</v>
      </c>
      <c r="C40" s="45">
        <f>IF($B40-'[4]30'!B40&lt;0,0,$B40-'[4]30'!B40)</f>
        <v>0</v>
      </c>
      <c r="D40" s="45">
        <f>IF($B40-'[4]30'!C40&lt;0,0,$B40-'[4]30'!C40)</f>
        <v>0</v>
      </c>
      <c r="E40" s="45">
        <f>IF($B40-'[4]30'!D40&lt;0,0,$B40-'[4]30'!D40)</f>
        <v>0</v>
      </c>
      <c r="F40" s="45">
        <f>IF($B40-'[4]30'!E40&lt;0,0,$B40-'[4]30'!E40)</f>
        <v>0</v>
      </c>
      <c r="G40" s="45">
        <f>IF($B40-'[4]30'!F40&lt;0,0,$B40-'[4]30'!F40)</f>
        <v>0</v>
      </c>
      <c r="H40" s="45">
        <f>IF($B40-'[4]30'!G40&lt;0,0,$B40-'[4]30'!G40)</f>
        <v>0</v>
      </c>
      <c r="I40" s="45">
        <f>IF($B40-'[4]30'!H40&lt;0,0,$B40-'[4]30'!H40)</f>
        <v>0</v>
      </c>
      <c r="J40" s="45">
        <f>IF($B40-'[4]30'!I40&lt;0,0,$B40-'[4]30'!I40)</f>
        <v>0</v>
      </c>
      <c r="K40" s="45">
        <f>IF($B40-'[4]30'!J40&lt;0,0,$B40-'[4]30'!J40)</f>
        <v>0</v>
      </c>
      <c r="L40" s="45">
        <f>IF($B40-'[4]30'!K40&lt;0,0,$B40-'[4]30'!K40)</f>
        <v>0</v>
      </c>
      <c r="M40" s="45">
        <f>IF($B40-'[4]30'!L40&lt;0,0,$B40-'[4]30'!L40)</f>
        <v>0</v>
      </c>
      <c r="N40" s="45">
        <f>IF($B40-'[4]30'!M40&lt;0,0,$B40-'[4]30'!M40)</f>
        <v>0</v>
      </c>
      <c r="O40" s="45">
        <f>IF($B40-'[4]30'!N40&lt;0,0,$B40-'[4]30'!N40)</f>
        <v>0</v>
      </c>
      <c r="P40" s="45">
        <f>IF($B40-'[4]30'!O40&lt;0,0,$B40-'[4]30'!O40)</f>
        <v>0</v>
      </c>
      <c r="Q40" s="45">
        <f>IF($B40-'[4]30'!P40&lt;0,0,$B40-'[4]30'!P40)</f>
        <v>0</v>
      </c>
      <c r="R40" s="45">
        <f>IF($B40-'[4]30'!Q40&lt;0,0,$B40-'[4]30'!Q40)</f>
        <v>0</v>
      </c>
      <c r="S40" s="45">
        <f>IF($B40-'[4]30'!R40&lt;0,0,$B40-'[4]30'!R40)</f>
        <v>0</v>
      </c>
      <c r="T40" s="45">
        <f>IF($B40-'[4]30'!S40&lt;0,0,$B40-'[4]30'!S40)</f>
        <v>0</v>
      </c>
      <c r="U40" s="45">
        <f>IF($B40-'[4]30'!T40&lt;0,0,$B40-'[4]30'!T40)</f>
        <v>0</v>
      </c>
      <c r="V40" s="45">
        <f>IF($B40-'[4]30'!U40&lt;0,0,$B40-'[4]30'!U40)</f>
        <v>0</v>
      </c>
      <c r="W40" s="45">
        <f>IF($B40-'[4]30'!V40&lt;0,0,$B40-'[4]30'!V40)</f>
        <v>0</v>
      </c>
      <c r="X40" s="45">
        <f>IF($B40-'[4]30'!W40&lt;0,0,$B40-'[4]30'!W40)</f>
        <v>0</v>
      </c>
      <c r="Y40" s="45">
        <f>IF($B40-'[4]30'!X40&lt;0,0,$B40-'[4]30'!X40)</f>
        <v>0</v>
      </c>
      <c r="Z40" s="45">
        <f>IF($B40-'[4]30'!Y40&lt;0,0,$B40-'[4]30'!Y40)</f>
        <v>0</v>
      </c>
      <c r="AA40" s="45">
        <f>IF($B40-'[4]30'!Z40&lt;0,0,$B40-'[4]30'!Z40)</f>
        <v>0</v>
      </c>
      <c r="AB40" s="45">
        <f>IF($B40-'[4]30'!AA40&lt;0,0,$B40-'[4]30'!AA40)</f>
        <v>0</v>
      </c>
      <c r="AC40" s="45">
        <f>IF($B40-'[4]30'!AB40&lt;0,0,$B40-'[4]30'!AB40)</f>
        <v>0</v>
      </c>
      <c r="AD40" s="45">
        <f>IF($B40-'[4]30'!AC40&lt;0,0,$B40-'[4]30'!AC40)</f>
        <v>0</v>
      </c>
      <c r="AE40" s="45">
        <f>IF($B40-'[4]30'!AD40&lt;0,0,$B40-'[4]30'!AD40)</f>
        <v>0</v>
      </c>
      <c r="AF40" s="45">
        <f>IF($B40-'[4]30'!AE40&lt;0,0,$B40-'[4]30'!AE40)</f>
        <v>0</v>
      </c>
      <c r="AG40" s="45">
        <f>IF($B40-'[4]30'!AF40&lt;0,0,$B40-'[4]30'!AF40)</f>
        <v>0</v>
      </c>
      <c r="AH40" s="51">
        <v>12</v>
      </c>
      <c r="AI40" s="48">
        <f t="shared" si="2"/>
        <v>0</v>
      </c>
      <c r="AJ40" s="49">
        <f t="shared" si="3"/>
        <v>0</v>
      </c>
      <c r="AL40" s="170"/>
      <c r="AM40" s="28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</row>
    <row r="41" spans="1:89" x14ac:dyDescent="0.25">
      <c r="A41" s="44" t="s">
        <v>261</v>
      </c>
      <c r="B41" s="45">
        <v>6.9</v>
      </c>
      <c r="C41" s="45">
        <f>IF($B41-'[4]30'!B41&lt;0,0,$B41-'[4]30'!B41)</f>
        <v>0</v>
      </c>
      <c r="D41" s="45">
        <f>IF($B41-'[4]30'!C41&lt;0,0,$B41-'[4]30'!C41)</f>
        <v>0</v>
      </c>
      <c r="E41" s="45">
        <f>IF($B41-'[4]30'!D41&lt;0,0,$B41-'[4]30'!D41)</f>
        <v>0</v>
      </c>
      <c r="F41" s="45">
        <f>IF($B41-'[4]30'!E41&lt;0,0,$B41-'[4]30'!E41)</f>
        <v>0</v>
      </c>
      <c r="G41" s="45">
        <f>IF($B41-'[4]30'!F41&lt;0,0,$B41-'[4]30'!F41)</f>
        <v>0</v>
      </c>
      <c r="H41" s="45">
        <f>IF($B41-'[4]30'!G41&lt;0,0,$B41-'[4]30'!G41)</f>
        <v>0</v>
      </c>
      <c r="I41" s="45">
        <f>IF($B41-'[4]30'!H41&lt;0,0,$B41-'[4]30'!H41)</f>
        <v>0</v>
      </c>
      <c r="J41" s="45">
        <f>IF($B41-'[4]30'!I41&lt;0,0,$B41-'[4]30'!I41)</f>
        <v>0</v>
      </c>
      <c r="K41" s="45">
        <f>IF($B41-'[4]30'!J41&lt;0,0,$B41-'[4]30'!J41)</f>
        <v>0</v>
      </c>
      <c r="L41" s="45">
        <f>IF($B41-'[4]30'!K41&lt;0,0,$B41-'[4]30'!K41)</f>
        <v>0</v>
      </c>
      <c r="M41" s="45">
        <f>IF($B41-'[4]30'!L41&lt;0,0,$B41-'[4]30'!L41)</f>
        <v>0</v>
      </c>
      <c r="N41" s="45">
        <f>IF($B41-'[4]30'!M41&lt;0,0,$B41-'[4]30'!M41)</f>
        <v>0</v>
      </c>
      <c r="O41" s="45">
        <f>IF($B41-'[4]30'!N41&lt;0,0,$B41-'[4]30'!N41)</f>
        <v>0</v>
      </c>
      <c r="P41" s="45">
        <f>IF($B41-'[4]30'!O41&lt;0,0,$B41-'[4]30'!O41)</f>
        <v>0</v>
      </c>
      <c r="Q41" s="45">
        <f>IF($B41-'[4]30'!P41&lt;0,0,$B41-'[4]30'!P41)</f>
        <v>0</v>
      </c>
      <c r="R41" s="45">
        <f>IF($B41-'[4]30'!Q41&lt;0,0,$B41-'[4]30'!Q41)</f>
        <v>0</v>
      </c>
      <c r="S41" s="45">
        <f>IF($B41-'[4]30'!R41&lt;0,0,$B41-'[4]30'!R41)</f>
        <v>0</v>
      </c>
      <c r="T41" s="45">
        <f>IF($B41-'[4]30'!S41&lt;0,0,$B41-'[4]30'!S41)</f>
        <v>0</v>
      </c>
      <c r="U41" s="45">
        <f>IF($B41-'[4]30'!T41&lt;0,0,$B41-'[4]30'!T41)</f>
        <v>0</v>
      </c>
      <c r="V41" s="45">
        <f>IF($B41-'[4]30'!U41&lt;0,0,$B41-'[4]30'!U41)</f>
        <v>0</v>
      </c>
      <c r="W41" s="45">
        <f>IF($B41-'[4]30'!V41&lt;0,0,$B41-'[4]30'!V41)</f>
        <v>0</v>
      </c>
      <c r="X41" s="45">
        <f>IF($B41-'[4]30'!W41&lt;0,0,$B41-'[4]30'!W41)</f>
        <v>0</v>
      </c>
      <c r="Y41" s="45">
        <f>IF($B41-'[4]30'!X41&lt;0,0,$B41-'[4]30'!X41)</f>
        <v>0</v>
      </c>
      <c r="Z41" s="45">
        <f>IF($B41-'[4]30'!Y41&lt;0,0,$B41-'[4]30'!Y41)</f>
        <v>0</v>
      </c>
      <c r="AA41" s="45">
        <f>IF($B41-'[4]30'!Z41&lt;0,0,$B41-'[4]30'!Z41)</f>
        <v>0</v>
      </c>
      <c r="AB41" s="45">
        <f>IF($B41-'[4]30'!AA41&lt;0,0,$B41-'[4]30'!AA41)</f>
        <v>0</v>
      </c>
      <c r="AC41" s="45">
        <f>IF($B41-'[4]30'!AB41&lt;0,0,$B41-'[4]30'!AB41)</f>
        <v>0</v>
      </c>
      <c r="AD41" s="45">
        <f>IF($B41-'[4]30'!AC41&lt;0,0,$B41-'[4]30'!AC41)</f>
        <v>0</v>
      </c>
      <c r="AE41" s="45">
        <f>IF($B41-'[4]30'!AD41&lt;0,0,$B41-'[4]30'!AD41)</f>
        <v>0</v>
      </c>
      <c r="AF41" s="45">
        <f>IF($B41-'[4]30'!AE41&lt;0,0,$B41-'[4]30'!AE41)</f>
        <v>0</v>
      </c>
      <c r="AG41" s="45">
        <f>IF($B41-'[4]30'!AF41&lt;0,0,$B41-'[4]30'!AF41)</f>
        <v>0</v>
      </c>
      <c r="AH41" s="51">
        <v>12</v>
      </c>
      <c r="AI41" s="48">
        <f t="shared" si="2"/>
        <v>0</v>
      </c>
      <c r="AJ41" s="49">
        <f t="shared" si="3"/>
        <v>0</v>
      </c>
      <c r="AL41" s="170"/>
      <c r="AM41" s="28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</row>
    <row r="42" spans="1:89" ht="14.25" customHeight="1" x14ac:dyDescent="0.25">
      <c r="A42" s="44" t="s">
        <v>41</v>
      </c>
      <c r="B42" s="45">
        <v>8</v>
      </c>
      <c r="C42" s="45">
        <f>IF($B42-'[4]30'!B42&lt;0,0,$B42-'[4]30'!B42)</f>
        <v>0</v>
      </c>
      <c r="D42" s="45">
        <f>IF($B42-'[4]30'!C42&lt;0,0,$B42-'[4]30'!C42)</f>
        <v>0</v>
      </c>
      <c r="E42" s="45">
        <f>IF($B42-'[4]30'!D42&lt;0,0,$B42-'[4]30'!D42)</f>
        <v>0</v>
      </c>
      <c r="F42" s="45">
        <f>IF($B42-'[4]30'!E42&lt;0,0,$B42-'[4]30'!E42)</f>
        <v>0</v>
      </c>
      <c r="G42" s="45">
        <f>IF($B42-'[4]30'!F42&lt;0,0,$B42-'[4]30'!F42)</f>
        <v>0</v>
      </c>
      <c r="H42" s="45">
        <f>IF($B42-'[4]30'!G42&lt;0,0,$B42-'[4]30'!G42)</f>
        <v>0</v>
      </c>
      <c r="I42" s="45">
        <f>IF($B42-'[4]30'!H42&lt;0,0,$B42-'[4]30'!H42)</f>
        <v>0</v>
      </c>
      <c r="J42" s="45">
        <f>IF($B42-'[4]30'!I42&lt;0,0,$B42-'[4]30'!I42)</f>
        <v>0</v>
      </c>
      <c r="K42" s="45">
        <f>IF($B42-'[4]30'!J42&lt;0,0,$B42-'[4]30'!J42)</f>
        <v>0</v>
      </c>
      <c r="L42" s="45">
        <f>IF($B42-'[4]30'!K42&lt;0,0,$B42-'[4]30'!K42)</f>
        <v>0</v>
      </c>
      <c r="M42" s="45">
        <f>IF($B42-'[4]30'!L42&lt;0,0,$B42-'[4]30'!L42)</f>
        <v>0</v>
      </c>
      <c r="N42" s="45">
        <f>IF($B42-'[4]30'!M42&lt;0,0,$B42-'[4]30'!M42)</f>
        <v>0</v>
      </c>
      <c r="O42" s="45">
        <f>IF($B42-'[4]30'!N42&lt;0,0,$B42-'[4]30'!N42)</f>
        <v>0</v>
      </c>
      <c r="P42" s="45">
        <f>IF($B42-'[4]30'!O42&lt;0,0,$B42-'[4]30'!O42)</f>
        <v>0</v>
      </c>
      <c r="Q42" s="45">
        <f>IF($B42-'[4]30'!P42&lt;0,0,$B42-'[4]30'!P42)</f>
        <v>0</v>
      </c>
      <c r="R42" s="45">
        <f>IF($B42-'[4]30'!Q42&lt;0,0,$B42-'[4]30'!Q42)</f>
        <v>0</v>
      </c>
      <c r="S42" s="45">
        <f>IF($B42-'[4]30'!R42&lt;0,0,$B42-'[4]30'!R42)</f>
        <v>0</v>
      </c>
      <c r="T42" s="45">
        <f>IF($B42-'[4]30'!S42&lt;0,0,$B42-'[4]30'!S42)</f>
        <v>0</v>
      </c>
      <c r="U42" s="45">
        <f>IF($B42-'[4]30'!T42&lt;0,0,$B42-'[4]30'!T42)</f>
        <v>0</v>
      </c>
      <c r="V42" s="45">
        <f>IF($B42-'[4]30'!U42&lt;0,0,$B42-'[4]30'!U42)</f>
        <v>0</v>
      </c>
      <c r="W42" s="45">
        <f>IF($B42-'[4]30'!V42&lt;0,0,$B42-'[4]30'!V42)</f>
        <v>0</v>
      </c>
      <c r="X42" s="45">
        <f>IF($B42-'[4]30'!W42&lt;0,0,$B42-'[4]30'!W42)</f>
        <v>0</v>
      </c>
      <c r="Y42" s="45">
        <f>IF($B42-'[4]30'!X42&lt;0,0,$B42-'[4]30'!X42)</f>
        <v>0</v>
      </c>
      <c r="Z42" s="45">
        <f>IF($B42-'[4]30'!Y42&lt;0,0,$B42-'[4]30'!Y42)</f>
        <v>0</v>
      </c>
      <c r="AA42" s="45">
        <f>IF($B42-'[4]30'!Z42&lt;0,0,$B42-'[4]30'!Z42)</f>
        <v>0</v>
      </c>
      <c r="AB42" s="45">
        <f>IF($B42-'[4]30'!AA42&lt;0,0,$B42-'[4]30'!AA42)</f>
        <v>0</v>
      </c>
      <c r="AC42" s="45">
        <f>IF($B42-'[4]30'!AB42&lt;0,0,$B42-'[4]30'!AB42)</f>
        <v>0</v>
      </c>
      <c r="AD42" s="45">
        <f>IF($B42-'[4]30'!AC42&lt;0,0,$B42-'[4]30'!AC42)</f>
        <v>0</v>
      </c>
      <c r="AE42" s="45">
        <f>IF($B42-'[4]30'!AD42&lt;0,0,$B42-'[4]30'!AD42)</f>
        <v>0</v>
      </c>
      <c r="AF42" s="45">
        <f>IF($B42-'[4]30'!AE42&lt;0,0,$B42-'[4]30'!AE42)</f>
        <v>0</v>
      </c>
      <c r="AG42" s="45">
        <f>IF($B42-'[4]30'!AF42&lt;0,0,$B42-'[4]30'!AF42)</f>
        <v>0</v>
      </c>
      <c r="AH42" s="53">
        <v>22</v>
      </c>
      <c r="AI42" s="48">
        <f t="shared" si="2"/>
        <v>0</v>
      </c>
      <c r="AJ42" s="49">
        <f t="shared" si="3"/>
        <v>0</v>
      </c>
      <c r="AL42" s="170"/>
      <c r="AM42" s="28"/>
      <c r="AN42" s="24"/>
      <c r="AO42" s="24"/>
      <c r="AP42" s="24"/>
      <c r="AQ42" s="24"/>
      <c r="AR42" s="15"/>
      <c r="AS42" s="21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</row>
    <row r="43" spans="1:89" ht="14.25" customHeight="1" x14ac:dyDescent="0.25">
      <c r="A43" s="44" t="s">
        <v>42</v>
      </c>
      <c r="B43" s="45">
        <v>8</v>
      </c>
      <c r="C43" s="45">
        <f>IF($B43-'[4]30'!B43&lt;0,0,$B43-'[4]30'!B43)</f>
        <v>0</v>
      </c>
      <c r="D43" s="45">
        <f>IF($B43-'[4]30'!C43&lt;0,0,$B43-'[4]30'!C43)</f>
        <v>0</v>
      </c>
      <c r="E43" s="45">
        <f>IF($B43-'[4]30'!D43&lt;0,0,$B43-'[4]30'!D43)</f>
        <v>0</v>
      </c>
      <c r="F43" s="45">
        <f>IF($B43-'[4]30'!E43&lt;0,0,$B43-'[4]30'!E43)</f>
        <v>0</v>
      </c>
      <c r="G43" s="45">
        <f>IF($B43-'[4]30'!F43&lt;0,0,$B43-'[4]30'!F43)</f>
        <v>0</v>
      </c>
      <c r="H43" s="45">
        <f>IF($B43-'[4]30'!G43&lt;0,0,$B43-'[4]30'!G43)</f>
        <v>0</v>
      </c>
      <c r="I43" s="45">
        <f>IF($B43-'[4]30'!H43&lt;0,0,$B43-'[4]30'!H43)</f>
        <v>0</v>
      </c>
      <c r="J43" s="45">
        <f>IF($B43-'[4]30'!I43&lt;0,0,$B43-'[4]30'!I43)</f>
        <v>8</v>
      </c>
      <c r="K43" s="45">
        <f>IF($B43-'[4]30'!J43&lt;0,0,$B43-'[4]30'!J43)</f>
        <v>8</v>
      </c>
      <c r="L43" s="45">
        <f>IF($B43-'[4]30'!K43&lt;0,0,$B43-'[4]30'!K43)</f>
        <v>8</v>
      </c>
      <c r="M43" s="45">
        <f>IF($B43-'[4]30'!L43&lt;0,0,$B43-'[4]30'!L43)</f>
        <v>8</v>
      </c>
      <c r="N43" s="45">
        <f>IF($B43-'[4]30'!M43&lt;0,0,$B43-'[4]30'!M43)</f>
        <v>8</v>
      </c>
      <c r="O43" s="45">
        <f>IF($B43-'[4]30'!N43&lt;0,0,$B43-'[4]30'!N43)</f>
        <v>8</v>
      </c>
      <c r="P43" s="45">
        <f>IF($B43-'[4]30'!O43&lt;0,0,$B43-'[4]30'!O43)</f>
        <v>8</v>
      </c>
      <c r="Q43" s="45">
        <f>IF($B43-'[4]30'!P43&lt;0,0,$B43-'[4]30'!P43)</f>
        <v>8</v>
      </c>
      <c r="R43" s="45">
        <f>IF($B43-'[4]30'!Q43&lt;0,0,$B43-'[4]30'!Q43)</f>
        <v>8</v>
      </c>
      <c r="S43" s="45">
        <f>IF($B43-'[4]30'!R43&lt;0,0,$B43-'[4]30'!R43)</f>
        <v>8</v>
      </c>
      <c r="T43" s="45">
        <f>IF($B43-'[4]30'!S43&lt;0,0,$B43-'[4]30'!S43)</f>
        <v>8</v>
      </c>
      <c r="U43" s="45">
        <f>IF($B43-'[4]30'!T43&lt;0,0,$B43-'[4]30'!T43)</f>
        <v>8</v>
      </c>
      <c r="V43" s="45">
        <f>IF($B43-'[4]30'!U43&lt;0,0,$B43-'[4]30'!U43)</f>
        <v>8</v>
      </c>
      <c r="W43" s="45">
        <f>IF($B43-'[4]30'!V43&lt;0,0,$B43-'[4]30'!V43)</f>
        <v>8</v>
      </c>
      <c r="X43" s="45">
        <f>IF($B43-'[4]30'!W43&lt;0,0,$B43-'[4]30'!W43)</f>
        <v>8</v>
      </c>
      <c r="Y43" s="45">
        <f>IF($B43-'[4]30'!X43&lt;0,0,$B43-'[4]30'!X43)</f>
        <v>8</v>
      </c>
      <c r="Z43" s="45">
        <f>IF($B43-'[4]30'!Y43&lt;0,0,$B43-'[4]30'!Y43)</f>
        <v>8</v>
      </c>
      <c r="AA43" s="45">
        <f>IF($B43-'[4]30'!Z43&lt;0,0,$B43-'[4]30'!Z43)</f>
        <v>8</v>
      </c>
      <c r="AB43" s="45">
        <f>IF($B43-'[4]30'!AA43&lt;0,0,$B43-'[4]30'!AA43)</f>
        <v>8</v>
      </c>
      <c r="AC43" s="45">
        <f>IF($B43-'[4]30'!AB43&lt;0,0,$B43-'[4]30'!AB43)</f>
        <v>8</v>
      </c>
      <c r="AD43" s="45">
        <f>IF($B43-'[4]30'!AC43&lt;0,0,$B43-'[4]30'!AC43)</f>
        <v>8</v>
      </c>
      <c r="AE43" s="45">
        <f>IF($B43-'[4]30'!AD43&lt;0,0,$B43-'[4]30'!AD43)</f>
        <v>8</v>
      </c>
      <c r="AF43" s="45">
        <f>IF($B43-'[4]30'!AE43&lt;0,0,$B43-'[4]30'!AE43)</f>
        <v>8</v>
      </c>
      <c r="AG43" s="45">
        <f>IF($B43-'[4]30'!AF43&lt;0,0,$B43-'[4]30'!AF43)</f>
        <v>8</v>
      </c>
      <c r="AH43" s="52">
        <v>11.88</v>
      </c>
      <c r="AI43" s="48">
        <f t="shared" si="2"/>
        <v>8</v>
      </c>
      <c r="AJ43" s="49">
        <f t="shared" si="3"/>
        <v>0</v>
      </c>
      <c r="AL43" s="170"/>
      <c r="AM43" s="28"/>
      <c r="AN43" s="24"/>
      <c r="AO43" s="24"/>
      <c r="AP43" s="24"/>
      <c r="AQ43" s="24"/>
      <c r="AR43" s="15"/>
      <c r="AS43" s="21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</row>
    <row r="44" spans="1:89" ht="14.25" customHeight="1" x14ac:dyDescent="0.25">
      <c r="A44" s="54" t="s">
        <v>43</v>
      </c>
      <c r="B44" s="45">
        <v>11</v>
      </c>
      <c r="C44" s="45">
        <f>IF($B44-'[4]30'!B44&lt;0,0,$B44-'[4]30'!B44)</f>
        <v>0</v>
      </c>
      <c r="D44" s="45">
        <f>IF($B44-'[4]30'!C44&lt;0,0,$B44-'[4]30'!C44)</f>
        <v>0</v>
      </c>
      <c r="E44" s="45">
        <f>IF($B44-'[4]30'!D44&lt;0,0,$B44-'[4]30'!D44)</f>
        <v>0</v>
      </c>
      <c r="F44" s="45">
        <f>IF($B44-'[4]30'!E44&lt;0,0,$B44-'[4]30'!E44)</f>
        <v>0</v>
      </c>
      <c r="G44" s="45">
        <f>IF($B44-'[4]30'!F44&lt;0,0,$B44-'[4]30'!F44)</f>
        <v>0</v>
      </c>
      <c r="H44" s="45">
        <f>IF($B44-'[4]30'!G44&lt;0,0,$B44-'[4]30'!G44)</f>
        <v>0</v>
      </c>
      <c r="I44" s="45">
        <f>IF($B44-'[4]30'!H44&lt;0,0,$B44-'[4]30'!H44)</f>
        <v>0</v>
      </c>
      <c r="J44" s="45">
        <f>IF($B44-'[4]30'!I44&lt;0,0,$B44-'[4]30'!I44)</f>
        <v>0</v>
      </c>
      <c r="K44" s="45">
        <f>IF($B44-'[4]30'!J44&lt;0,0,$B44-'[4]30'!J44)</f>
        <v>0</v>
      </c>
      <c r="L44" s="45">
        <f>IF($B44-'[4]30'!K44&lt;0,0,$B44-'[4]30'!K44)</f>
        <v>0</v>
      </c>
      <c r="M44" s="45">
        <f>IF($B44-'[4]30'!L44&lt;0,0,$B44-'[4]30'!L44)</f>
        <v>0</v>
      </c>
      <c r="N44" s="45">
        <f>IF($B44-'[4]30'!M44&lt;0,0,$B44-'[4]30'!M44)</f>
        <v>0</v>
      </c>
      <c r="O44" s="45">
        <f>IF($B44-'[4]30'!N44&lt;0,0,$B44-'[4]30'!N44)</f>
        <v>0</v>
      </c>
      <c r="P44" s="45">
        <f>IF($B44-'[4]30'!O44&lt;0,0,$B44-'[4]30'!O44)</f>
        <v>0</v>
      </c>
      <c r="Q44" s="45">
        <f>IF($B44-'[4]30'!P44&lt;0,0,$B44-'[4]30'!P44)</f>
        <v>0</v>
      </c>
      <c r="R44" s="45">
        <f>IF($B44-'[4]30'!Q44&lt;0,0,$B44-'[4]30'!Q44)</f>
        <v>0</v>
      </c>
      <c r="S44" s="45">
        <f>IF($B44-'[4]30'!R44&lt;0,0,$B44-'[4]30'!R44)</f>
        <v>0</v>
      </c>
      <c r="T44" s="45">
        <f>IF($B44-'[4]30'!S44&lt;0,0,$B44-'[4]30'!S44)</f>
        <v>0</v>
      </c>
      <c r="U44" s="45">
        <f>IF($B44-'[4]30'!T44&lt;0,0,$B44-'[4]30'!T44)</f>
        <v>0</v>
      </c>
      <c r="V44" s="45">
        <f>IF($B44-'[4]30'!U44&lt;0,0,$B44-'[4]30'!U44)</f>
        <v>0</v>
      </c>
      <c r="W44" s="45">
        <f>IF($B44-'[4]30'!V44&lt;0,0,$B44-'[4]30'!V44)</f>
        <v>0</v>
      </c>
      <c r="X44" s="45">
        <f>IF($B44-'[4]30'!W44&lt;0,0,$B44-'[4]30'!W44)</f>
        <v>0</v>
      </c>
      <c r="Y44" s="45">
        <f>IF($B44-'[4]30'!X44&lt;0,0,$B44-'[4]30'!X44)</f>
        <v>0</v>
      </c>
      <c r="Z44" s="45">
        <f>IF($B44-'[4]30'!Y44&lt;0,0,$B44-'[4]30'!Y44)</f>
        <v>0</v>
      </c>
      <c r="AA44" s="45">
        <f>IF($B44-'[4]30'!Z44&lt;0,0,$B44-'[4]30'!Z44)</f>
        <v>0</v>
      </c>
      <c r="AB44" s="45">
        <f>IF($B44-'[4]30'!AA44&lt;0,0,$B44-'[4]30'!AA44)</f>
        <v>0</v>
      </c>
      <c r="AC44" s="45">
        <f>IF($B44-'[4]30'!AB44&lt;0,0,$B44-'[4]30'!AB44)</f>
        <v>0</v>
      </c>
      <c r="AD44" s="45">
        <f>IF($B44-'[4]30'!AC44&lt;0,0,$B44-'[4]30'!AC44)</f>
        <v>0</v>
      </c>
      <c r="AE44" s="45">
        <f>IF($B44-'[4]30'!AD44&lt;0,0,$B44-'[4]30'!AD44)</f>
        <v>0</v>
      </c>
      <c r="AF44" s="45">
        <f>IF($B44-'[4]30'!AE44&lt;0,0,$B44-'[4]30'!AE44)</f>
        <v>0</v>
      </c>
      <c r="AG44" s="45">
        <f>IF($B44-'[4]30'!AF44&lt;0,0,$B44-'[4]30'!AF44)</f>
        <v>0</v>
      </c>
      <c r="AH44" s="55">
        <v>11</v>
      </c>
      <c r="AI44" s="48">
        <f t="shared" si="2"/>
        <v>0</v>
      </c>
      <c r="AJ44" s="49">
        <f t="shared" si="3"/>
        <v>0</v>
      </c>
      <c r="AL44" s="170"/>
      <c r="AM44" s="28"/>
      <c r="AN44" s="24"/>
      <c r="AO44" s="24"/>
      <c r="AP44" s="24"/>
      <c r="AQ44" s="24"/>
      <c r="AR44" s="15"/>
      <c r="AS44" s="21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</row>
    <row r="45" spans="1:89" ht="14.25" customHeight="1" x14ac:dyDescent="0.25">
      <c r="A45" s="54" t="s">
        <v>44</v>
      </c>
      <c r="B45" s="45">
        <v>8</v>
      </c>
      <c r="C45" s="45">
        <f>IF($B45-'[4]30'!B45&lt;0,0,$B45-'[4]30'!B45)</f>
        <v>0</v>
      </c>
      <c r="D45" s="45">
        <f>IF($B45-'[4]30'!C45&lt;0,0,$B45-'[4]30'!C45)</f>
        <v>0</v>
      </c>
      <c r="E45" s="45">
        <f>IF($B45-'[4]30'!D45&lt;0,0,$B45-'[4]30'!D45)</f>
        <v>0</v>
      </c>
      <c r="F45" s="45">
        <f>IF($B45-'[4]30'!E45&lt;0,0,$B45-'[4]30'!E45)</f>
        <v>0</v>
      </c>
      <c r="G45" s="45">
        <f>IF($B45-'[4]30'!F45&lt;0,0,$B45-'[4]30'!F45)</f>
        <v>0</v>
      </c>
      <c r="H45" s="45">
        <f>IF($B45-'[4]30'!G45&lt;0,0,$B45-'[4]30'!G45)</f>
        <v>0</v>
      </c>
      <c r="I45" s="45">
        <f>IF($B45-'[4]30'!H45&lt;0,0,$B45-'[4]30'!H45)</f>
        <v>0</v>
      </c>
      <c r="J45" s="45">
        <f>IF($B45-'[4]30'!I45&lt;0,0,$B45-'[4]30'!I45)</f>
        <v>0</v>
      </c>
      <c r="K45" s="45">
        <f>IF($B45-'[4]30'!J45&lt;0,0,$B45-'[4]30'!J45)</f>
        <v>0</v>
      </c>
      <c r="L45" s="45">
        <f>IF($B45-'[4]30'!K45&lt;0,0,$B45-'[4]30'!K45)</f>
        <v>0</v>
      </c>
      <c r="M45" s="45">
        <f>IF($B45-'[4]30'!L45&lt;0,0,$B45-'[4]30'!L45)</f>
        <v>0</v>
      </c>
      <c r="N45" s="45">
        <f>IF($B45-'[4]30'!M45&lt;0,0,$B45-'[4]30'!M45)</f>
        <v>0</v>
      </c>
      <c r="O45" s="45">
        <f>IF($B45-'[4]30'!N45&lt;0,0,$B45-'[4]30'!N45)</f>
        <v>0</v>
      </c>
      <c r="P45" s="45">
        <f>IF($B45-'[4]30'!O45&lt;0,0,$B45-'[4]30'!O45)</f>
        <v>0</v>
      </c>
      <c r="Q45" s="45">
        <f>IF($B45-'[4]30'!P45&lt;0,0,$B45-'[4]30'!P45)</f>
        <v>0</v>
      </c>
      <c r="R45" s="45">
        <f>IF($B45-'[4]30'!Q45&lt;0,0,$B45-'[4]30'!Q45)</f>
        <v>0</v>
      </c>
      <c r="S45" s="45">
        <f>IF($B45-'[4]30'!R45&lt;0,0,$B45-'[4]30'!R45)</f>
        <v>0</v>
      </c>
      <c r="T45" s="45">
        <f>IF($B45-'[4]30'!S45&lt;0,0,$B45-'[4]30'!S45)</f>
        <v>0</v>
      </c>
      <c r="U45" s="45">
        <f>IF($B45-'[4]30'!T45&lt;0,0,$B45-'[4]30'!T45)</f>
        <v>0</v>
      </c>
      <c r="V45" s="45">
        <f>IF($B45-'[4]30'!U45&lt;0,0,$B45-'[4]30'!U45)</f>
        <v>0</v>
      </c>
      <c r="W45" s="45">
        <f>IF($B45-'[4]30'!V45&lt;0,0,$B45-'[4]30'!V45)</f>
        <v>0</v>
      </c>
      <c r="X45" s="45">
        <f>IF($B45-'[4]30'!W45&lt;0,0,$B45-'[4]30'!W45)</f>
        <v>0</v>
      </c>
      <c r="Y45" s="45">
        <f>IF($B45-'[4]30'!X45&lt;0,0,$B45-'[4]30'!X45)</f>
        <v>0</v>
      </c>
      <c r="Z45" s="45">
        <f>IF($B45-'[4]30'!Y45&lt;0,0,$B45-'[4]30'!Y45)</f>
        <v>0</v>
      </c>
      <c r="AA45" s="45">
        <f>IF($B45-'[4]30'!Z45&lt;0,0,$B45-'[4]30'!Z45)</f>
        <v>0</v>
      </c>
      <c r="AB45" s="45">
        <f>IF($B45-'[4]30'!AA45&lt;0,0,$B45-'[4]30'!AA45)</f>
        <v>0</v>
      </c>
      <c r="AC45" s="45">
        <f>IF($B45-'[4]30'!AB45&lt;0,0,$B45-'[4]30'!AB45)</f>
        <v>0</v>
      </c>
      <c r="AD45" s="45">
        <f>IF($B45-'[4]30'!AC45&lt;0,0,$B45-'[4]30'!AC45)</f>
        <v>0</v>
      </c>
      <c r="AE45" s="45">
        <f>IF($B45-'[4]30'!AD45&lt;0,0,$B45-'[4]30'!AD45)</f>
        <v>0</v>
      </c>
      <c r="AF45" s="45">
        <f>IF($B45-'[4]30'!AE45&lt;0,0,$B45-'[4]30'!AE45)</f>
        <v>0</v>
      </c>
      <c r="AG45" s="45">
        <f>IF($B45-'[4]30'!AF45&lt;0,0,$B45-'[4]30'!AF45)</f>
        <v>0</v>
      </c>
      <c r="AH45" s="55">
        <v>10</v>
      </c>
      <c r="AI45" s="48">
        <f t="shared" si="2"/>
        <v>0</v>
      </c>
      <c r="AJ45" s="49">
        <f t="shared" si="3"/>
        <v>0</v>
      </c>
      <c r="AL45" s="170"/>
      <c r="AM45" s="28"/>
      <c r="AN45" s="24"/>
      <c r="AO45" s="24"/>
      <c r="AP45" s="24"/>
      <c r="AQ45" s="24"/>
      <c r="AR45" s="15"/>
      <c r="AS45" s="21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</row>
    <row r="46" spans="1:89" x14ac:dyDescent="0.25">
      <c r="A46" s="54" t="s">
        <v>262</v>
      </c>
      <c r="B46" s="45">
        <v>10</v>
      </c>
      <c r="C46" s="45">
        <f>IF($B46-'[4]30'!B46&lt;0,0,$B46-'[4]30'!B46)</f>
        <v>0</v>
      </c>
      <c r="D46" s="45">
        <f>IF($B46-'[4]30'!C46&lt;0,0,$B46-'[4]30'!C46)</f>
        <v>0</v>
      </c>
      <c r="E46" s="45">
        <f>IF($B46-'[4]30'!D46&lt;0,0,$B46-'[4]30'!D46)</f>
        <v>0</v>
      </c>
      <c r="F46" s="45">
        <f>IF($B46-'[4]30'!E46&lt;0,0,$B46-'[4]30'!E46)</f>
        <v>0</v>
      </c>
      <c r="G46" s="45">
        <f>IF($B46-'[4]30'!F46&lt;0,0,$B46-'[4]30'!F46)</f>
        <v>0</v>
      </c>
      <c r="H46" s="45">
        <f>IF($B46-'[4]30'!G46&lt;0,0,$B46-'[4]30'!G46)</f>
        <v>0</v>
      </c>
      <c r="I46" s="45">
        <f>IF($B46-'[4]30'!H46&lt;0,0,$B46-'[4]30'!H46)</f>
        <v>0</v>
      </c>
      <c r="J46" s="45">
        <f>IF($B46-'[4]30'!I46&lt;0,0,$B46-'[4]30'!I46)</f>
        <v>0</v>
      </c>
      <c r="K46" s="45">
        <f>IF($B46-'[4]30'!J46&lt;0,0,$B46-'[4]30'!J46)</f>
        <v>0</v>
      </c>
      <c r="L46" s="45">
        <f>IF($B46-'[4]30'!K46&lt;0,0,$B46-'[4]30'!K46)</f>
        <v>0</v>
      </c>
      <c r="M46" s="45">
        <f>IF($B46-'[4]30'!L46&lt;0,0,$B46-'[4]30'!L46)</f>
        <v>0</v>
      </c>
      <c r="N46" s="45">
        <f>IF($B46-'[4]30'!M46&lt;0,0,$B46-'[4]30'!M46)</f>
        <v>0</v>
      </c>
      <c r="O46" s="45">
        <f>IF($B46-'[4]30'!N46&lt;0,0,$B46-'[4]30'!N46)</f>
        <v>0</v>
      </c>
      <c r="P46" s="45">
        <f>IF($B46-'[4]30'!O46&lt;0,0,$B46-'[4]30'!O46)</f>
        <v>0</v>
      </c>
      <c r="Q46" s="45">
        <f>IF($B46-'[4]30'!P46&lt;0,0,$B46-'[4]30'!P46)</f>
        <v>0</v>
      </c>
      <c r="R46" s="45">
        <f>IF($B46-'[4]30'!Q46&lt;0,0,$B46-'[4]30'!Q46)</f>
        <v>0</v>
      </c>
      <c r="S46" s="45">
        <f>IF($B46-'[4]30'!R46&lt;0,0,$B46-'[4]30'!R46)</f>
        <v>0</v>
      </c>
      <c r="T46" s="45">
        <f>IF($B46-'[4]30'!S46&lt;0,0,$B46-'[4]30'!S46)</f>
        <v>0</v>
      </c>
      <c r="U46" s="45">
        <f>IF($B46-'[4]30'!T46&lt;0,0,$B46-'[4]30'!T46)</f>
        <v>0</v>
      </c>
      <c r="V46" s="45">
        <f>IF($B46-'[4]30'!U46&lt;0,0,$B46-'[4]30'!U46)</f>
        <v>0</v>
      </c>
      <c r="W46" s="45">
        <f>IF($B46-'[4]30'!V46&lt;0,0,$B46-'[4]30'!V46)</f>
        <v>0</v>
      </c>
      <c r="X46" s="45">
        <f>IF($B46-'[4]30'!W46&lt;0,0,$B46-'[4]30'!W46)</f>
        <v>0</v>
      </c>
      <c r="Y46" s="45">
        <f>IF($B46-'[4]30'!X46&lt;0,0,$B46-'[4]30'!X46)</f>
        <v>0</v>
      </c>
      <c r="Z46" s="45">
        <f>IF($B46-'[4]30'!Y46&lt;0,0,$B46-'[4]30'!Y46)</f>
        <v>0</v>
      </c>
      <c r="AA46" s="45">
        <f>IF($B46-'[4]30'!Z46&lt;0,0,$B46-'[4]30'!Z46)</f>
        <v>0</v>
      </c>
      <c r="AB46" s="45">
        <f>IF($B46-'[4]30'!AA46&lt;0,0,$B46-'[4]30'!AA46)</f>
        <v>0</v>
      </c>
      <c r="AC46" s="45">
        <f>IF($B46-'[4]30'!AB46&lt;0,0,$B46-'[4]30'!AB46)</f>
        <v>0</v>
      </c>
      <c r="AD46" s="45">
        <f>IF($B46-'[4]30'!AC46&lt;0,0,$B46-'[4]30'!AC46)</f>
        <v>0</v>
      </c>
      <c r="AE46" s="45">
        <f>IF($B46-'[4]30'!AD46&lt;0,0,$B46-'[4]30'!AD46)</f>
        <v>0</v>
      </c>
      <c r="AF46" s="45">
        <f>IF($B46-'[4]30'!AE46&lt;0,0,$B46-'[4]30'!AE46)</f>
        <v>0</v>
      </c>
      <c r="AG46" s="45">
        <f>IF($B46-'[4]30'!AF46&lt;0,0,$B46-'[4]30'!AF46)</f>
        <v>0</v>
      </c>
      <c r="AH46" s="55">
        <v>10</v>
      </c>
      <c r="AI46" s="48">
        <f t="shared" si="2"/>
        <v>0</v>
      </c>
      <c r="AJ46" s="49">
        <f t="shared" si="3"/>
        <v>0</v>
      </c>
      <c r="AL46" s="170"/>
      <c r="AM46" s="28"/>
      <c r="AP46" s="24"/>
      <c r="AQ46" s="24"/>
      <c r="AR46" s="15"/>
      <c r="AS46" s="21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</row>
    <row r="47" spans="1:89" x14ac:dyDescent="0.25">
      <c r="A47" s="54" t="s">
        <v>45</v>
      </c>
      <c r="B47" s="45">
        <v>0</v>
      </c>
      <c r="C47" s="45">
        <f>IF($B47-'[4]30'!B47&lt;0,0,$B47-'[4]30'!B47)</f>
        <v>0</v>
      </c>
      <c r="D47" s="45">
        <f>IF($B47-'[4]30'!C47&lt;0,0,$B47-'[4]30'!C47)</f>
        <v>0</v>
      </c>
      <c r="E47" s="45">
        <f>IF($B47-'[4]30'!D47&lt;0,0,$B47-'[4]30'!D47)</f>
        <v>0</v>
      </c>
      <c r="F47" s="45">
        <f>IF($B47-'[4]30'!E47&lt;0,0,$B47-'[4]30'!E47)</f>
        <v>0</v>
      </c>
      <c r="G47" s="45">
        <f>IF($B47-'[4]30'!F47&lt;0,0,$B47-'[4]30'!F47)</f>
        <v>0</v>
      </c>
      <c r="H47" s="45">
        <f>IF($B47-'[4]30'!G47&lt;0,0,$B47-'[4]30'!G47)</f>
        <v>0</v>
      </c>
      <c r="I47" s="45">
        <f>IF($B47-'[4]30'!H47&lt;0,0,$B47-'[4]30'!H47)</f>
        <v>0</v>
      </c>
      <c r="J47" s="45">
        <f>IF($B47-'[4]30'!I47&lt;0,0,$B47-'[4]30'!I47)</f>
        <v>0</v>
      </c>
      <c r="K47" s="45">
        <f>IF($B47-'[4]30'!J47&lt;0,0,$B47-'[4]30'!J47)</f>
        <v>0</v>
      </c>
      <c r="L47" s="45">
        <f>IF($B47-'[4]30'!K47&lt;0,0,$B47-'[4]30'!K47)</f>
        <v>0</v>
      </c>
      <c r="M47" s="45">
        <f>IF($B47-'[4]30'!L47&lt;0,0,$B47-'[4]30'!L47)</f>
        <v>0</v>
      </c>
      <c r="N47" s="45">
        <f>IF($B47-'[4]30'!M47&lt;0,0,$B47-'[4]30'!M47)</f>
        <v>0</v>
      </c>
      <c r="O47" s="45">
        <f>IF($B47-'[4]30'!N47&lt;0,0,$B47-'[4]30'!N47)</f>
        <v>0</v>
      </c>
      <c r="P47" s="45">
        <f>IF($B47-'[4]30'!O47&lt;0,0,$B47-'[4]30'!O47)</f>
        <v>0</v>
      </c>
      <c r="Q47" s="45">
        <f>IF($B47-'[4]30'!P47&lt;0,0,$B47-'[4]30'!P47)</f>
        <v>0</v>
      </c>
      <c r="R47" s="45">
        <f>IF($B47-'[4]30'!Q47&lt;0,0,$B47-'[4]30'!Q47)</f>
        <v>0</v>
      </c>
      <c r="S47" s="45">
        <f>IF($B47-'[4]30'!R47&lt;0,0,$B47-'[4]30'!R47)</f>
        <v>0</v>
      </c>
      <c r="T47" s="45">
        <f>IF($B47-'[4]30'!S47&lt;0,0,$B47-'[4]30'!S47)</f>
        <v>0</v>
      </c>
      <c r="U47" s="45">
        <f>IF($B47-'[4]30'!T47&lt;0,0,$B47-'[4]30'!T47)</f>
        <v>0</v>
      </c>
      <c r="V47" s="45">
        <f>IF($B47-'[4]30'!U47&lt;0,0,$B47-'[4]30'!U47)</f>
        <v>0</v>
      </c>
      <c r="W47" s="45">
        <f>IF($B47-'[4]30'!V47&lt;0,0,$B47-'[4]30'!V47)</f>
        <v>0</v>
      </c>
      <c r="X47" s="45">
        <f>IF($B47-'[4]30'!W47&lt;0,0,$B47-'[4]30'!W47)</f>
        <v>0</v>
      </c>
      <c r="Y47" s="45">
        <f>IF($B47-'[4]30'!X47&lt;0,0,$B47-'[4]30'!X47)</f>
        <v>0</v>
      </c>
      <c r="Z47" s="45">
        <f>IF($B47-'[4]30'!Y47&lt;0,0,$B47-'[4]30'!Y47)</f>
        <v>0</v>
      </c>
      <c r="AA47" s="45">
        <f>IF($B47-'[4]30'!Z47&lt;0,0,$B47-'[4]30'!Z47)</f>
        <v>0</v>
      </c>
      <c r="AB47" s="45">
        <f>IF($B47-'[4]30'!AA47&lt;0,0,$B47-'[4]30'!AA47)</f>
        <v>0</v>
      </c>
      <c r="AC47" s="45">
        <f>IF($B47-'[4]30'!AB47&lt;0,0,$B47-'[4]30'!AB47)</f>
        <v>0</v>
      </c>
      <c r="AD47" s="45">
        <f>IF($B47-'[4]30'!AC47&lt;0,0,$B47-'[4]30'!AC47)</f>
        <v>0</v>
      </c>
      <c r="AE47" s="45">
        <f>IF($B47-'[4]30'!AD47&lt;0,0,$B47-'[4]30'!AD47)</f>
        <v>0</v>
      </c>
      <c r="AF47" s="45">
        <f>IF($B47-'[4]30'!AE47&lt;0,0,$B47-'[4]30'!AE47)</f>
        <v>0</v>
      </c>
      <c r="AG47" s="45">
        <f>IF($B47-'[4]30'!AF47&lt;0,0,$B47-'[4]30'!AF47)</f>
        <v>0</v>
      </c>
      <c r="AH47" s="55">
        <v>10</v>
      </c>
      <c r="AI47" s="48">
        <f t="shared" si="2"/>
        <v>0</v>
      </c>
      <c r="AJ47" s="49">
        <f t="shared" si="3"/>
        <v>0</v>
      </c>
      <c r="AL47" s="170"/>
      <c r="AM47" s="28"/>
      <c r="AP47" s="24"/>
      <c r="AQ47" s="24"/>
      <c r="AR47" s="15"/>
      <c r="AS47" s="21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</row>
    <row r="48" spans="1:89" x14ac:dyDescent="0.25">
      <c r="A48" s="56" t="s">
        <v>46</v>
      </c>
      <c r="B48" s="57">
        <v>360</v>
      </c>
      <c r="C48" s="45">
        <f>IF($B48-'[4]30'!B48&lt;0,0,$B48-'[4]30'!B48)</f>
        <v>0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55">
        <v>85</v>
      </c>
      <c r="AI48" s="48">
        <f t="shared" si="2"/>
        <v>0</v>
      </c>
      <c r="AJ48" s="49">
        <f t="shared" si="3"/>
        <v>0</v>
      </c>
      <c r="AK48" s="208"/>
      <c r="AL48" s="208"/>
      <c r="AM48" s="208"/>
    </row>
    <row r="49" spans="1:42" ht="15.75" thickBot="1" x14ac:dyDescent="0.3">
      <c r="A49" s="58" t="s">
        <v>47</v>
      </c>
      <c r="B49" s="57">
        <f>17.7+48.2</f>
        <v>65.900000000000006</v>
      </c>
      <c r="C49" s="45">
        <f>IF($B49-'[4]30'!B49&lt;0,0,$B49-'[4]30'!B49)</f>
        <v>0.30000000000001137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55">
        <v>240</v>
      </c>
      <c r="AI49" s="48">
        <f t="shared" si="2"/>
        <v>0.30000000000001137</v>
      </c>
      <c r="AJ49" s="49">
        <f t="shared" si="3"/>
        <v>0.30000000000001137</v>
      </c>
      <c r="AL49" s="50"/>
    </row>
    <row r="50" spans="1:42" ht="21" thickBot="1" x14ac:dyDescent="0.3">
      <c r="A50" s="60" t="s">
        <v>48</v>
      </c>
      <c r="B50" s="209">
        <f t="shared" ref="B50" si="4">SUM(B11:B48)</f>
        <v>978.30000000000007</v>
      </c>
      <c r="C50" s="209">
        <f t="shared" ref="C50:AG50" si="5">SUM(C11:C48)</f>
        <v>97.6</v>
      </c>
      <c r="D50" s="209">
        <f t="shared" si="5"/>
        <v>105.6</v>
      </c>
      <c r="E50" s="209">
        <f t="shared" si="5"/>
        <v>121.6</v>
      </c>
      <c r="F50" s="209">
        <f t="shared" si="5"/>
        <v>121.6</v>
      </c>
      <c r="G50" s="209">
        <f t="shared" si="5"/>
        <v>121.6</v>
      </c>
      <c r="H50" s="209">
        <f t="shared" si="5"/>
        <v>121.6</v>
      </c>
      <c r="I50" s="209">
        <f t="shared" si="5"/>
        <v>89.1</v>
      </c>
      <c r="J50" s="209">
        <f t="shared" si="5"/>
        <v>97.1</v>
      </c>
      <c r="K50" s="209">
        <f t="shared" si="5"/>
        <v>92.1</v>
      </c>
      <c r="L50" s="209">
        <f t="shared" si="5"/>
        <v>73.099999999999994</v>
      </c>
      <c r="M50" s="209">
        <f t="shared" si="5"/>
        <v>51.1</v>
      </c>
      <c r="N50" s="209">
        <f t="shared" si="5"/>
        <v>51.1</v>
      </c>
      <c r="O50" s="209">
        <f t="shared" si="5"/>
        <v>51.1</v>
      </c>
      <c r="P50" s="209">
        <f t="shared" si="5"/>
        <v>51.1</v>
      </c>
      <c r="Q50" s="209">
        <f t="shared" si="5"/>
        <v>51.20000000000001</v>
      </c>
      <c r="R50" s="209">
        <f t="shared" si="5"/>
        <v>53.1</v>
      </c>
      <c r="S50" s="209">
        <f t="shared" si="5"/>
        <v>53.000000000000007</v>
      </c>
      <c r="T50" s="209">
        <f t="shared" si="5"/>
        <v>76.300000000000011</v>
      </c>
      <c r="U50" s="209">
        <f t="shared" si="5"/>
        <v>76.300000000000011</v>
      </c>
      <c r="V50" s="209">
        <f t="shared" si="5"/>
        <v>76.300000000000011</v>
      </c>
      <c r="W50" s="209">
        <f t="shared" si="5"/>
        <v>30.400000000000006</v>
      </c>
      <c r="X50" s="209">
        <f t="shared" si="5"/>
        <v>19.000000000000004</v>
      </c>
      <c r="Y50" s="209">
        <f t="shared" si="5"/>
        <v>19.000000000000004</v>
      </c>
      <c r="Z50" s="209">
        <f t="shared" si="5"/>
        <v>19.000000000000004</v>
      </c>
      <c r="AA50" s="209">
        <f t="shared" si="5"/>
        <v>17.000000000000004</v>
      </c>
      <c r="AB50" s="209">
        <f t="shared" si="5"/>
        <v>17.000000000000004</v>
      </c>
      <c r="AC50" s="209">
        <f t="shared" si="5"/>
        <v>17.000000000000004</v>
      </c>
      <c r="AD50" s="209">
        <f t="shared" si="5"/>
        <v>26.4</v>
      </c>
      <c r="AE50" s="209">
        <f t="shared" si="5"/>
        <v>31.6</v>
      </c>
      <c r="AF50" s="209">
        <f t="shared" si="5"/>
        <v>31.6</v>
      </c>
      <c r="AG50" s="209">
        <f t="shared" si="5"/>
        <v>55.9</v>
      </c>
      <c r="AH50" s="210">
        <f>SUM(C50:AG50)</f>
        <v>1915.4999999999995</v>
      </c>
      <c r="AI50" s="48">
        <f t="shared" si="2"/>
        <v>121.6</v>
      </c>
      <c r="AJ50" s="49">
        <f t="shared" si="3"/>
        <v>17.000000000000004</v>
      </c>
      <c r="AK50" s="1" t="s">
        <v>263</v>
      </c>
      <c r="AL50" s="210">
        <f>SUM(C50:G50,AE50:AG50)</f>
        <v>687.1</v>
      </c>
    </row>
    <row r="51" spans="1:42" x14ac:dyDescent="0.25">
      <c r="A51" s="63" t="s">
        <v>49</v>
      </c>
      <c r="B51" s="206">
        <v>217</v>
      </c>
      <c r="C51" s="45">
        <v>0</v>
      </c>
      <c r="D51" s="45">
        <v>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v>0</v>
      </c>
      <c r="Q51" s="45">
        <v>0</v>
      </c>
      <c r="R51" s="45">
        <v>0</v>
      </c>
      <c r="S51" s="45">
        <v>0</v>
      </c>
      <c r="T51" s="45">
        <v>0</v>
      </c>
      <c r="U51" s="45">
        <v>0</v>
      </c>
      <c r="V51" s="45">
        <v>0</v>
      </c>
      <c r="W51" s="45">
        <v>0</v>
      </c>
      <c r="X51" s="45">
        <v>0</v>
      </c>
      <c r="Y51" s="45">
        <v>0</v>
      </c>
      <c r="Z51" s="45">
        <v>0</v>
      </c>
      <c r="AA51" s="45">
        <v>0</v>
      </c>
      <c r="AB51" s="45">
        <v>0</v>
      </c>
      <c r="AC51" s="45">
        <v>0</v>
      </c>
      <c r="AD51" s="45">
        <v>0</v>
      </c>
      <c r="AE51" s="45">
        <v>0</v>
      </c>
      <c r="AF51" s="45">
        <v>0</v>
      </c>
      <c r="AG51" s="45">
        <v>0</v>
      </c>
      <c r="AH51" s="52">
        <v>456</v>
      </c>
      <c r="AI51" s="48">
        <f t="shared" si="2"/>
        <v>0</v>
      </c>
      <c r="AJ51" s="49">
        <f t="shared" si="3"/>
        <v>0</v>
      </c>
      <c r="AL51" s="50"/>
    </row>
    <row r="52" spans="1:42" x14ac:dyDescent="0.25">
      <c r="A52" s="64" t="s">
        <v>50</v>
      </c>
      <c r="B52" s="211">
        <v>60</v>
      </c>
      <c r="C52" s="45" t="e">
        <f>$B52-#REF!</f>
        <v>#REF!</v>
      </c>
      <c r="D52" s="45" t="e">
        <f>$B52-#REF!</f>
        <v>#REF!</v>
      </c>
      <c r="E52" s="45" t="e">
        <f>$B52-#REF!</f>
        <v>#REF!</v>
      </c>
      <c r="F52" s="45" t="e">
        <f>$B52-#REF!</f>
        <v>#REF!</v>
      </c>
      <c r="G52" s="45" t="e">
        <f>$B52-#REF!</f>
        <v>#REF!</v>
      </c>
      <c r="H52" s="45" t="e">
        <f>$B52-#REF!</f>
        <v>#REF!</v>
      </c>
      <c r="I52" s="45" t="e">
        <f>$B52-#REF!</f>
        <v>#REF!</v>
      </c>
      <c r="J52" s="45" t="e">
        <f>$B52-#REF!</f>
        <v>#REF!</v>
      </c>
      <c r="K52" s="45" t="e">
        <f>$B52-#REF!</f>
        <v>#REF!</v>
      </c>
      <c r="L52" s="45" t="e">
        <f>$B52-#REF!</f>
        <v>#REF!</v>
      </c>
      <c r="M52" s="45" t="e">
        <f>$B52-#REF!</f>
        <v>#REF!</v>
      </c>
      <c r="N52" s="45" t="e">
        <f>$B52-#REF!</f>
        <v>#REF!</v>
      </c>
      <c r="O52" s="45" t="e">
        <f>$B52-#REF!</f>
        <v>#REF!</v>
      </c>
      <c r="P52" s="45" t="e">
        <f>$B52-#REF!</f>
        <v>#REF!</v>
      </c>
      <c r="Q52" s="45" t="e">
        <f>$B52-#REF!</f>
        <v>#REF!</v>
      </c>
      <c r="R52" s="45" t="e">
        <f>$B52-#REF!</f>
        <v>#REF!</v>
      </c>
      <c r="S52" s="45" t="e">
        <f>$B52-#REF!</f>
        <v>#REF!</v>
      </c>
      <c r="T52" s="45" t="e">
        <f>$B52-#REF!</f>
        <v>#REF!</v>
      </c>
      <c r="U52" s="45" t="e">
        <f>$B52-#REF!</f>
        <v>#REF!</v>
      </c>
      <c r="V52" s="45" t="e">
        <f>$B52-#REF!</f>
        <v>#REF!</v>
      </c>
      <c r="W52" s="45" t="e">
        <f>$B52-#REF!</f>
        <v>#REF!</v>
      </c>
      <c r="X52" s="45" t="e">
        <f>$B52-#REF!</f>
        <v>#REF!</v>
      </c>
      <c r="Y52" s="45" t="e">
        <f>$B52-#REF!</f>
        <v>#REF!</v>
      </c>
      <c r="Z52" s="45" t="e">
        <f>$B52-#REF!</f>
        <v>#REF!</v>
      </c>
      <c r="AA52" s="45" t="e">
        <f>$B52-#REF!</f>
        <v>#REF!</v>
      </c>
      <c r="AB52" s="45" t="e">
        <f>$B52-#REF!</f>
        <v>#REF!</v>
      </c>
      <c r="AC52" s="45" t="e">
        <f>$B52-#REF!</f>
        <v>#REF!</v>
      </c>
      <c r="AD52" s="45" t="e">
        <f>$B52-#REF!</f>
        <v>#REF!</v>
      </c>
      <c r="AE52" s="45" t="e">
        <f>$B52-#REF!</f>
        <v>#REF!</v>
      </c>
      <c r="AF52" s="45" t="e">
        <f>$B52-#REF!</f>
        <v>#REF!</v>
      </c>
      <c r="AG52" s="45" t="e">
        <f>$B52-#REF!</f>
        <v>#REF!</v>
      </c>
      <c r="AH52" s="55">
        <v>60</v>
      </c>
      <c r="AI52" s="48" t="e">
        <f t="shared" si="2"/>
        <v>#REF!</v>
      </c>
      <c r="AJ52" s="49" t="e">
        <f t="shared" si="3"/>
        <v>#REF!</v>
      </c>
      <c r="AK52" s="1" t="s">
        <v>264</v>
      </c>
      <c r="AL52" s="212">
        <f>AL50/8</f>
        <v>85.887500000000003</v>
      </c>
    </row>
    <row r="53" spans="1:42" ht="15.75" thickBot="1" x14ac:dyDescent="0.3">
      <c r="A53" s="66" t="s">
        <v>51</v>
      </c>
      <c r="B53" s="213">
        <v>22.5</v>
      </c>
      <c r="C53" s="45">
        <v>0</v>
      </c>
      <c r="D53" s="45">
        <v>0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v>0</v>
      </c>
      <c r="O53" s="45">
        <v>0</v>
      </c>
      <c r="P53" s="45">
        <v>0</v>
      </c>
      <c r="Q53" s="45">
        <v>0</v>
      </c>
      <c r="R53" s="45">
        <v>0</v>
      </c>
      <c r="S53" s="45">
        <v>0</v>
      </c>
      <c r="T53" s="45">
        <v>0</v>
      </c>
      <c r="U53" s="45">
        <v>0</v>
      </c>
      <c r="V53" s="45">
        <v>0</v>
      </c>
      <c r="W53" s="45">
        <v>0</v>
      </c>
      <c r="X53" s="45">
        <v>0</v>
      </c>
      <c r="Y53" s="45">
        <v>0</v>
      </c>
      <c r="Z53" s="45">
        <v>0</v>
      </c>
      <c r="AA53" s="45">
        <v>0</v>
      </c>
      <c r="AB53" s="45">
        <v>0</v>
      </c>
      <c r="AC53" s="45">
        <v>0</v>
      </c>
      <c r="AD53" s="45">
        <v>0</v>
      </c>
      <c r="AE53" s="45">
        <v>0</v>
      </c>
      <c r="AF53" s="45">
        <v>0</v>
      </c>
      <c r="AG53" s="45">
        <v>0</v>
      </c>
      <c r="AH53" s="68">
        <v>22.1</v>
      </c>
      <c r="AI53" s="48">
        <f t="shared" si="2"/>
        <v>0</v>
      </c>
      <c r="AJ53" s="49">
        <f t="shared" si="3"/>
        <v>0</v>
      </c>
      <c r="AL53" s="50"/>
    </row>
    <row r="54" spans="1:42" ht="15.75" thickBot="1" x14ac:dyDescent="0.3">
      <c r="A54" s="69" t="s">
        <v>52</v>
      </c>
      <c r="B54" s="214">
        <f t="shared" ref="B54" si="6">SUM(B51:B53)</f>
        <v>299.5</v>
      </c>
      <c r="C54" s="85" t="e">
        <f>SUM(C51:C53)</f>
        <v>#REF!</v>
      </c>
      <c r="D54" s="85" t="e">
        <f t="shared" ref="D54:AH54" si="7">SUM(D51:D53)</f>
        <v>#REF!</v>
      </c>
      <c r="E54" s="85" t="e">
        <f t="shared" si="7"/>
        <v>#REF!</v>
      </c>
      <c r="F54" s="85" t="e">
        <f t="shared" si="7"/>
        <v>#REF!</v>
      </c>
      <c r="G54" s="85" t="e">
        <f t="shared" si="7"/>
        <v>#REF!</v>
      </c>
      <c r="H54" s="85" t="e">
        <f t="shared" si="7"/>
        <v>#REF!</v>
      </c>
      <c r="I54" s="85" t="e">
        <f t="shared" si="7"/>
        <v>#REF!</v>
      </c>
      <c r="J54" s="85" t="e">
        <f t="shared" si="7"/>
        <v>#REF!</v>
      </c>
      <c r="K54" s="85" t="e">
        <f t="shared" si="7"/>
        <v>#REF!</v>
      </c>
      <c r="L54" s="85" t="e">
        <f t="shared" si="7"/>
        <v>#REF!</v>
      </c>
      <c r="M54" s="85" t="e">
        <f t="shared" si="7"/>
        <v>#REF!</v>
      </c>
      <c r="N54" s="85" t="e">
        <f t="shared" si="7"/>
        <v>#REF!</v>
      </c>
      <c r="O54" s="85" t="e">
        <f t="shared" si="7"/>
        <v>#REF!</v>
      </c>
      <c r="P54" s="85" t="e">
        <f t="shared" si="7"/>
        <v>#REF!</v>
      </c>
      <c r="Q54" s="85" t="e">
        <f t="shared" si="7"/>
        <v>#REF!</v>
      </c>
      <c r="R54" s="85" t="e">
        <f t="shared" si="7"/>
        <v>#REF!</v>
      </c>
      <c r="S54" s="85" t="e">
        <f t="shared" si="7"/>
        <v>#REF!</v>
      </c>
      <c r="T54" s="85" t="e">
        <f t="shared" si="7"/>
        <v>#REF!</v>
      </c>
      <c r="U54" s="85" t="e">
        <f t="shared" si="7"/>
        <v>#REF!</v>
      </c>
      <c r="V54" s="85" t="e">
        <f t="shared" si="7"/>
        <v>#REF!</v>
      </c>
      <c r="W54" s="85" t="e">
        <f t="shared" si="7"/>
        <v>#REF!</v>
      </c>
      <c r="X54" s="85" t="e">
        <f t="shared" si="7"/>
        <v>#REF!</v>
      </c>
      <c r="Y54" s="85" t="e">
        <f t="shared" si="7"/>
        <v>#REF!</v>
      </c>
      <c r="Z54" s="85" t="e">
        <f t="shared" si="7"/>
        <v>#REF!</v>
      </c>
      <c r="AA54" s="85" t="e">
        <f t="shared" si="7"/>
        <v>#REF!</v>
      </c>
      <c r="AB54" s="85" t="e">
        <f t="shared" si="7"/>
        <v>#REF!</v>
      </c>
      <c r="AC54" s="85" t="e">
        <f t="shared" si="7"/>
        <v>#REF!</v>
      </c>
      <c r="AD54" s="85" t="e">
        <f t="shared" si="7"/>
        <v>#REF!</v>
      </c>
      <c r="AE54" s="85" t="e">
        <f t="shared" si="7"/>
        <v>#REF!</v>
      </c>
      <c r="AF54" s="85" t="e">
        <f t="shared" si="7"/>
        <v>#REF!</v>
      </c>
      <c r="AG54" s="85" t="e">
        <f t="shared" si="7"/>
        <v>#REF!</v>
      </c>
      <c r="AH54" s="215">
        <f t="shared" si="7"/>
        <v>538.1</v>
      </c>
      <c r="AI54" s="48" t="e">
        <f t="shared" si="2"/>
        <v>#REF!</v>
      </c>
      <c r="AJ54" s="49" t="e">
        <f t="shared" si="3"/>
        <v>#REF!</v>
      </c>
      <c r="AL54" s="50"/>
    </row>
    <row r="55" spans="1:42" x14ac:dyDescent="0.25">
      <c r="A55" s="44" t="s">
        <v>53</v>
      </c>
      <c r="B55" s="206">
        <v>144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45">
        <v>0</v>
      </c>
      <c r="AH55" s="52">
        <v>144</v>
      </c>
      <c r="AI55" s="48">
        <f t="shared" si="2"/>
        <v>0</v>
      </c>
      <c r="AJ55" s="49">
        <f t="shared" si="3"/>
        <v>0</v>
      </c>
      <c r="AK55" s="48">
        <f>45*19</f>
        <v>855</v>
      </c>
      <c r="AL55" s="50"/>
    </row>
    <row r="56" spans="1:42" x14ac:dyDescent="0.25">
      <c r="A56" s="54" t="s">
        <v>54</v>
      </c>
      <c r="B56" s="211">
        <v>70</v>
      </c>
      <c r="C56" s="45">
        <f>IF($B56-'[4]30'!B56&lt;0,0,$B56-'[4]30'!B56)</f>
        <v>0</v>
      </c>
      <c r="D56" s="45">
        <v>0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v>0</v>
      </c>
      <c r="O56" s="45">
        <v>0</v>
      </c>
      <c r="P56" s="45">
        <v>0</v>
      </c>
      <c r="Q56" s="45">
        <v>0</v>
      </c>
      <c r="R56" s="45">
        <v>0</v>
      </c>
      <c r="S56" s="45">
        <v>0</v>
      </c>
      <c r="T56" s="45">
        <v>0</v>
      </c>
      <c r="U56" s="45">
        <v>0</v>
      </c>
      <c r="V56" s="45">
        <v>0</v>
      </c>
      <c r="W56" s="45">
        <v>0</v>
      </c>
      <c r="X56" s="45">
        <v>0</v>
      </c>
      <c r="Y56" s="45">
        <v>0</v>
      </c>
      <c r="Z56" s="45">
        <v>0</v>
      </c>
      <c r="AA56" s="45">
        <v>0</v>
      </c>
      <c r="AB56" s="45">
        <v>0</v>
      </c>
      <c r="AC56" s="45">
        <v>0</v>
      </c>
      <c r="AD56" s="45">
        <v>0</v>
      </c>
      <c r="AE56" s="45">
        <v>0</v>
      </c>
      <c r="AF56" s="45">
        <v>0</v>
      </c>
      <c r="AG56" s="45">
        <v>0</v>
      </c>
      <c r="AH56" s="55">
        <v>70</v>
      </c>
      <c r="AI56" s="48">
        <f t="shared" si="2"/>
        <v>0</v>
      </c>
      <c r="AJ56" s="49">
        <f t="shared" si="3"/>
        <v>0</v>
      </c>
      <c r="AL56" s="50"/>
    </row>
    <row r="57" spans="1:42" x14ac:dyDescent="0.25">
      <c r="A57" s="54" t="s">
        <v>55</v>
      </c>
      <c r="B57" s="211">
        <v>69</v>
      </c>
      <c r="C57" s="45">
        <f>IF($B57-'[4]30'!B57&lt;0,0,$B57-'[4]30'!B57)</f>
        <v>0</v>
      </c>
      <c r="D57" s="45">
        <f>IF($B57-'[4]30'!C57&lt;0,0,$B57-'[4]30'!C57)</f>
        <v>0</v>
      </c>
      <c r="E57" s="45">
        <f>IF($B57-'[4]30'!D57&lt;0,0,$B57-'[4]30'!D57)</f>
        <v>0</v>
      </c>
      <c r="F57" s="45">
        <f>IF($B57-'[4]30'!E57&lt;0,0,$B57-'[4]30'!E57)</f>
        <v>9</v>
      </c>
      <c r="G57" s="45">
        <f>IF($B57-'[4]30'!F57&lt;0,0,$B57-'[4]30'!F57)</f>
        <v>9</v>
      </c>
      <c r="H57" s="45">
        <f>IF($B57-'[4]30'!G57&lt;0,0,$B57-'[4]30'!G57)</f>
        <v>9</v>
      </c>
      <c r="I57" s="45">
        <f>IF($B57-'[4]30'!H57&lt;0,0,$B57-'[4]30'!H57)</f>
        <v>14</v>
      </c>
      <c r="J57" s="45">
        <f>IF($B57-'[4]30'!I57&lt;0,0,$B57-'[4]30'!I57)</f>
        <v>0</v>
      </c>
      <c r="K57" s="45">
        <f>IF($B57-'[4]30'!J57&lt;0,0,$B57-'[4]30'!J57)</f>
        <v>0</v>
      </c>
      <c r="L57" s="45">
        <f>IF($B57-'[4]30'!K57&lt;0,0,$B57-'[4]30'!K57)</f>
        <v>0</v>
      </c>
      <c r="M57" s="45">
        <f>IF($B57-'[4]30'!L57&lt;0,0,$B57-'[4]30'!L57)</f>
        <v>0</v>
      </c>
      <c r="N57" s="45">
        <f>IF($B57-'[4]30'!M57&lt;0,0,$B57-'[4]30'!M57)</f>
        <v>18.700000000000003</v>
      </c>
      <c r="O57" s="45">
        <f>IF($B57-'[4]30'!N57&lt;0,0,$B57-'[4]30'!N57)</f>
        <v>0</v>
      </c>
      <c r="P57" s="45">
        <f>IF($B57-'[4]30'!O57&lt;0,0,$B57-'[4]30'!O57)</f>
        <v>0</v>
      </c>
      <c r="Q57" s="45">
        <f>IF($B57-'[4]30'!P57&lt;0,0,$B57-'[4]30'!P57)</f>
        <v>17</v>
      </c>
      <c r="R57" s="45">
        <f>IF($B57-'[4]30'!Q57&lt;0,0,$B57-'[4]30'!Q57)</f>
        <v>16.700000000000003</v>
      </c>
      <c r="S57" s="45">
        <f>IF($B57-'[4]30'!R57&lt;0,0,$B57-'[4]30'!R57)</f>
        <v>27.799999999999997</v>
      </c>
      <c r="T57" s="45">
        <f>IF($B57-'[4]30'!S57&lt;0,0,$B57-'[4]30'!S57)</f>
        <v>23.5</v>
      </c>
      <c r="U57" s="45">
        <f>IF($B57-'[4]30'!T57&lt;0,0,$B57-'[4]30'!T57)</f>
        <v>23.700000000000003</v>
      </c>
      <c r="V57" s="45">
        <f>IF($B57-'[4]30'!U57&lt;0,0,$B57-'[4]30'!U57)</f>
        <v>16.700000000000003</v>
      </c>
      <c r="W57" s="45">
        <f>IF($B57-'[4]30'!V57&lt;0,0,$B57-'[4]30'!V57)</f>
        <v>4.7000000000000028</v>
      </c>
      <c r="X57" s="45">
        <f>IF($B57-'[4]30'!W57&lt;0,0,$B57-'[4]30'!W57)</f>
        <v>0</v>
      </c>
      <c r="Y57" s="45">
        <f>IF($B57-'[4]30'!X57&lt;0,0,$B57-'[4]30'!X57)</f>
        <v>0.5</v>
      </c>
      <c r="Z57" s="45">
        <f>IF($B57-'[4]30'!Y57&lt;0,0,$B57-'[4]30'!Y57)</f>
        <v>0.5</v>
      </c>
      <c r="AA57" s="45">
        <f>IF($B57-'[4]30'!Z57&lt;0,0,$B57-'[4]30'!Z57)</f>
        <v>0.5</v>
      </c>
      <c r="AB57" s="45">
        <f>IF($B57-'[4]30'!AA57&lt;0,0,$B57-'[4]30'!AA57)</f>
        <v>0.5</v>
      </c>
      <c r="AC57" s="45">
        <f>IF($B57-'[4]30'!AB57&lt;0,0,$B57-'[4]30'!AB57)</f>
        <v>0.5</v>
      </c>
      <c r="AD57" s="45">
        <f>IF($B57-'[4]30'!AC57&lt;0,0,$B57-'[4]30'!AC57)</f>
        <v>0.5</v>
      </c>
      <c r="AE57" s="45">
        <f>IF($B57-'[4]30'!AD57&lt;0,0,$B57-'[4]30'!AD57)</f>
        <v>0.5</v>
      </c>
      <c r="AF57" s="45">
        <f>IF($B57-'[4]30'!AE57&lt;0,0,$B57-'[4]30'!AE57)</f>
        <v>0</v>
      </c>
      <c r="AG57" s="45">
        <f>IF($B57-'[4]30'!AF57&lt;0,0,$B57-'[4]30'!AF57)</f>
        <v>0</v>
      </c>
      <c r="AH57" s="55">
        <v>69</v>
      </c>
      <c r="AI57" s="48">
        <f t="shared" si="2"/>
        <v>27.799999999999997</v>
      </c>
      <c r="AJ57" s="49">
        <f t="shared" si="3"/>
        <v>0</v>
      </c>
      <c r="AK57" s="48">
        <f>20*24</f>
        <v>480</v>
      </c>
      <c r="AL57" s="50"/>
    </row>
    <row r="58" spans="1:42" x14ac:dyDescent="0.25">
      <c r="A58" s="54" t="s">
        <v>56</v>
      </c>
      <c r="B58" s="211">
        <v>60</v>
      </c>
      <c r="C58" s="45">
        <f>IF($B58-'[4]30'!B58&lt;0,0,$B58-'[4]30'!B58)</f>
        <v>0</v>
      </c>
      <c r="D58" s="45">
        <f>IF($B58-'[4]30'!C58&lt;0,0,$B58-'[4]30'!C58)</f>
        <v>0</v>
      </c>
      <c r="E58" s="45">
        <f>IF($B58-'[4]30'!D58&lt;0,0,$B58-'[4]30'!D58)</f>
        <v>0</v>
      </c>
      <c r="F58" s="45">
        <f>IF($B58-'[4]30'!E58&lt;0,0,$B58-'[4]30'!E58)</f>
        <v>10</v>
      </c>
      <c r="G58" s="45">
        <f>IF($B58-'[4]30'!F58&lt;0,0,$B58-'[4]30'!F58)</f>
        <v>10</v>
      </c>
      <c r="H58" s="45">
        <f>IF($B58-'[4]30'!G58&lt;0,0,$B58-'[4]30'!G58)</f>
        <v>10</v>
      </c>
      <c r="I58" s="45">
        <f>IF($B58-'[4]30'!H58&lt;0,0,$B58-'[4]30'!H58)</f>
        <v>10</v>
      </c>
      <c r="J58" s="45">
        <f>IF($B58-'[4]30'!I58&lt;0,0,$B58-'[4]30'!I58)</f>
        <v>0</v>
      </c>
      <c r="K58" s="45">
        <f>IF($B58-'[4]30'!J58&lt;0,0,$B58-'[4]30'!J58)</f>
        <v>0</v>
      </c>
      <c r="L58" s="45">
        <f>IF($B58-'[4]30'!K58&lt;0,0,$B58-'[4]30'!K58)</f>
        <v>0</v>
      </c>
      <c r="M58" s="45">
        <f>IF($B58-'[4]30'!L58&lt;0,0,$B58-'[4]30'!L58)</f>
        <v>0</v>
      </c>
      <c r="N58" s="45">
        <f>IF($B58-'[4]30'!M58&lt;0,0,$B58-'[4]30'!M58)</f>
        <v>29.5</v>
      </c>
      <c r="O58" s="45">
        <f>IF($B58-'[4]30'!N58&lt;0,0,$B58-'[4]30'!N58)</f>
        <v>29.8</v>
      </c>
      <c r="P58" s="45">
        <f>IF($B58-'[4]30'!O58&lt;0,0,$B58-'[4]30'!O58)</f>
        <v>29.8</v>
      </c>
      <c r="Q58" s="45">
        <f>IF($B58-'[4]30'!P58&lt;0,0,$B58-'[4]30'!P58)</f>
        <v>29.8</v>
      </c>
      <c r="R58" s="45">
        <f>IF($B58-'[4]30'!Q58&lt;0,0,$B58-'[4]30'!Q58)</f>
        <v>29.8</v>
      </c>
      <c r="S58" s="45">
        <f>IF($B58-'[4]30'!R58&lt;0,0,$B58-'[4]30'!R58)</f>
        <v>29.8</v>
      </c>
      <c r="T58" s="45">
        <f>IF($B58-'[4]30'!S58&lt;0,0,$B58-'[4]30'!S58)</f>
        <v>29.8</v>
      </c>
      <c r="U58" s="45">
        <f>IF($B58-'[4]30'!T58&lt;0,0,$B58-'[4]30'!T58)</f>
        <v>29.3</v>
      </c>
      <c r="V58" s="45">
        <f>IF($B58-'[4]30'!U58&lt;0,0,$B58-'[4]30'!U58)</f>
        <v>29.3</v>
      </c>
      <c r="W58" s="45">
        <f>IF($B58-'[4]30'!V58&lt;0,0,$B58-'[4]30'!V58)</f>
        <v>29.3</v>
      </c>
      <c r="X58" s="45">
        <f>IF($B58-'[4]30'!W58&lt;0,0,$B58-'[4]30'!W58)</f>
        <v>29.3</v>
      </c>
      <c r="Y58" s="45">
        <f>IF($B58-'[4]30'!X58&lt;0,0,$B58-'[4]30'!X58)</f>
        <v>29.3</v>
      </c>
      <c r="Z58" s="45">
        <f>IF($B58-'[4]30'!Y58&lt;0,0,$B58-'[4]30'!Y58)</f>
        <v>29.3</v>
      </c>
      <c r="AA58" s="45">
        <f>IF($B58-'[4]30'!Z58&lt;0,0,$B58-'[4]30'!Z58)</f>
        <v>29.3</v>
      </c>
      <c r="AB58" s="45">
        <f>IF($B58-'[4]30'!AA58&lt;0,0,$B58-'[4]30'!AA58)</f>
        <v>29.3</v>
      </c>
      <c r="AC58" s="45">
        <f>IF($B58-'[4]30'!AB58&lt;0,0,$B58-'[4]30'!AB58)</f>
        <v>29.3</v>
      </c>
      <c r="AD58" s="45">
        <f>IF($B58-'[4]30'!AC58&lt;0,0,$B58-'[4]30'!AC58)</f>
        <v>29.3</v>
      </c>
      <c r="AE58" s="45">
        <f>IF($B58-'[4]30'!AD58&lt;0,0,$B58-'[4]30'!AD58)</f>
        <v>29.3</v>
      </c>
      <c r="AF58" s="45">
        <f>IF($B58-'[4]30'!AE58&lt;0,0,$B58-'[4]30'!AE58)</f>
        <v>29.3</v>
      </c>
      <c r="AG58" s="45">
        <f>IF($B58-'[4]30'!AF58&lt;0,0,$B58-'[4]30'!AF58)</f>
        <v>29.3</v>
      </c>
      <c r="AH58" s="55">
        <v>60</v>
      </c>
      <c r="AI58" s="48">
        <f t="shared" si="2"/>
        <v>29.8</v>
      </c>
      <c r="AJ58" s="49">
        <f t="shared" si="3"/>
        <v>0</v>
      </c>
      <c r="AL58" s="50"/>
    </row>
    <row r="59" spans="1:42" x14ac:dyDescent="0.25">
      <c r="A59" s="54" t="s">
        <v>57</v>
      </c>
      <c r="B59" s="211">
        <v>15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f>IF($B59-'[4]30'!I59&lt;0,0,$B59-'[4]30'!I59)</f>
        <v>0</v>
      </c>
      <c r="K59" s="45">
        <f>IF($B59-'[4]30'!J59&lt;0,0,$B59-'[4]30'!J59)</f>
        <v>0</v>
      </c>
      <c r="L59" s="45">
        <f>IF($B59-'[4]30'!K59&lt;0,0,$B59-'[4]30'!K59)</f>
        <v>0</v>
      </c>
      <c r="M59" s="45">
        <f>IF($B59-'[4]30'!L59&lt;0,0,$B59-'[4]30'!L59)</f>
        <v>0</v>
      </c>
      <c r="N59" s="45">
        <f>IF($B59-'[4]30'!M59&lt;0,0,$B59-'[4]30'!M59)</f>
        <v>0</v>
      </c>
      <c r="O59" s="45">
        <f>IF($B59-'[4]30'!N59&lt;0,0,$B59-'[4]30'!N59)</f>
        <v>0</v>
      </c>
      <c r="P59" s="45">
        <f>IF($B59-'[4]30'!O59&lt;0,0,$B59-'[4]30'!O59)</f>
        <v>0</v>
      </c>
      <c r="Q59" s="45">
        <f>IF($B59-'[4]30'!P59&lt;0,0,$B59-'[4]30'!P59)</f>
        <v>0</v>
      </c>
      <c r="R59" s="45">
        <f>IF($B59-'[4]30'!Q59&lt;0,0,$B59-'[4]30'!Q59)</f>
        <v>0</v>
      </c>
      <c r="S59" s="45">
        <f>IF($B59-'[4]30'!R59&lt;0,0,$B59-'[4]30'!R59)</f>
        <v>0</v>
      </c>
      <c r="T59" s="45">
        <f>IF($B59-'[4]30'!S59&lt;0,0,$B59-'[4]30'!S59)</f>
        <v>5</v>
      </c>
      <c r="U59" s="45">
        <f>IF($B59-'[4]30'!T59&lt;0,0,$B59-'[4]30'!T59)</f>
        <v>2</v>
      </c>
      <c r="V59" s="45">
        <f>IF($B59-'[4]30'!U59&lt;0,0,$B59-'[4]30'!U59)</f>
        <v>2</v>
      </c>
      <c r="W59" s="45">
        <f>IF($B59-'[4]30'!V59&lt;0,0,$B59-'[4]30'!V59)</f>
        <v>0</v>
      </c>
      <c r="X59" s="45">
        <f>IF($B59-'[4]30'!W59&lt;0,0,$B59-'[4]30'!W59)</f>
        <v>0</v>
      </c>
      <c r="Y59" s="45">
        <f>IF($B59-'[4]30'!X59&lt;0,0,$B59-'[4]30'!X59)</f>
        <v>0</v>
      </c>
      <c r="Z59" s="45">
        <f>IF($B59-'[4]30'!Y59&lt;0,0,$B59-'[4]30'!Y59)</f>
        <v>0</v>
      </c>
      <c r="AA59" s="45">
        <f>IF($B59-'[4]30'!Z59&lt;0,0,$B59-'[4]30'!Z59)</f>
        <v>0</v>
      </c>
      <c r="AB59" s="45">
        <f>IF($B59-'[4]30'!AA59&lt;0,0,$B59-'[4]30'!AA59)</f>
        <v>0</v>
      </c>
      <c r="AC59" s="45">
        <f>IF($B59-'[4]30'!AB59&lt;0,0,$B59-'[4]30'!AB59)</f>
        <v>0</v>
      </c>
      <c r="AD59" s="45">
        <f>IF($B59-'[4]30'!AC59&lt;0,0,$B59-'[4]30'!AC59)</f>
        <v>0</v>
      </c>
      <c r="AE59" s="45">
        <f>IF($B59-'[4]30'!AD59&lt;0,0,$B59-'[4]30'!AD59)</f>
        <v>0</v>
      </c>
      <c r="AF59" s="45">
        <f>IF($B59-'[4]30'!AE59&lt;0,0,$B59-'[4]30'!AE59)</f>
        <v>5</v>
      </c>
      <c r="AG59" s="45">
        <f>IF($B59-'[4]30'!AF59&lt;0,0,$B59-'[4]30'!AF59)</f>
        <v>5</v>
      </c>
      <c r="AH59" s="55">
        <v>30</v>
      </c>
      <c r="AI59" s="48">
        <f t="shared" si="2"/>
        <v>5</v>
      </c>
      <c r="AJ59" s="49">
        <f t="shared" si="3"/>
        <v>0</v>
      </c>
      <c r="AL59" s="50"/>
    </row>
    <row r="60" spans="1:42" x14ac:dyDescent="0.25">
      <c r="A60" s="54" t="s">
        <v>58</v>
      </c>
      <c r="B60" s="211"/>
      <c r="C60" s="45">
        <f>IF($B60-'[4]30'!B60&lt;0,0,$B60-'[4]30'!B60)</f>
        <v>0</v>
      </c>
      <c r="D60" s="45">
        <f>IF($B60-'[4]30'!C60&lt;0,0,$B60-'[4]30'!C60)</f>
        <v>0</v>
      </c>
      <c r="E60" s="45">
        <f>IF($B60-'[4]30'!D60&lt;0,0,$B60-'[4]30'!D60)</f>
        <v>0</v>
      </c>
      <c r="F60" s="45">
        <f>IF($B60-'[4]30'!E60&lt;0,0,$B60-'[4]30'!E60)</f>
        <v>0</v>
      </c>
      <c r="G60" s="45">
        <f>IF($B60-'[4]30'!F60&lt;0,0,$B60-'[4]30'!F60)</f>
        <v>0</v>
      </c>
      <c r="H60" s="45">
        <f>IF($B60-'[4]30'!G60&lt;0,0,$B60-'[4]30'!G60)</f>
        <v>0</v>
      </c>
      <c r="I60" s="45">
        <f>IF($B60-'[4]30'!H60&lt;0,0,$B60-'[4]30'!H60)</f>
        <v>0</v>
      </c>
      <c r="J60" s="45">
        <f>IF($B60-'[4]30'!I60&lt;0,0,$B60-'[4]30'!I60)</f>
        <v>0</v>
      </c>
      <c r="K60" s="45">
        <f>IF($B60-'[4]30'!J60&lt;0,0,$B60-'[4]30'!J60)</f>
        <v>0</v>
      </c>
      <c r="L60" s="45">
        <f>IF($B60-'[4]30'!K60&lt;0,0,$B60-'[4]30'!K60)</f>
        <v>0</v>
      </c>
      <c r="M60" s="45">
        <f>IF($B60-'[4]30'!L60&lt;0,0,$B60-'[4]30'!L60)</f>
        <v>0</v>
      </c>
      <c r="N60" s="45">
        <f>IF($B60-'[4]30'!M60&lt;0,0,$B60-'[4]30'!M60)</f>
        <v>0</v>
      </c>
      <c r="O60" s="45">
        <f>IF($B60-'[4]30'!N60&lt;0,0,$B60-'[4]30'!N60)</f>
        <v>0</v>
      </c>
      <c r="P60" s="45">
        <f>IF($B60-'[4]30'!O60&lt;0,0,$B60-'[4]30'!O60)</f>
        <v>0</v>
      </c>
      <c r="Q60" s="45">
        <f>IF($B60-'[4]30'!P60&lt;0,0,$B60-'[4]30'!P60)</f>
        <v>0</v>
      </c>
      <c r="R60" s="45">
        <f>IF($B60-'[4]30'!Q60&lt;0,0,$B60-'[4]30'!Q60)</f>
        <v>0</v>
      </c>
      <c r="S60" s="45">
        <f>IF($B60-'[4]30'!R60&lt;0,0,$B60-'[4]30'!R60)</f>
        <v>0</v>
      </c>
      <c r="T60" s="45">
        <f>IF($B60-'[4]30'!S60&lt;0,0,$B60-'[4]30'!S60)</f>
        <v>0</v>
      </c>
      <c r="U60" s="45">
        <f>IF($B60-'[4]30'!T60&lt;0,0,$B60-'[4]30'!T60)</f>
        <v>0</v>
      </c>
      <c r="V60" s="45">
        <f>IF($B60-'[4]30'!U60&lt;0,0,$B60-'[4]30'!U60)</f>
        <v>0</v>
      </c>
      <c r="W60" s="45">
        <f>IF($B60-'[4]30'!V60&lt;0,0,$B60-'[4]30'!V60)</f>
        <v>0</v>
      </c>
      <c r="X60" s="45">
        <f>IF($B60-'[4]30'!W60&lt;0,0,$B60-'[4]30'!W60)</f>
        <v>0</v>
      </c>
      <c r="Y60" s="45">
        <f>IF($B60-'[4]30'!X60&lt;0,0,$B60-'[4]30'!X60)</f>
        <v>0</v>
      </c>
      <c r="Z60" s="45">
        <f>IF($B60-'[4]30'!Y60&lt;0,0,$B60-'[4]30'!Y60)</f>
        <v>0</v>
      </c>
      <c r="AA60" s="45">
        <f>IF($B60-'[4]30'!Z60&lt;0,0,$B60-'[4]30'!Z60)</f>
        <v>0</v>
      </c>
      <c r="AB60" s="45">
        <f>IF($B60-'[4]30'!AA60&lt;0,0,$B60-'[4]30'!AA60)</f>
        <v>0</v>
      </c>
      <c r="AC60" s="45">
        <f>IF($B60-'[4]30'!AB60&lt;0,0,$B60-'[4]30'!AB60)</f>
        <v>0</v>
      </c>
      <c r="AD60" s="45">
        <f>IF($B60-'[4]30'!AC60&lt;0,0,$B60-'[4]30'!AC60)</f>
        <v>0</v>
      </c>
      <c r="AE60" s="45">
        <f>IF($B60-'[4]30'!AD60&lt;0,0,$B60-'[4]30'!AD60)</f>
        <v>0</v>
      </c>
      <c r="AF60" s="45">
        <f>IF($B60-'[4]30'!AE60&lt;0,0,$B60-'[4]30'!AE60)</f>
        <v>0</v>
      </c>
      <c r="AG60" s="45">
        <f>IF($B60-'[4]30'!AF60&lt;0,0,$B60-'[4]30'!AF60)</f>
        <v>0</v>
      </c>
      <c r="AH60" s="55">
        <v>25</v>
      </c>
      <c r="AI60" s="48">
        <f t="shared" si="2"/>
        <v>0</v>
      </c>
      <c r="AJ60" s="49">
        <f t="shared" si="3"/>
        <v>0</v>
      </c>
      <c r="AL60" s="50"/>
    </row>
    <row r="61" spans="1:42" x14ac:dyDescent="0.25">
      <c r="A61" s="54" t="s">
        <v>59</v>
      </c>
      <c r="B61" s="211">
        <v>15</v>
      </c>
      <c r="C61" s="45">
        <f>IF($B61-'[4]30'!B61&lt;0,0,$B61-'[4]30'!B61)</f>
        <v>0</v>
      </c>
      <c r="D61" s="45">
        <f>IF($B61-'[4]30'!C61&lt;0,0,$B61-'[4]30'!C61)</f>
        <v>0</v>
      </c>
      <c r="E61" s="45">
        <f>IF($B61-'[4]30'!D61&lt;0,0,$B61-'[4]30'!D61)</f>
        <v>0</v>
      </c>
      <c r="F61" s="45">
        <f>IF($B61-'[4]30'!E61&lt;0,0,$B61-'[4]30'!E61)</f>
        <v>0</v>
      </c>
      <c r="G61" s="45">
        <f>IF($B61-'[4]30'!F61&lt;0,0,$B61-'[4]30'!F61)</f>
        <v>0</v>
      </c>
      <c r="H61" s="45">
        <f>IF($B61-'[4]30'!G61&lt;0,0,$B61-'[4]30'!G61)</f>
        <v>0</v>
      </c>
      <c r="I61" s="45">
        <f>IF($B61-'[4]30'!H61&lt;0,0,$B61-'[4]30'!H61)</f>
        <v>0</v>
      </c>
      <c r="J61" s="45">
        <f>IF($B61-'[4]30'!I61&lt;0,0,$B61-'[4]30'!I61)</f>
        <v>0</v>
      </c>
      <c r="K61" s="45">
        <f>IF($B61-'[4]30'!J61&lt;0,0,$B61-'[4]30'!J61)</f>
        <v>0</v>
      </c>
      <c r="L61" s="45">
        <f>IF($B61-'[4]30'!K61&lt;0,0,$B61-'[4]30'!K61)</f>
        <v>0</v>
      </c>
      <c r="M61" s="45">
        <f>IF($B61-'[4]30'!L61&lt;0,0,$B61-'[4]30'!L61)</f>
        <v>0</v>
      </c>
      <c r="N61" s="45">
        <f>IF($B61-'[4]30'!M61&lt;0,0,$B61-'[4]30'!M61)</f>
        <v>0</v>
      </c>
      <c r="O61" s="45">
        <f>IF($B61-'[4]30'!N61&lt;0,0,$B61-'[4]30'!N61)</f>
        <v>0</v>
      </c>
      <c r="P61" s="45">
        <f>IF($B61-'[4]30'!O61&lt;0,0,$B61-'[4]30'!O61)</f>
        <v>0</v>
      </c>
      <c r="Q61" s="45">
        <f>IF($B61-'[4]30'!P61&lt;0,0,$B61-'[4]30'!P61)</f>
        <v>0</v>
      </c>
      <c r="R61" s="45">
        <f>IF($B61-'[4]30'!Q61&lt;0,0,$B61-'[4]30'!Q61)</f>
        <v>0</v>
      </c>
      <c r="S61" s="45">
        <f>IF($B61-'[4]30'!R61&lt;0,0,$B61-'[4]30'!R61)</f>
        <v>0</v>
      </c>
      <c r="T61" s="45">
        <f>IF($B61-'[4]30'!S61&lt;0,0,$B61-'[4]30'!S61)</f>
        <v>0</v>
      </c>
      <c r="U61" s="45">
        <f>IF($B61-'[4]30'!T61&lt;0,0,$B61-'[4]30'!T61)</f>
        <v>0</v>
      </c>
      <c r="V61" s="45">
        <f>IF($B61-'[4]30'!U61&lt;0,0,$B61-'[4]30'!U61)</f>
        <v>0</v>
      </c>
      <c r="W61" s="45">
        <f>IF($B61-'[4]30'!V61&lt;0,0,$B61-'[4]30'!V61)</f>
        <v>0</v>
      </c>
      <c r="X61" s="45">
        <f>IF($B61-'[4]30'!W61&lt;0,0,$B61-'[4]30'!W61)</f>
        <v>0</v>
      </c>
      <c r="Y61" s="45">
        <f>IF($B61-'[4]30'!X61&lt;0,0,$B61-'[4]30'!X61)</f>
        <v>0</v>
      </c>
      <c r="Z61" s="45">
        <f>IF($B61-'[4]30'!Y61&lt;0,0,$B61-'[4]30'!Y61)</f>
        <v>0</v>
      </c>
      <c r="AA61" s="45">
        <f>IF($B61-'[4]30'!Z61&lt;0,0,$B61-'[4]30'!Z61)</f>
        <v>0</v>
      </c>
      <c r="AB61" s="45">
        <f>IF($B61-'[4]30'!AA61&lt;0,0,$B61-'[4]30'!AA61)</f>
        <v>0</v>
      </c>
      <c r="AC61" s="45">
        <f>IF($B61-'[4]30'!AB61&lt;0,0,$B61-'[4]30'!AB61)</f>
        <v>0</v>
      </c>
      <c r="AD61" s="45">
        <f>IF($B61-'[4]30'!AC61&lt;0,0,$B61-'[4]30'!AC61)</f>
        <v>0</v>
      </c>
      <c r="AE61" s="45">
        <f>IF($B61-'[4]30'!AD61&lt;0,0,$B61-'[4]30'!AD61)</f>
        <v>0</v>
      </c>
      <c r="AF61" s="45">
        <f>IF($B61-'[4]30'!AE61&lt;0,0,$B61-'[4]30'!AE61)</f>
        <v>0</v>
      </c>
      <c r="AG61" s="45">
        <f>IF($B61-'[4]30'!AF61&lt;0,0,$B61-'[4]30'!AF61)</f>
        <v>0</v>
      </c>
      <c r="AH61" s="55">
        <v>24</v>
      </c>
      <c r="AI61" s="48">
        <f t="shared" si="2"/>
        <v>0</v>
      </c>
      <c r="AJ61" s="49">
        <f t="shared" si="3"/>
        <v>0</v>
      </c>
      <c r="AL61" s="50"/>
    </row>
    <row r="62" spans="1:42" x14ac:dyDescent="0.25">
      <c r="A62" s="54" t="s">
        <v>60</v>
      </c>
      <c r="B62" s="211">
        <v>0</v>
      </c>
      <c r="C62" s="45">
        <f>IF($B62-'[4]30'!B62&lt;0,0,$B62-'[4]30'!B62)</f>
        <v>0</v>
      </c>
      <c r="D62" s="45">
        <f>IF($B62-'[4]30'!C62&lt;0,0,$B62-'[4]30'!C62)</f>
        <v>0</v>
      </c>
      <c r="E62" s="45">
        <f>IF($B62-'[4]30'!D62&lt;0,0,$B62-'[4]30'!D62)</f>
        <v>0</v>
      </c>
      <c r="F62" s="45">
        <f>IF($B62-'[4]30'!E62&lt;0,0,$B62-'[4]30'!E62)</f>
        <v>0</v>
      </c>
      <c r="G62" s="45">
        <f>IF($B62-'[4]30'!F62&lt;0,0,$B62-'[4]30'!F62)</f>
        <v>0</v>
      </c>
      <c r="H62" s="45">
        <f>IF($B62-'[4]30'!G62&lt;0,0,$B62-'[4]30'!G62)</f>
        <v>0</v>
      </c>
      <c r="I62" s="45">
        <f>IF($B62-'[4]30'!H62&lt;0,0,$B62-'[4]30'!H62)</f>
        <v>0</v>
      </c>
      <c r="J62" s="45">
        <f>IF($B62-'[4]30'!I62&lt;0,0,$B62-'[4]30'!I62)</f>
        <v>0</v>
      </c>
      <c r="K62" s="45">
        <f>IF($B62-'[4]30'!J62&lt;0,0,$B62-'[4]30'!J62)</f>
        <v>0</v>
      </c>
      <c r="L62" s="45">
        <f>IF($B62-'[4]30'!K62&lt;0,0,$B62-'[4]30'!K62)</f>
        <v>0</v>
      </c>
      <c r="M62" s="45">
        <f>IF($B62-'[4]30'!L62&lt;0,0,$B62-'[4]30'!L62)</f>
        <v>0</v>
      </c>
      <c r="N62" s="45">
        <f>IF($B62-'[4]30'!M62&lt;0,0,$B62-'[4]30'!M62)</f>
        <v>0</v>
      </c>
      <c r="O62" s="45">
        <f>IF($B62-'[4]30'!N62&lt;0,0,$B62-'[4]30'!N62)</f>
        <v>0</v>
      </c>
      <c r="P62" s="45">
        <f>IF($B62-'[4]30'!O62&lt;0,0,$B62-'[4]30'!O62)</f>
        <v>0</v>
      </c>
      <c r="Q62" s="45">
        <f>IF($B62-'[4]30'!P62&lt;0,0,$B62-'[4]30'!P62)</f>
        <v>0</v>
      </c>
      <c r="R62" s="45">
        <f>IF($B62-'[4]30'!Q62&lt;0,0,$B62-'[4]30'!Q62)</f>
        <v>0</v>
      </c>
      <c r="S62" s="45">
        <f>IF($B62-'[4]30'!R62&lt;0,0,$B62-'[4]30'!R62)</f>
        <v>0</v>
      </c>
      <c r="T62" s="45">
        <f>IF($B62-'[4]30'!S62&lt;0,0,$B62-'[4]30'!S62)</f>
        <v>0</v>
      </c>
      <c r="U62" s="45">
        <f>IF($B62-'[4]30'!T62&lt;0,0,$B62-'[4]30'!T62)</f>
        <v>0</v>
      </c>
      <c r="V62" s="45">
        <f>IF($B62-'[4]30'!U62&lt;0,0,$B62-'[4]30'!U62)</f>
        <v>0</v>
      </c>
      <c r="W62" s="45">
        <f>IF($B62-'[4]30'!V62&lt;0,0,$B62-'[4]30'!V62)</f>
        <v>0</v>
      </c>
      <c r="X62" s="45">
        <f>IF($B62-'[4]30'!W62&lt;0,0,$B62-'[4]30'!W62)</f>
        <v>0</v>
      </c>
      <c r="Y62" s="45">
        <f>IF($B62-'[4]30'!X62&lt;0,0,$B62-'[4]30'!X62)</f>
        <v>0</v>
      </c>
      <c r="Z62" s="45">
        <f>IF($B62-'[4]30'!Y62&lt;0,0,$B62-'[4]30'!Y62)</f>
        <v>0</v>
      </c>
      <c r="AA62" s="45">
        <f>IF($B62-'[4]30'!Z62&lt;0,0,$B62-'[4]30'!Z62)</f>
        <v>0</v>
      </c>
      <c r="AB62" s="45">
        <f>IF($B62-'[4]30'!AA62&lt;0,0,$B62-'[4]30'!AA62)</f>
        <v>0</v>
      </c>
      <c r="AC62" s="45">
        <f>IF($B62-'[4]30'!AB62&lt;0,0,$B62-'[4]30'!AB62)</f>
        <v>0</v>
      </c>
      <c r="AD62" s="45">
        <f>IF($B62-'[4]30'!AC62&lt;0,0,$B62-'[4]30'!AC62)</f>
        <v>0</v>
      </c>
      <c r="AE62" s="45">
        <f>IF($B62-'[4]30'!AD62&lt;0,0,$B62-'[4]30'!AD62)</f>
        <v>0</v>
      </c>
      <c r="AF62" s="45">
        <f>IF($B62-'[4]30'!AE62&lt;0,0,$B62-'[4]30'!AE62)</f>
        <v>0</v>
      </c>
      <c r="AG62" s="45">
        <f>IF($B62-'[4]30'!AF62&lt;0,0,$B62-'[4]30'!AF62)</f>
        <v>0</v>
      </c>
      <c r="AH62" s="55">
        <v>15</v>
      </c>
      <c r="AI62" s="48">
        <f t="shared" si="2"/>
        <v>0</v>
      </c>
      <c r="AJ62" s="49">
        <f t="shared" si="3"/>
        <v>0</v>
      </c>
      <c r="AL62" s="50"/>
      <c r="AM62" s="70"/>
      <c r="AP62" s="70"/>
    </row>
    <row r="63" spans="1:42" s="70" customFormat="1" x14ac:dyDescent="0.25">
      <c r="A63" s="54" t="s">
        <v>61</v>
      </c>
      <c r="B63" s="211">
        <v>11</v>
      </c>
      <c r="C63" s="45">
        <f>IF($B63-'[4]30'!B63&lt;0,0,$B63-'[4]30'!B63)</f>
        <v>0</v>
      </c>
      <c r="D63" s="45">
        <f>IF($B63-'[4]30'!C63&lt;0,0,$B63-'[4]30'!C63)</f>
        <v>0</v>
      </c>
      <c r="E63" s="45">
        <f>IF($B63-'[4]30'!D63&lt;0,0,$B63-'[4]30'!D63)</f>
        <v>0</v>
      </c>
      <c r="F63" s="45">
        <f>IF($B63-'[4]30'!E63&lt;0,0,$B63-'[4]30'!E63)</f>
        <v>0</v>
      </c>
      <c r="G63" s="45">
        <f>IF($B63-'[4]30'!F63&lt;0,0,$B63-'[4]30'!F63)</f>
        <v>0</v>
      </c>
      <c r="H63" s="45">
        <f>IF($B63-'[4]30'!G63&lt;0,0,$B63-'[4]30'!G63)</f>
        <v>0</v>
      </c>
      <c r="I63" s="45">
        <f>IF($B63-'[4]30'!H63&lt;0,0,$B63-'[4]30'!H63)</f>
        <v>0</v>
      </c>
      <c r="J63" s="45">
        <f>IF($B63-'[4]30'!I63&lt;0,0,$B63-'[4]30'!I63)</f>
        <v>0</v>
      </c>
      <c r="K63" s="45">
        <f>IF($B63-'[4]30'!J63&lt;0,0,$B63-'[4]30'!J63)</f>
        <v>0</v>
      </c>
      <c r="L63" s="45">
        <f>IF($B63-'[4]30'!K63&lt;0,0,$B63-'[4]30'!K63)</f>
        <v>0</v>
      </c>
      <c r="M63" s="45">
        <f>IF($B63-'[4]30'!L63&lt;0,0,$B63-'[4]30'!L63)</f>
        <v>0</v>
      </c>
      <c r="N63" s="45">
        <f>IF($B63-'[4]30'!M63&lt;0,0,$B63-'[4]30'!M63)</f>
        <v>0</v>
      </c>
      <c r="O63" s="45">
        <f>IF($B63-'[4]30'!N63&lt;0,0,$B63-'[4]30'!N63)</f>
        <v>0</v>
      </c>
      <c r="P63" s="45">
        <f>IF($B63-'[4]30'!O63&lt;0,0,$B63-'[4]30'!O63)</f>
        <v>0</v>
      </c>
      <c r="Q63" s="45">
        <f>IF($B63-'[4]30'!P63&lt;0,0,$B63-'[4]30'!P63)</f>
        <v>0</v>
      </c>
      <c r="R63" s="45">
        <f>IF($B63-'[4]30'!Q63&lt;0,0,$B63-'[4]30'!Q63)</f>
        <v>0</v>
      </c>
      <c r="S63" s="45">
        <f>IF($B63-'[4]30'!R63&lt;0,0,$B63-'[4]30'!R63)</f>
        <v>0</v>
      </c>
      <c r="T63" s="45">
        <f>IF($B63-'[4]30'!S63&lt;0,0,$B63-'[4]30'!S63)</f>
        <v>0</v>
      </c>
      <c r="U63" s="45">
        <f>IF($B63-'[4]30'!T63&lt;0,0,$B63-'[4]30'!T63)</f>
        <v>0</v>
      </c>
      <c r="V63" s="45">
        <f>IF($B63-'[4]30'!U63&lt;0,0,$B63-'[4]30'!U63)</f>
        <v>0</v>
      </c>
      <c r="W63" s="45">
        <f>IF($B63-'[4]30'!V63&lt;0,0,$B63-'[4]30'!V63)</f>
        <v>0</v>
      </c>
      <c r="X63" s="45">
        <f>IF($B63-'[4]30'!W63&lt;0,0,$B63-'[4]30'!W63)</f>
        <v>0</v>
      </c>
      <c r="Y63" s="45">
        <f>IF($B63-'[4]30'!X63&lt;0,0,$B63-'[4]30'!X63)</f>
        <v>0</v>
      </c>
      <c r="Z63" s="45">
        <f>IF($B63-'[4]30'!Y63&lt;0,0,$B63-'[4]30'!Y63)</f>
        <v>0</v>
      </c>
      <c r="AA63" s="45">
        <f>IF($B63-'[4]30'!Z63&lt;0,0,$B63-'[4]30'!Z63)</f>
        <v>0</v>
      </c>
      <c r="AB63" s="45">
        <f>IF($B63-'[4]30'!AA63&lt;0,0,$B63-'[4]30'!AA63)</f>
        <v>0</v>
      </c>
      <c r="AC63" s="45">
        <f>IF($B63-'[4]30'!AB63&lt;0,0,$B63-'[4]30'!AB63)</f>
        <v>0</v>
      </c>
      <c r="AD63" s="45">
        <f>IF($B63-'[4]30'!AC63&lt;0,0,$B63-'[4]30'!AC63)</f>
        <v>0</v>
      </c>
      <c r="AE63" s="45">
        <f>IF($B63-'[4]30'!AD63&lt;0,0,$B63-'[4]30'!AD63)</f>
        <v>0</v>
      </c>
      <c r="AF63" s="45">
        <f>IF($B63-'[4]30'!AE63&lt;0,0,$B63-'[4]30'!AE63)</f>
        <v>0</v>
      </c>
      <c r="AG63" s="45">
        <f>IF($B63-'[4]30'!AF63&lt;0,0,$B63-'[4]30'!AF63)</f>
        <v>0</v>
      </c>
      <c r="AH63" s="55">
        <v>14.1</v>
      </c>
      <c r="AI63" s="48">
        <f t="shared" si="2"/>
        <v>0</v>
      </c>
      <c r="AJ63" s="49">
        <f t="shared" si="3"/>
        <v>0</v>
      </c>
      <c r="AK63" s="1"/>
      <c r="AL63" s="50"/>
      <c r="AM63" s="1"/>
      <c r="AN63" s="1"/>
      <c r="AO63" s="1"/>
      <c r="AP63" s="1"/>
    </row>
    <row r="64" spans="1:42" x14ac:dyDescent="0.25">
      <c r="A64" s="71" t="s">
        <v>62</v>
      </c>
      <c r="B64" s="211">
        <v>9</v>
      </c>
      <c r="C64" s="45">
        <f>IF($B64-'[4]30'!B64&lt;0,0,$B64-'[4]30'!B64)</f>
        <v>0</v>
      </c>
      <c r="D64" s="45">
        <f>IF($B64-'[4]30'!C64&lt;0,0,$B64-'[4]30'!C64)</f>
        <v>0</v>
      </c>
      <c r="E64" s="45">
        <f>IF($B64-'[4]30'!D64&lt;0,0,$B64-'[4]30'!D64)</f>
        <v>0</v>
      </c>
      <c r="F64" s="45">
        <f>IF($B64-'[4]30'!E64&lt;0,0,$B64-'[4]30'!E64)</f>
        <v>0</v>
      </c>
      <c r="G64" s="45">
        <f>IF($B64-'[4]30'!F64&lt;0,0,$B64-'[4]30'!F64)</f>
        <v>0</v>
      </c>
      <c r="H64" s="45">
        <f>IF($B64-'[4]30'!G64&lt;0,0,$B64-'[4]30'!G64)</f>
        <v>0</v>
      </c>
      <c r="I64" s="45">
        <f>IF($B64-'[4]30'!H64&lt;0,0,$B64-'[4]30'!H64)</f>
        <v>0</v>
      </c>
      <c r="J64" s="45">
        <f>IF($B64-'[4]30'!I64&lt;0,0,$B64-'[4]30'!I64)</f>
        <v>0</v>
      </c>
      <c r="K64" s="45">
        <f>IF($B64-'[4]30'!J64&lt;0,0,$B64-'[4]30'!J64)</f>
        <v>0</v>
      </c>
      <c r="L64" s="45">
        <f>IF($B64-'[4]30'!K64&lt;0,0,$B64-'[4]30'!K64)</f>
        <v>0</v>
      </c>
      <c r="M64" s="45">
        <f>IF($B64-'[4]30'!L64&lt;0,0,$B64-'[4]30'!L64)</f>
        <v>0</v>
      </c>
      <c r="N64" s="45">
        <f>IF($B64-'[4]30'!M64&lt;0,0,$B64-'[4]30'!M64)</f>
        <v>0</v>
      </c>
      <c r="O64" s="45">
        <f>IF($B64-'[4]30'!N64&lt;0,0,$B64-'[4]30'!N64)</f>
        <v>0</v>
      </c>
      <c r="P64" s="45">
        <f>IF($B64-'[4]30'!O64&lt;0,0,$B64-'[4]30'!O64)</f>
        <v>0</v>
      </c>
      <c r="Q64" s="45">
        <f>IF($B64-'[4]30'!P64&lt;0,0,$B64-'[4]30'!P64)</f>
        <v>0</v>
      </c>
      <c r="R64" s="45">
        <f>IF($B64-'[4]30'!Q64&lt;0,0,$B64-'[4]30'!Q64)</f>
        <v>0</v>
      </c>
      <c r="S64" s="45">
        <f>IF($B64-'[4]30'!R64&lt;0,0,$B64-'[4]30'!R64)</f>
        <v>0</v>
      </c>
      <c r="T64" s="45">
        <f>IF($B64-'[4]30'!S64&lt;0,0,$B64-'[4]30'!S64)</f>
        <v>1.4000000000000004</v>
      </c>
      <c r="U64" s="45">
        <f>IF($B64-'[4]30'!T64&lt;0,0,$B64-'[4]30'!T64)</f>
        <v>1.4000000000000004</v>
      </c>
      <c r="V64" s="45">
        <f>IF($B64-'[4]30'!U64&lt;0,0,$B64-'[4]30'!U64)</f>
        <v>1.4000000000000004</v>
      </c>
      <c r="W64" s="45">
        <f>IF($B64-'[4]30'!V64&lt;0,0,$B64-'[4]30'!V64)</f>
        <v>0.69999999999999929</v>
      </c>
      <c r="X64" s="45">
        <f>IF($B64-'[4]30'!W64&lt;0,0,$B64-'[4]30'!W64)</f>
        <v>0.69999999999999929</v>
      </c>
      <c r="Y64" s="45">
        <f>IF($B64-'[4]30'!X64&lt;0,0,$B64-'[4]30'!X64)</f>
        <v>0.69999999999999929</v>
      </c>
      <c r="Z64" s="45">
        <f>IF($B64-'[4]30'!Y64&lt;0,0,$B64-'[4]30'!Y64)</f>
        <v>0.69999999999999929</v>
      </c>
      <c r="AA64" s="45">
        <f>IF($B64-'[4]30'!Z64&lt;0,0,$B64-'[4]30'!Z64)</f>
        <v>0.69999999999999929</v>
      </c>
      <c r="AB64" s="45">
        <f>IF($B64-'[4]30'!AA64&lt;0,0,$B64-'[4]30'!AA64)</f>
        <v>0.69999999999999929</v>
      </c>
      <c r="AC64" s="45">
        <f>IF($B64-'[4]30'!AB64&lt;0,0,$B64-'[4]30'!AB64)</f>
        <v>0.69999999999999929</v>
      </c>
      <c r="AD64" s="45">
        <f>IF($B64-'[4]30'!AC64&lt;0,0,$B64-'[4]30'!AC64)</f>
        <v>0.69999999999999929</v>
      </c>
      <c r="AE64" s="45">
        <f>IF($B64-'[4]30'!AD64&lt;0,0,$B64-'[4]30'!AD64)</f>
        <v>0.69999999999999929</v>
      </c>
      <c r="AF64" s="45">
        <f>IF($B64-'[4]30'!AE64&lt;0,0,$B64-'[4]30'!AE64)</f>
        <v>0.69999999999999929</v>
      </c>
      <c r="AG64" s="45">
        <f>IF($B64-'[4]30'!AF64&lt;0,0,$B64-'[4]30'!AF64)</f>
        <v>0.69999999999999929</v>
      </c>
      <c r="AH64" s="55">
        <v>14</v>
      </c>
      <c r="AI64" s="48">
        <f t="shared" si="2"/>
        <v>1.4000000000000004</v>
      </c>
      <c r="AJ64" s="49">
        <f t="shared" si="3"/>
        <v>0</v>
      </c>
      <c r="AL64" s="50"/>
    </row>
    <row r="65" spans="1:46" x14ac:dyDescent="0.25">
      <c r="A65" s="54" t="s">
        <v>63</v>
      </c>
      <c r="B65" s="211">
        <v>9</v>
      </c>
      <c r="C65" s="45">
        <v>0</v>
      </c>
      <c r="D65" s="45">
        <v>0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v>0</v>
      </c>
      <c r="O65" s="45">
        <v>0</v>
      </c>
      <c r="P65" s="45">
        <v>0</v>
      </c>
      <c r="Q65" s="45">
        <v>0</v>
      </c>
      <c r="R65" s="45">
        <v>0</v>
      </c>
      <c r="S65" s="45">
        <v>0</v>
      </c>
      <c r="T65" s="45">
        <v>0</v>
      </c>
      <c r="U65" s="45">
        <v>0</v>
      </c>
      <c r="V65" s="45">
        <v>0</v>
      </c>
      <c r="W65" s="45">
        <v>0</v>
      </c>
      <c r="X65" s="45">
        <v>0</v>
      </c>
      <c r="Y65" s="45">
        <v>0</v>
      </c>
      <c r="Z65" s="45">
        <v>0</v>
      </c>
      <c r="AA65" s="45">
        <v>0</v>
      </c>
      <c r="AB65" s="45">
        <v>0</v>
      </c>
      <c r="AC65" s="45">
        <v>0</v>
      </c>
      <c r="AD65" s="45">
        <v>0</v>
      </c>
      <c r="AE65" s="45">
        <v>0</v>
      </c>
      <c r="AF65" s="45">
        <v>0</v>
      </c>
      <c r="AG65" s="45">
        <v>0</v>
      </c>
      <c r="AH65" s="55">
        <v>10.050000000000001</v>
      </c>
      <c r="AI65" s="48">
        <f t="shared" si="2"/>
        <v>0</v>
      </c>
      <c r="AJ65" s="49">
        <f t="shared" si="3"/>
        <v>0</v>
      </c>
      <c r="AL65" s="50"/>
    </row>
    <row r="66" spans="1:46" x14ac:dyDescent="0.25">
      <c r="A66" s="54" t="s">
        <v>64</v>
      </c>
      <c r="B66" s="211">
        <v>6.2</v>
      </c>
      <c r="C66" s="45">
        <v>0</v>
      </c>
      <c r="D66" s="45">
        <v>0</v>
      </c>
      <c r="E66" s="45">
        <v>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v>0</v>
      </c>
      <c r="O66" s="45">
        <v>0</v>
      </c>
      <c r="P66" s="45">
        <v>0</v>
      </c>
      <c r="Q66" s="45">
        <v>0</v>
      </c>
      <c r="R66" s="45">
        <v>0</v>
      </c>
      <c r="S66" s="45">
        <v>0</v>
      </c>
      <c r="T66" s="45">
        <v>0</v>
      </c>
      <c r="U66" s="45">
        <v>0</v>
      </c>
      <c r="V66" s="45">
        <v>0</v>
      </c>
      <c r="W66" s="45">
        <v>0</v>
      </c>
      <c r="X66" s="45">
        <v>0</v>
      </c>
      <c r="Y66" s="45">
        <v>0</v>
      </c>
      <c r="Z66" s="45">
        <v>0</v>
      </c>
      <c r="AA66" s="45">
        <v>0</v>
      </c>
      <c r="AB66" s="45">
        <v>0</v>
      </c>
      <c r="AC66" s="45">
        <v>0</v>
      </c>
      <c r="AD66" s="45">
        <v>0</v>
      </c>
      <c r="AE66" s="45">
        <v>0</v>
      </c>
      <c r="AF66" s="45">
        <v>0</v>
      </c>
      <c r="AG66" s="45">
        <v>0</v>
      </c>
      <c r="AH66" s="55">
        <v>6.2</v>
      </c>
      <c r="AI66" s="48">
        <f t="shared" si="2"/>
        <v>0</v>
      </c>
      <c r="AJ66" s="49">
        <f t="shared" si="3"/>
        <v>0</v>
      </c>
      <c r="AL66" s="50"/>
    </row>
    <row r="67" spans="1:46" ht="15.75" thickBot="1" x14ac:dyDescent="0.3">
      <c r="A67" s="56" t="s">
        <v>65</v>
      </c>
      <c r="B67" s="216"/>
      <c r="C67" s="216"/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>
        <v>9.5399999999999991</v>
      </c>
      <c r="O67" s="216">
        <v>10.54</v>
      </c>
      <c r="P67" s="216">
        <v>11.54</v>
      </c>
      <c r="Q67" s="216">
        <v>12.54</v>
      </c>
      <c r="R67" s="216">
        <v>13.54</v>
      </c>
      <c r="S67" s="216">
        <v>14.54</v>
      </c>
      <c r="T67" s="216">
        <v>15.54</v>
      </c>
      <c r="U67" s="216">
        <v>16.54</v>
      </c>
      <c r="V67" s="216">
        <v>17.54</v>
      </c>
      <c r="W67" s="216">
        <v>18.54</v>
      </c>
      <c r="X67" s="216">
        <v>19.54</v>
      </c>
      <c r="Y67" s="216">
        <v>20.54</v>
      </c>
      <c r="Z67" s="216">
        <v>21.54</v>
      </c>
      <c r="AA67" s="216">
        <v>22.54</v>
      </c>
      <c r="AB67" s="216">
        <v>3.54</v>
      </c>
      <c r="AC67" s="216">
        <v>3.54</v>
      </c>
      <c r="AD67" s="216">
        <v>3.54</v>
      </c>
      <c r="AE67" s="216">
        <v>3.54</v>
      </c>
      <c r="AF67" s="216">
        <v>3.54</v>
      </c>
      <c r="AG67" s="216">
        <v>3.54</v>
      </c>
      <c r="AH67" s="73">
        <f>AH235</f>
        <v>8.56</v>
      </c>
      <c r="AI67" s="48">
        <f t="shared" si="2"/>
        <v>22.54</v>
      </c>
      <c r="AJ67" s="49">
        <f t="shared" si="3"/>
        <v>3.54</v>
      </c>
      <c r="AL67" s="50"/>
    </row>
    <row r="68" spans="1:46" ht="19.5" thickBot="1" x14ac:dyDescent="0.3">
      <c r="A68" s="74" t="s">
        <v>66</v>
      </c>
      <c r="B68" s="217">
        <f t="shared" ref="B68:T68" si="8">SUM(B54:B66)</f>
        <v>707.7</v>
      </c>
      <c r="C68" s="217" t="e">
        <f t="shared" si="8"/>
        <v>#REF!</v>
      </c>
      <c r="D68" s="217" t="e">
        <f t="shared" si="8"/>
        <v>#REF!</v>
      </c>
      <c r="E68" s="217" t="e">
        <f t="shared" si="8"/>
        <v>#REF!</v>
      </c>
      <c r="F68" s="217" t="e">
        <f t="shared" si="8"/>
        <v>#REF!</v>
      </c>
      <c r="G68" s="217" t="e">
        <f t="shared" si="8"/>
        <v>#REF!</v>
      </c>
      <c r="H68" s="217" t="e">
        <f t="shared" si="8"/>
        <v>#REF!</v>
      </c>
      <c r="I68" s="217" t="e">
        <f t="shared" si="8"/>
        <v>#REF!</v>
      </c>
      <c r="J68" s="217" t="e">
        <f t="shared" si="8"/>
        <v>#REF!</v>
      </c>
      <c r="K68" s="217" t="e">
        <f t="shared" si="8"/>
        <v>#REF!</v>
      </c>
      <c r="L68" s="217" t="e">
        <f t="shared" si="8"/>
        <v>#REF!</v>
      </c>
      <c r="M68" s="217" t="e">
        <f t="shared" si="8"/>
        <v>#REF!</v>
      </c>
      <c r="N68" s="217" t="e">
        <f t="shared" si="8"/>
        <v>#REF!</v>
      </c>
      <c r="O68" s="217" t="e">
        <f t="shared" si="8"/>
        <v>#REF!</v>
      </c>
      <c r="P68" s="217" t="e">
        <f t="shared" si="8"/>
        <v>#REF!</v>
      </c>
      <c r="Q68" s="217" t="e">
        <f t="shared" si="8"/>
        <v>#REF!</v>
      </c>
      <c r="R68" s="217" t="e">
        <f t="shared" si="8"/>
        <v>#REF!</v>
      </c>
      <c r="S68" s="217" t="e">
        <f t="shared" si="8"/>
        <v>#REF!</v>
      </c>
      <c r="T68" s="217" t="e">
        <f t="shared" si="8"/>
        <v>#REF!</v>
      </c>
      <c r="U68" s="217">
        <f t="shared" ref="U68:AG68" si="9">SUM(U55:U67)</f>
        <v>72.94</v>
      </c>
      <c r="V68" s="217">
        <f t="shared" si="9"/>
        <v>66.94</v>
      </c>
      <c r="W68" s="217">
        <f t="shared" si="9"/>
        <v>53.24</v>
      </c>
      <c r="X68" s="217">
        <f t="shared" si="9"/>
        <v>49.54</v>
      </c>
      <c r="Y68" s="217">
        <f t="shared" si="9"/>
        <v>51.04</v>
      </c>
      <c r="Z68" s="217">
        <f t="shared" si="9"/>
        <v>52.04</v>
      </c>
      <c r="AA68" s="217">
        <f t="shared" si="9"/>
        <v>53.04</v>
      </c>
      <c r="AB68" s="217">
        <f t="shared" si="9"/>
        <v>34.04</v>
      </c>
      <c r="AC68" s="217">
        <f t="shared" si="9"/>
        <v>34.04</v>
      </c>
      <c r="AD68" s="217">
        <f t="shared" si="9"/>
        <v>34.04</v>
      </c>
      <c r="AE68" s="217">
        <f t="shared" si="9"/>
        <v>34.04</v>
      </c>
      <c r="AF68" s="217">
        <f t="shared" si="9"/>
        <v>38.54</v>
      </c>
      <c r="AG68" s="217">
        <f t="shared" si="9"/>
        <v>38.54</v>
      </c>
      <c r="AH68" s="218" t="e">
        <f>SUM(C68:AG68)</f>
        <v>#REF!</v>
      </c>
      <c r="AI68" s="48" t="e">
        <f t="shared" si="2"/>
        <v>#REF!</v>
      </c>
      <c r="AJ68" s="49" t="e">
        <f t="shared" si="3"/>
        <v>#REF!</v>
      </c>
      <c r="AL68" s="50"/>
    </row>
    <row r="69" spans="1:46" x14ac:dyDescent="0.25">
      <c r="A69" s="44" t="s">
        <v>67</v>
      </c>
      <c r="B69" s="45"/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45">
        <v>0</v>
      </c>
      <c r="AH69" s="52">
        <v>60</v>
      </c>
      <c r="AI69" s="48">
        <f t="shared" si="2"/>
        <v>0</v>
      </c>
      <c r="AJ69" s="49">
        <f t="shared" si="3"/>
        <v>0</v>
      </c>
      <c r="AL69" s="50"/>
    </row>
    <row r="70" spans="1:46" x14ac:dyDescent="0.25">
      <c r="A70" s="54" t="s">
        <v>68</v>
      </c>
      <c r="B70" s="45"/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v>0</v>
      </c>
      <c r="Q70" s="45">
        <v>0</v>
      </c>
      <c r="R70" s="45">
        <v>0</v>
      </c>
      <c r="S70" s="45">
        <v>0</v>
      </c>
      <c r="T70" s="45">
        <v>0</v>
      </c>
      <c r="U70" s="45">
        <v>0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0</v>
      </c>
      <c r="AB70" s="45">
        <v>0</v>
      </c>
      <c r="AC70" s="45">
        <v>0</v>
      </c>
      <c r="AD70" s="45">
        <v>0</v>
      </c>
      <c r="AE70" s="45">
        <v>0</v>
      </c>
      <c r="AF70" s="45">
        <v>0</v>
      </c>
      <c r="AG70" s="45">
        <v>0</v>
      </c>
      <c r="AH70" s="55">
        <v>32</v>
      </c>
      <c r="AI70" s="48">
        <f t="shared" si="2"/>
        <v>0</v>
      </c>
      <c r="AJ70" s="49">
        <f t="shared" si="3"/>
        <v>0</v>
      </c>
      <c r="AL70" s="50"/>
      <c r="AT70" s="48"/>
    </row>
    <row r="71" spans="1:46" ht="15.75" thickBot="1" x14ac:dyDescent="0.3">
      <c r="A71" s="71" t="s">
        <v>69</v>
      </c>
      <c r="B71" s="45"/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0</v>
      </c>
      <c r="AE71" s="45">
        <v>0</v>
      </c>
      <c r="AF71" s="45">
        <v>0</v>
      </c>
      <c r="AG71" s="45">
        <v>0</v>
      </c>
      <c r="AH71" s="68">
        <v>14</v>
      </c>
      <c r="AI71" s="48">
        <f t="shared" si="2"/>
        <v>0</v>
      </c>
      <c r="AJ71" s="49">
        <f t="shared" si="3"/>
        <v>0</v>
      </c>
      <c r="AL71" s="50"/>
    </row>
    <row r="72" spans="1:46" ht="15.75" thickBot="1" x14ac:dyDescent="0.3">
      <c r="A72" s="74" t="s">
        <v>70</v>
      </c>
      <c r="B72" s="61">
        <f>B69+B70+B71</f>
        <v>0</v>
      </c>
      <c r="C72" s="45">
        <v>0</v>
      </c>
      <c r="D72" s="45">
        <v>0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v>0</v>
      </c>
      <c r="O72" s="45">
        <v>0</v>
      </c>
      <c r="P72" s="45">
        <v>0</v>
      </c>
      <c r="Q72" s="45">
        <v>0</v>
      </c>
      <c r="R72" s="45">
        <v>0</v>
      </c>
      <c r="S72" s="45">
        <v>0</v>
      </c>
      <c r="T72" s="45">
        <v>0</v>
      </c>
      <c r="U72" s="45">
        <v>0</v>
      </c>
      <c r="V72" s="45">
        <v>0</v>
      </c>
      <c r="W72" s="45">
        <v>0</v>
      </c>
      <c r="X72" s="45">
        <v>0</v>
      </c>
      <c r="Y72" s="45">
        <v>0</v>
      </c>
      <c r="Z72" s="45">
        <v>0</v>
      </c>
      <c r="AA72" s="45">
        <v>0</v>
      </c>
      <c r="AB72" s="45">
        <v>0</v>
      </c>
      <c r="AC72" s="45">
        <v>0</v>
      </c>
      <c r="AD72" s="45">
        <v>0</v>
      </c>
      <c r="AE72" s="45">
        <v>0</v>
      </c>
      <c r="AF72" s="45">
        <v>0</v>
      </c>
      <c r="AG72" s="45">
        <v>0</v>
      </c>
      <c r="AH72" s="62">
        <f>SUM(AH69:AH71)</f>
        <v>106</v>
      </c>
      <c r="AI72" s="48">
        <f t="shared" si="2"/>
        <v>0</v>
      </c>
      <c r="AJ72" s="49">
        <f t="shared" si="3"/>
        <v>0</v>
      </c>
      <c r="AL72" s="50"/>
      <c r="AM72" s="37" t="s">
        <v>228</v>
      </c>
      <c r="AN72" s="37" t="s">
        <v>230</v>
      </c>
      <c r="AO72" s="219" t="s">
        <v>265</v>
      </c>
      <c r="AP72" s="219"/>
    </row>
    <row r="73" spans="1:46" ht="15.75" hidden="1" thickBot="1" x14ac:dyDescent="0.3">
      <c r="A73" s="44" t="s">
        <v>71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52"/>
      <c r="AI73" s="48">
        <f t="shared" si="2"/>
        <v>0</v>
      </c>
      <c r="AJ73" s="49">
        <f t="shared" si="3"/>
        <v>0</v>
      </c>
      <c r="AL73" s="50"/>
    </row>
    <row r="74" spans="1:46" ht="15.75" hidden="1" thickBot="1" x14ac:dyDescent="0.3">
      <c r="A74" s="54" t="s">
        <v>72</v>
      </c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55"/>
      <c r="AI74" s="48">
        <f t="shared" si="2"/>
        <v>0</v>
      </c>
      <c r="AJ74" s="49">
        <f t="shared" si="3"/>
        <v>0</v>
      </c>
      <c r="AL74" s="50"/>
    </row>
    <row r="75" spans="1:46" ht="15.75" hidden="1" thickBot="1" x14ac:dyDescent="0.3">
      <c r="A75" s="54" t="s">
        <v>73</v>
      </c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75"/>
      <c r="AI75" s="48">
        <f t="shared" si="2"/>
        <v>0</v>
      </c>
      <c r="AJ75" s="49">
        <f t="shared" si="3"/>
        <v>0</v>
      </c>
      <c r="AL75" s="50"/>
    </row>
    <row r="76" spans="1:46" ht="15.75" hidden="1" thickBot="1" x14ac:dyDescent="0.3">
      <c r="A76" s="54" t="s">
        <v>74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65"/>
      <c r="AF76" s="76"/>
      <c r="AG76" s="76"/>
      <c r="AH76" s="75"/>
      <c r="AI76" s="48">
        <f t="shared" si="2"/>
        <v>0</v>
      </c>
      <c r="AJ76" s="49">
        <f t="shared" si="3"/>
        <v>0</v>
      </c>
      <c r="AL76" s="50"/>
    </row>
    <row r="77" spans="1:46" ht="15.75" hidden="1" thickBot="1" x14ac:dyDescent="0.3">
      <c r="A77" s="54" t="s">
        <v>75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65"/>
      <c r="M77" s="65"/>
      <c r="N77" s="65"/>
      <c r="O77" s="65"/>
      <c r="P77" s="65"/>
      <c r="Q77" s="65"/>
      <c r="R77" s="65"/>
      <c r="S77" s="65"/>
      <c r="T77" s="6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75"/>
      <c r="AI77" s="48">
        <f t="shared" ref="AI77:AI120" si="10">MAX(C77:AG77)</f>
        <v>0</v>
      </c>
      <c r="AJ77" s="49">
        <f t="shared" ref="AJ77:AJ120" si="11">MIN(C77:AG77)</f>
        <v>0</v>
      </c>
      <c r="AL77" s="50"/>
    </row>
    <row r="78" spans="1:46" ht="15.75" hidden="1" thickBot="1" x14ac:dyDescent="0.3">
      <c r="A78" s="54" t="s">
        <v>76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65"/>
      <c r="M78" s="65"/>
      <c r="N78" s="65"/>
      <c r="O78" s="65"/>
      <c r="P78" s="65"/>
      <c r="Q78" s="65"/>
      <c r="R78" s="65"/>
      <c r="S78" s="65"/>
      <c r="T78" s="65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5"/>
      <c r="AI78" s="48">
        <f t="shared" si="10"/>
        <v>0</v>
      </c>
      <c r="AJ78" s="49">
        <f t="shared" si="11"/>
        <v>0</v>
      </c>
      <c r="AL78" s="50"/>
    </row>
    <row r="79" spans="1:46" ht="15.75" hidden="1" thickBot="1" x14ac:dyDescent="0.3">
      <c r="A79" s="54" t="s">
        <v>77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65"/>
      <c r="M79" s="65"/>
      <c r="N79" s="65"/>
      <c r="O79" s="65"/>
      <c r="P79" s="65"/>
      <c r="Q79" s="65"/>
      <c r="R79" s="65"/>
      <c r="S79" s="65"/>
      <c r="T79" s="65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5"/>
      <c r="AI79" s="48">
        <f t="shared" si="10"/>
        <v>0</v>
      </c>
      <c r="AJ79" s="49">
        <f t="shared" si="11"/>
        <v>0</v>
      </c>
      <c r="AL79" s="50"/>
      <c r="AM79" s="220" t="s">
        <v>266</v>
      </c>
      <c r="AN79" s="220"/>
    </row>
    <row r="80" spans="1:46" ht="15.75" hidden="1" thickBot="1" x14ac:dyDescent="0.3">
      <c r="A80" s="54" t="s">
        <v>78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65"/>
      <c r="M80" s="65"/>
      <c r="N80" s="65"/>
      <c r="O80" s="65"/>
      <c r="P80" s="65"/>
      <c r="Q80" s="65"/>
      <c r="R80" s="65"/>
      <c r="S80" s="65"/>
      <c r="T80" s="65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5"/>
      <c r="AI80" s="48">
        <f t="shared" si="10"/>
        <v>0</v>
      </c>
      <c r="AJ80" s="49">
        <f t="shared" si="11"/>
        <v>0</v>
      </c>
      <c r="AL80" s="221"/>
      <c r="AM80" s="222"/>
      <c r="AN80" s="222"/>
      <c r="AO80" s="223"/>
    </row>
    <row r="81" spans="1:41" ht="15.75" hidden="1" thickBot="1" x14ac:dyDescent="0.3">
      <c r="A81" s="54" t="s">
        <v>79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65"/>
      <c r="M81" s="65"/>
      <c r="N81" s="65"/>
      <c r="O81" s="65"/>
      <c r="P81" s="65"/>
      <c r="Q81" s="65"/>
      <c r="R81" s="65"/>
      <c r="S81" s="65"/>
      <c r="T81" s="65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5"/>
      <c r="AI81" s="48">
        <f t="shared" si="10"/>
        <v>0</v>
      </c>
      <c r="AJ81" s="49">
        <f t="shared" si="11"/>
        <v>0</v>
      </c>
      <c r="AL81" s="224" t="s">
        <v>267</v>
      </c>
      <c r="AM81" s="65"/>
      <c r="AN81" s="76"/>
      <c r="AO81" s="225"/>
    </row>
    <row r="82" spans="1:41" ht="15.75" hidden="1" thickBot="1" x14ac:dyDescent="0.3">
      <c r="A82" s="78" t="s">
        <v>80</v>
      </c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65"/>
      <c r="M82" s="65"/>
      <c r="N82" s="65"/>
      <c r="O82" s="65"/>
      <c r="P82" s="65"/>
      <c r="Q82" s="65"/>
      <c r="R82" s="65"/>
      <c r="S82" s="65"/>
      <c r="T82" s="65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80"/>
      <c r="AI82" s="48">
        <f t="shared" si="10"/>
        <v>0</v>
      </c>
      <c r="AJ82" s="49">
        <f t="shared" si="11"/>
        <v>0</v>
      </c>
      <c r="AL82" s="224" t="s">
        <v>268</v>
      </c>
      <c r="AM82" s="76"/>
      <c r="AN82" s="76"/>
      <c r="AO82" s="225"/>
    </row>
    <row r="83" spans="1:41" ht="15.75" hidden="1" thickBot="1" x14ac:dyDescent="0.3">
      <c r="A83" s="78" t="s">
        <v>81</v>
      </c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65"/>
      <c r="M83" s="65"/>
      <c r="N83" s="65"/>
      <c r="O83" s="65"/>
      <c r="P83" s="65"/>
      <c r="Q83" s="65"/>
      <c r="R83" s="65"/>
      <c r="S83" s="65"/>
      <c r="T83" s="65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80"/>
      <c r="AI83" s="48">
        <f t="shared" si="10"/>
        <v>0</v>
      </c>
      <c r="AJ83" s="49">
        <f t="shared" si="11"/>
        <v>0</v>
      </c>
      <c r="AL83" s="226"/>
      <c r="AM83" s="45"/>
      <c r="AN83" s="45"/>
      <c r="AO83" s="227"/>
    </row>
    <row r="84" spans="1:41" ht="15.75" hidden="1" thickBot="1" x14ac:dyDescent="0.3">
      <c r="A84" s="74" t="s">
        <v>82</v>
      </c>
      <c r="B84" s="61">
        <f t="shared" ref="B84:K84" si="12">SUMIF(B73:B83,"&gt;0")</f>
        <v>0</v>
      </c>
      <c r="C84" s="61">
        <f t="shared" si="12"/>
        <v>0</v>
      </c>
      <c r="D84" s="61">
        <f t="shared" si="12"/>
        <v>0</v>
      </c>
      <c r="E84" s="61">
        <f t="shared" si="12"/>
        <v>0</v>
      </c>
      <c r="F84" s="61">
        <f t="shared" si="12"/>
        <v>0</v>
      </c>
      <c r="G84" s="61">
        <f t="shared" si="12"/>
        <v>0</v>
      </c>
      <c r="H84" s="61">
        <f t="shared" si="12"/>
        <v>0</v>
      </c>
      <c r="I84" s="61">
        <f t="shared" si="12"/>
        <v>0</v>
      </c>
      <c r="J84" s="61">
        <f t="shared" si="12"/>
        <v>0</v>
      </c>
      <c r="K84" s="61">
        <f t="shared" si="12"/>
        <v>0</v>
      </c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81">
        <f>SUM(AH73:AH83)</f>
        <v>0</v>
      </c>
      <c r="AI84" s="48">
        <f t="shared" si="10"/>
        <v>0</v>
      </c>
      <c r="AJ84" s="49">
        <f t="shared" si="11"/>
        <v>0</v>
      </c>
      <c r="AL84" s="226"/>
      <c r="AM84" s="77"/>
      <c r="AN84" s="228"/>
      <c r="AO84" s="229"/>
    </row>
    <row r="85" spans="1:41" ht="15.75" hidden="1" thickBot="1" x14ac:dyDescent="0.3">
      <c r="A85" s="44" t="s">
        <v>83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82">
        <v>39</v>
      </c>
      <c r="AI85" s="48">
        <f t="shared" si="10"/>
        <v>0</v>
      </c>
      <c r="AJ85" s="49">
        <f t="shared" si="11"/>
        <v>0</v>
      </c>
      <c r="AL85" s="226"/>
      <c r="AM85" s="77"/>
      <c r="AN85" s="77"/>
      <c r="AO85" s="230"/>
    </row>
    <row r="86" spans="1:41" ht="15.75" hidden="1" thickBot="1" x14ac:dyDescent="0.3">
      <c r="A86" s="54" t="s">
        <v>84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5">
        <v>14.4</v>
      </c>
      <c r="AI86" s="48">
        <f t="shared" si="10"/>
        <v>0</v>
      </c>
      <c r="AJ86" s="49">
        <f t="shared" si="11"/>
        <v>0</v>
      </c>
      <c r="AL86" s="231"/>
      <c r="AM86" s="96"/>
      <c r="AN86" s="96"/>
      <c r="AO86" s="232"/>
    </row>
    <row r="87" spans="1:41" ht="15.75" hidden="1" thickBot="1" x14ac:dyDescent="0.3">
      <c r="A87" s="78" t="s">
        <v>85</v>
      </c>
      <c r="B87" s="79">
        <v>0</v>
      </c>
      <c r="C87" s="79">
        <v>0</v>
      </c>
      <c r="D87" s="79">
        <v>0</v>
      </c>
      <c r="E87" s="79">
        <v>0</v>
      </c>
      <c r="F87" s="79">
        <v>0</v>
      </c>
      <c r="G87" s="79">
        <v>0</v>
      </c>
      <c r="H87" s="79">
        <v>0</v>
      </c>
      <c r="I87" s="79">
        <v>0</v>
      </c>
      <c r="J87" s="79">
        <v>0</v>
      </c>
      <c r="K87" s="79">
        <v>0</v>
      </c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80">
        <v>2</v>
      </c>
      <c r="AI87" s="48">
        <f t="shared" si="10"/>
        <v>0</v>
      </c>
      <c r="AJ87" s="49">
        <f t="shared" si="11"/>
        <v>0</v>
      </c>
    </row>
    <row r="88" spans="1:41" ht="15.75" hidden="1" thickBot="1" x14ac:dyDescent="0.3">
      <c r="A88" s="74" t="s">
        <v>86</v>
      </c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81">
        <f>SUM(AH85:AH87)</f>
        <v>55.4</v>
      </c>
      <c r="AI88" s="48">
        <f t="shared" si="10"/>
        <v>0</v>
      </c>
      <c r="AJ88" s="49">
        <f t="shared" si="11"/>
        <v>0</v>
      </c>
    </row>
    <row r="89" spans="1:41" ht="15.75" hidden="1" thickBot="1" x14ac:dyDescent="0.3">
      <c r="A89" s="74" t="s">
        <v>87</v>
      </c>
      <c r="B89" s="83">
        <f t="shared" ref="B89:AH89" si="13">B50+B54+B72+B68+B84+B88</f>
        <v>1985.5000000000002</v>
      </c>
      <c r="C89" s="83" t="e">
        <f t="shared" si="13"/>
        <v>#REF!</v>
      </c>
      <c r="D89" s="83" t="e">
        <f t="shared" si="13"/>
        <v>#REF!</v>
      </c>
      <c r="E89" s="83" t="e">
        <f t="shared" si="13"/>
        <v>#REF!</v>
      </c>
      <c r="F89" s="83" t="e">
        <f t="shared" si="13"/>
        <v>#REF!</v>
      </c>
      <c r="G89" s="83" t="e">
        <f t="shared" si="13"/>
        <v>#REF!</v>
      </c>
      <c r="H89" s="83" t="e">
        <f t="shared" si="13"/>
        <v>#REF!</v>
      </c>
      <c r="I89" s="83" t="e">
        <f t="shared" si="13"/>
        <v>#REF!</v>
      </c>
      <c r="J89" s="83" t="e">
        <f t="shared" si="13"/>
        <v>#REF!</v>
      </c>
      <c r="K89" s="83" t="e">
        <f t="shared" si="13"/>
        <v>#REF!</v>
      </c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62" t="e">
        <f t="shared" si="13"/>
        <v>#REF!</v>
      </c>
      <c r="AI89" s="48" t="e">
        <f t="shared" si="10"/>
        <v>#REF!</v>
      </c>
      <c r="AJ89" s="49" t="e">
        <f t="shared" si="11"/>
        <v>#REF!</v>
      </c>
    </row>
    <row r="90" spans="1:41" ht="15.75" hidden="1" thickBot="1" x14ac:dyDescent="0.3">
      <c r="A90" s="84" t="s">
        <v>88</v>
      </c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1"/>
      <c r="AI90" s="48">
        <f t="shared" si="10"/>
        <v>0</v>
      </c>
      <c r="AJ90" s="49">
        <f t="shared" si="11"/>
        <v>0</v>
      </c>
    </row>
    <row r="91" spans="1:41" ht="15.75" hidden="1" thickBot="1" x14ac:dyDescent="0.3">
      <c r="A91" s="74" t="s">
        <v>89</v>
      </c>
      <c r="B91" s="83">
        <f t="shared" ref="B91:K91" si="14">B89+B90</f>
        <v>1985.5000000000002</v>
      </c>
      <c r="C91" s="83" t="e">
        <f t="shared" si="14"/>
        <v>#REF!</v>
      </c>
      <c r="D91" s="83" t="e">
        <f t="shared" si="14"/>
        <v>#REF!</v>
      </c>
      <c r="E91" s="83" t="e">
        <f t="shared" si="14"/>
        <v>#REF!</v>
      </c>
      <c r="F91" s="83" t="e">
        <f t="shared" si="14"/>
        <v>#REF!</v>
      </c>
      <c r="G91" s="83" t="e">
        <f t="shared" si="14"/>
        <v>#REF!</v>
      </c>
      <c r="H91" s="83" t="e">
        <f t="shared" si="14"/>
        <v>#REF!</v>
      </c>
      <c r="I91" s="83" t="e">
        <f t="shared" si="14"/>
        <v>#REF!</v>
      </c>
      <c r="J91" s="83" t="e">
        <f t="shared" si="14"/>
        <v>#REF!</v>
      </c>
      <c r="K91" s="83" t="e">
        <f t="shared" si="14"/>
        <v>#REF!</v>
      </c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1" t="e">
        <f>AH88+AH84+AH72+AH68+AH50+AH90</f>
        <v>#REF!</v>
      </c>
      <c r="AI91" s="48" t="e">
        <f t="shared" si="10"/>
        <v>#REF!</v>
      </c>
      <c r="AJ91" s="49" t="e">
        <f t="shared" si="11"/>
        <v>#REF!</v>
      </c>
    </row>
    <row r="92" spans="1:41" ht="15.75" hidden="1" thickBot="1" x14ac:dyDescent="0.3">
      <c r="A92" s="74" t="s">
        <v>90</v>
      </c>
      <c r="B92" s="83">
        <f>B91-(-B99)</f>
        <v>1985.5000000000002</v>
      </c>
      <c r="C92" s="83" t="e">
        <f>C91-(-C99)</f>
        <v>#REF!</v>
      </c>
      <c r="D92" s="83" t="e">
        <f t="shared" ref="D92:K92" si="15">D91-(-D99)</f>
        <v>#REF!</v>
      </c>
      <c r="E92" s="83" t="e">
        <f t="shared" si="15"/>
        <v>#REF!</v>
      </c>
      <c r="F92" s="83" t="e">
        <f t="shared" si="15"/>
        <v>#REF!</v>
      </c>
      <c r="G92" s="83" t="e">
        <f t="shared" si="15"/>
        <v>#REF!</v>
      </c>
      <c r="H92" s="83" t="e">
        <f t="shared" si="15"/>
        <v>#REF!</v>
      </c>
      <c r="I92" s="83" t="e">
        <f t="shared" si="15"/>
        <v>#REF!</v>
      </c>
      <c r="J92" s="83" t="e">
        <f t="shared" si="15"/>
        <v>#REF!</v>
      </c>
      <c r="K92" s="83" t="e">
        <f t="shared" si="15"/>
        <v>#REF!</v>
      </c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1"/>
      <c r="AI92" s="48" t="e">
        <f t="shared" si="10"/>
        <v>#REF!</v>
      </c>
      <c r="AJ92" s="49" t="e">
        <f t="shared" si="11"/>
        <v>#REF!</v>
      </c>
    </row>
    <row r="93" spans="1:41" ht="15.75" hidden="1" thickBot="1" x14ac:dyDescent="0.3">
      <c r="A93" s="44" t="s">
        <v>74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52"/>
      <c r="AI93" s="48">
        <f t="shared" si="10"/>
        <v>0</v>
      </c>
      <c r="AJ93" s="49">
        <f t="shared" si="11"/>
        <v>0</v>
      </c>
    </row>
    <row r="94" spans="1:41" ht="15.75" hidden="1" thickBot="1" x14ac:dyDescent="0.3">
      <c r="A94" s="54" t="s">
        <v>72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55"/>
      <c r="AI94" s="48">
        <f t="shared" si="10"/>
        <v>0</v>
      </c>
      <c r="AJ94" s="49">
        <f t="shared" si="11"/>
        <v>0</v>
      </c>
    </row>
    <row r="95" spans="1:41" ht="15.75" hidden="1" thickBot="1" x14ac:dyDescent="0.3">
      <c r="A95" s="78" t="s">
        <v>91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86"/>
      <c r="AI95" s="48">
        <f t="shared" si="10"/>
        <v>0</v>
      </c>
      <c r="AJ95" s="49">
        <f t="shared" si="11"/>
        <v>0</v>
      </c>
    </row>
    <row r="96" spans="1:41" ht="15.75" hidden="1" thickBot="1" x14ac:dyDescent="0.3">
      <c r="A96" s="78" t="s">
        <v>92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86"/>
      <c r="AI96" s="48">
        <f t="shared" si="10"/>
        <v>0</v>
      </c>
      <c r="AJ96" s="49">
        <f t="shared" si="11"/>
        <v>0</v>
      </c>
    </row>
    <row r="97" spans="1:38" ht="15.75" hidden="1" thickBot="1" x14ac:dyDescent="0.3">
      <c r="A97" s="78" t="s">
        <v>71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86"/>
      <c r="AI97" s="48">
        <f t="shared" si="10"/>
        <v>0</v>
      </c>
      <c r="AJ97" s="49">
        <f t="shared" si="11"/>
        <v>0</v>
      </c>
    </row>
    <row r="98" spans="1:38" ht="15.75" hidden="1" thickBot="1" x14ac:dyDescent="0.3">
      <c r="A98" s="78" t="s">
        <v>93</v>
      </c>
      <c r="B98" s="79">
        <v>0</v>
      </c>
      <c r="C98" s="79">
        <v>0</v>
      </c>
      <c r="D98" s="79">
        <v>0</v>
      </c>
      <c r="E98" s="79">
        <v>0</v>
      </c>
      <c r="F98" s="79">
        <v>0</v>
      </c>
      <c r="G98" s="79">
        <v>0</v>
      </c>
      <c r="H98" s="79">
        <v>0</v>
      </c>
      <c r="I98" s="79">
        <v>0</v>
      </c>
      <c r="J98" s="79">
        <v>0</v>
      </c>
      <c r="K98" s="79">
        <v>0</v>
      </c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80"/>
      <c r="AI98" s="48">
        <f t="shared" si="10"/>
        <v>0</v>
      </c>
      <c r="AJ98" s="49">
        <f t="shared" si="11"/>
        <v>0</v>
      </c>
    </row>
    <row r="99" spans="1:38" ht="15.75" hidden="1" thickBot="1" x14ac:dyDescent="0.3">
      <c r="A99" s="87" t="s">
        <v>94</v>
      </c>
      <c r="B99" s="61">
        <f>B75</f>
        <v>0</v>
      </c>
      <c r="C99" s="61">
        <f>C75</f>
        <v>0</v>
      </c>
      <c r="D99" s="61">
        <f t="shared" ref="D99:K99" si="16">D75</f>
        <v>0</v>
      </c>
      <c r="E99" s="61">
        <f t="shared" si="16"/>
        <v>0</v>
      </c>
      <c r="F99" s="61">
        <f t="shared" si="16"/>
        <v>0</v>
      </c>
      <c r="G99" s="61">
        <f t="shared" si="16"/>
        <v>0</v>
      </c>
      <c r="H99" s="61">
        <f t="shared" si="16"/>
        <v>0</v>
      </c>
      <c r="I99" s="61">
        <f t="shared" si="16"/>
        <v>0</v>
      </c>
      <c r="J99" s="61">
        <f t="shared" si="16"/>
        <v>0</v>
      </c>
      <c r="K99" s="61">
        <f t="shared" si="16"/>
        <v>0</v>
      </c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81"/>
      <c r="AI99" s="48">
        <f t="shared" si="10"/>
        <v>0</v>
      </c>
      <c r="AJ99" s="49">
        <f t="shared" si="11"/>
        <v>0</v>
      </c>
      <c r="AL99" s="50"/>
    </row>
    <row r="100" spans="1:38" ht="15.75" hidden="1" thickBot="1" x14ac:dyDescent="0.3">
      <c r="A100" s="74" t="s">
        <v>95</v>
      </c>
      <c r="B100" s="61">
        <f t="shared" ref="B100:K100" si="17">B84-B99</f>
        <v>0</v>
      </c>
      <c r="C100" s="61">
        <f t="shared" si="17"/>
        <v>0</v>
      </c>
      <c r="D100" s="61">
        <f t="shared" si="17"/>
        <v>0</v>
      </c>
      <c r="E100" s="61">
        <f t="shared" si="17"/>
        <v>0</v>
      </c>
      <c r="F100" s="61">
        <f t="shared" si="17"/>
        <v>0</v>
      </c>
      <c r="G100" s="61">
        <f t="shared" si="17"/>
        <v>0</v>
      </c>
      <c r="H100" s="61">
        <f t="shared" si="17"/>
        <v>0</v>
      </c>
      <c r="I100" s="61">
        <f t="shared" si="17"/>
        <v>0</v>
      </c>
      <c r="J100" s="61">
        <f t="shared" si="17"/>
        <v>0</v>
      </c>
      <c r="K100" s="61">
        <f t="shared" si="17"/>
        <v>0</v>
      </c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81"/>
      <c r="AI100" s="48">
        <f t="shared" si="10"/>
        <v>0</v>
      </c>
      <c r="AJ100" s="49">
        <f t="shared" si="11"/>
        <v>0</v>
      </c>
    </row>
    <row r="101" spans="1:38" ht="15.75" hidden="1" thickBot="1" x14ac:dyDescent="0.3">
      <c r="A101" s="88" t="s">
        <v>96</v>
      </c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90"/>
      <c r="AI101" s="48">
        <f t="shared" si="10"/>
        <v>0</v>
      </c>
      <c r="AJ101" s="49">
        <f t="shared" si="11"/>
        <v>0</v>
      </c>
    </row>
    <row r="102" spans="1:38" ht="15.75" hidden="1" thickBot="1" x14ac:dyDescent="0.3">
      <c r="A102" s="91" t="s">
        <v>97</v>
      </c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92"/>
      <c r="AI102" s="48">
        <f t="shared" si="10"/>
        <v>0</v>
      </c>
      <c r="AJ102" s="49">
        <f t="shared" si="11"/>
        <v>0</v>
      </c>
    </row>
    <row r="103" spans="1:38" ht="15.75" hidden="1" thickBot="1" x14ac:dyDescent="0.3">
      <c r="A103" s="91" t="s">
        <v>98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92"/>
      <c r="AI103" s="48">
        <f t="shared" si="10"/>
        <v>0</v>
      </c>
      <c r="AJ103" s="49">
        <f t="shared" si="11"/>
        <v>0</v>
      </c>
    </row>
    <row r="104" spans="1:38" ht="15.75" hidden="1" thickBot="1" x14ac:dyDescent="0.3">
      <c r="A104" s="91" t="s">
        <v>99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92"/>
      <c r="AI104" s="48">
        <f t="shared" si="10"/>
        <v>0</v>
      </c>
      <c r="AJ104" s="49">
        <f t="shared" si="11"/>
        <v>0</v>
      </c>
    </row>
    <row r="105" spans="1:38" ht="15.75" hidden="1" thickBot="1" x14ac:dyDescent="0.3">
      <c r="A105" s="93" t="s">
        <v>100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92"/>
      <c r="AI105" s="48">
        <f t="shared" si="10"/>
        <v>0</v>
      </c>
      <c r="AJ105" s="49">
        <f t="shared" si="11"/>
        <v>0</v>
      </c>
    </row>
    <row r="106" spans="1:38" ht="15.75" hidden="1" thickBot="1" x14ac:dyDescent="0.3">
      <c r="A106" s="93" t="s">
        <v>101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5"/>
      <c r="AI106" s="48">
        <f t="shared" si="10"/>
        <v>0</v>
      </c>
      <c r="AJ106" s="49">
        <f t="shared" si="11"/>
        <v>0</v>
      </c>
    </row>
    <row r="107" spans="1:38" ht="15.75" hidden="1" thickBot="1" x14ac:dyDescent="0.3">
      <c r="A107" s="91" t="s">
        <v>102</v>
      </c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92"/>
      <c r="AI107" s="48">
        <f t="shared" si="10"/>
        <v>0</v>
      </c>
      <c r="AJ107" s="49">
        <f t="shared" si="11"/>
        <v>0</v>
      </c>
    </row>
    <row r="108" spans="1:38" ht="15.75" hidden="1" thickBot="1" x14ac:dyDescent="0.3">
      <c r="A108" s="91" t="s">
        <v>103</v>
      </c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7"/>
      <c r="AI108" s="48">
        <f t="shared" si="10"/>
        <v>0</v>
      </c>
      <c r="AJ108" s="49">
        <f t="shared" si="11"/>
        <v>0</v>
      </c>
    </row>
    <row r="109" spans="1:38" ht="15.75" hidden="1" thickBot="1" x14ac:dyDescent="0.3">
      <c r="A109" s="98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7"/>
      <c r="AI109" s="48">
        <f t="shared" si="10"/>
        <v>0</v>
      </c>
      <c r="AJ109" s="49">
        <f t="shared" si="11"/>
        <v>0</v>
      </c>
    </row>
    <row r="110" spans="1:38" ht="15.75" hidden="1" thickBot="1" x14ac:dyDescent="0.3">
      <c r="A110" s="99" t="s">
        <v>104</v>
      </c>
      <c r="B110" s="100">
        <f t="shared" ref="B110:K110" si="18">SUM(B20,B26,B29:B30,B58,B60:B61,B63,B65,B111:B115,B138,B144,B150,B159,B161,B173,B180,B183:B184,B191,B193,B195,B199:B201,B203:B205,B210,B216:B217,B219:B221,B229,B234)</f>
        <v>162</v>
      </c>
      <c r="C110" s="100">
        <f t="shared" si="18"/>
        <v>17</v>
      </c>
      <c r="D110" s="100">
        <f t="shared" si="18"/>
        <v>20.059999999999999</v>
      </c>
      <c r="E110" s="100">
        <f t="shared" si="18"/>
        <v>22</v>
      </c>
      <c r="F110" s="100">
        <f t="shared" si="18"/>
        <v>32</v>
      </c>
      <c r="G110" s="100">
        <f t="shared" si="18"/>
        <v>32</v>
      </c>
      <c r="H110" s="100">
        <f t="shared" si="18"/>
        <v>32</v>
      </c>
      <c r="I110" s="100">
        <f t="shared" si="18"/>
        <v>27</v>
      </c>
      <c r="J110" s="100">
        <f t="shared" si="18"/>
        <v>17</v>
      </c>
      <c r="K110" s="100">
        <f t="shared" si="18"/>
        <v>17</v>
      </c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1"/>
      <c r="AI110" s="48">
        <f t="shared" si="10"/>
        <v>32</v>
      </c>
      <c r="AJ110" s="49">
        <f t="shared" si="11"/>
        <v>17</v>
      </c>
    </row>
    <row r="111" spans="1:38" ht="15.75" hidden="1" thickBot="1" x14ac:dyDescent="0.3">
      <c r="A111" s="88" t="s">
        <v>105</v>
      </c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  <c r="AH111" s="103">
        <v>75</v>
      </c>
      <c r="AI111" s="48">
        <f t="shared" si="10"/>
        <v>0</v>
      </c>
      <c r="AJ111" s="49">
        <f t="shared" si="11"/>
        <v>0</v>
      </c>
    </row>
    <row r="112" spans="1:38" ht="15.75" hidden="1" thickBot="1" x14ac:dyDescent="0.3">
      <c r="A112" s="91" t="s">
        <v>106</v>
      </c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  <c r="AH112" s="103">
        <v>240</v>
      </c>
      <c r="AI112" s="48">
        <f t="shared" si="10"/>
        <v>0</v>
      </c>
      <c r="AJ112" s="49">
        <f t="shared" si="11"/>
        <v>0</v>
      </c>
    </row>
    <row r="113" spans="1:38" ht="15.75" hidden="1" thickBot="1" x14ac:dyDescent="0.3">
      <c r="A113" s="91" t="s">
        <v>107</v>
      </c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3">
        <v>240</v>
      </c>
      <c r="AI113" s="48">
        <f t="shared" si="10"/>
        <v>0</v>
      </c>
      <c r="AJ113" s="49">
        <f t="shared" si="11"/>
        <v>0</v>
      </c>
    </row>
    <row r="114" spans="1:38" ht="15.75" hidden="1" thickBot="1" x14ac:dyDescent="0.3">
      <c r="A114" s="91" t="s">
        <v>108</v>
      </c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03">
        <v>60</v>
      </c>
      <c r="AI114" s="48">
        <f t="shared" si="10"/>
        <v>0</v>
      </c>
      <c r="AJ114" s="49">
        <f t="shared" si="11"/>
        <v>0</v>
      </c>
    </row>
    <row r="115" spans="1:38" ht="15.75" hidden="1" thickBot="1" x14ac:dyDescent="0.3">
      <c r="A115" s="105" t="s">
        <v>109</v>
      </c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7">
        <v>120</v>
      </c>
      <c r="AI115" s="48">
        <f t="shared" si="10"/>
        <v>0</v>
      </c>
      <c r="AJ115" s="49">
        <f t="shared" si="11"/>
        <v>0</v>
      </c>
    </row>
    <row r="116" spans="1:38" ht="15.75" hidden="1" thickBot="1" x14ac:dyDescent="0.3">
      <c r="A116" s="105" t="s">
        <v>110</v>
      </c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7"/>
      <c r="AI116" s="48">
        <f t="shared" si="10"/>
        <v>0</v>
      </c>
      <c r="AJ116" s="49">
        <f t="shared" si="11"/>
        <v>0</v>
      </c>
    </row>
    <row r="117" spans="1:38" ht="15.75" hidden="1" thickBot="1" x14ac:dyDescent="0.3">
      <c r="A117" s="105" t="s">
        <v>111</v>
      </c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8"/>
      <c r="AI117" s="48">
        <f t="shared" si="10"/>
        <v>0</v>
      </c>
      <c r="AJ117" s="49">
        <f t="shared" si="11"/>
        <v>0</v>
      </c>
    </row>
    <row r="118" spans="1:38" ht="15.75" hidden="1" thickBot="1" x14ac:dyDescent="0.3">
      <c r="A118" s="109" t="s">
        <v>112</v>
      </c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108"/>
      <c r="AI118" s="48">
        <f t="shared" si="10"/>
        <v>0</v>
      </c>
      <c r="AJ118" s="49">
        <f t="shared" si="11"/>
        <v>0</v>
      </c>
    </row>
    <row r="119" spans="1:38" ht="15.75" hidden="1" thickBot="1" x14ac:dyDescent="0.3">
      <c r="A119" s="233" t="s">
        <v>269</v>
      </c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108"/>
      <c r="AI119" s="48">
        <f t="shared" si="10"/>
        <v>0</v>
      </c>
      <c r="AJ119" s="49">
        <f t="shared" si="11"/>
        <v>0</v>
      </c>
    </row>
    <row r="120" spans="1:38" ht="15.75" hidden="1" thickBot="1" x14ac:dyDescent="0.3">
      <c r="A120" s="109" t="s">
        <v>270</v>
      </c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108"/>
      <c r="AI120" s="48">
        <f t="shared" si="10"/>
        <v>0</v>
      </c>
      <c r="AJ120" s="49">
        <f t="shared" si="11"/>
        <v>0</v>
      </c>
    </row>
    <row r="121" spans="1:38" ht="15.75" hidden="1" thickBot="1" x14ac:dyDescent="0.3">
      <c r="A121" s="110" t="s">
        <v>114</v>
      </c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2"/>
      <c r="AI121" s="48"/>
      <c r="AJ121" s="49"/>
      <c r="AL121" s="50"/>
    </row>
    <row r="122" spans="1:38" ht="15.75" hidden="1" thickBot="1" x14ac:dyDescent="0.3">
      <c r="A122" s="113" t="s">
        <v>115</v>
      </c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4"/>
      <c r="AH122" s="116">
        <v>9.94</v>
      </c>
      <c r="AI122" s="48"/>
      <c r="AJ122" s="49"/>
      <c r="AL122" s="50"/>
    </row>
    <row r="123" spans="1:38" ht="15.75" hidden="1" thickBot="1" x14ac:dyDescent="0.3">
      <c r="A123" s="91" t="s">
        <v>116</v>
      </c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4"/>
      <c r="AH123" s="116"/>
      <c r="AI123" s="48"/>
      <c r="AJ123" s="49"/>
      <c r="AL123" s="50"/>
    </row>
    <row r="124" spans="1:38" ht="15.75" hidden="1" thickBot="1" x14ac:dyDescent="0.3">
      <c r="A124" s="91" t="s">
        <v>117</v>
      </c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4"/>
      <c r="AH124" s="116"/>
      <c r="AI124" s="48"/>
      <c r="AJ124" s="49"/>
      <c r="AL124" s="50"/>
    </row>
    <row r="125" spans="1:38" ht="15.75" hidden="1" thickBot="1" x14ac:dyDescent="0.3">
      <c r="A125" s="91" t="s">
        <v>118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4"/>
      <c r="AH125" s="116"/>
      <c r="AI125" s="48"/>
      <c r="AJ125" s="49"/>
      <c r="AL125" s="50"/>
    </row>
    <row r="126" spans="1:38" ht="15.75" hidden="1" thickBot="1" x14ac:dyDescent="0.3">
      <c r="A126" s="91" t="s">
        <v>119</v>
      </c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4"/>
      <c r="AH126" s="116"/>
      <c r="AI126" s="48"/>
      <c r="AJ126" s="49"/>
      <c r="AL126" s="50"/>
    </row>
    <row r="127" spans="1:38" ht="15.75" hidden="1" thickBot="1" x14ac:dyDescent="0.3">
      <c r="A127" s="91" t="s">
        <v>120</v>
      </c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4"/>
      <c r="AH127" s="116"/>
      <c r="AI127" s="48"/>
      <c r="AJ127" s="49"/>
      <c r="AL127" s="50"/>
    </row>
    <row r="128" spans="1:38" ht="15.75" hidden="1" thickBot="1" x14ac:dyDescent="0.3">
      <c r="A128" s="91" t="s">
        <v>121</v>
      </c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4"/>
      <c r="AH128" s="116"/>
      <c r="AI128" s="48"/>
      <c r="AJ128" s="49"/>
      <c r="AL128" s="50"/>
    </row>
    <row r="129" spans="1:38" ht="15.75" hidden="1" thickBot="1" x14ac:dyDescent="0.3">
      <c r="A129" s="91" t="s">
        <v>122</v>
      </c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4"/>
      <c r="AH129" s="116"/>
      <c r="AI129" s="48"/>
      <c r="AJ129" s="49"/>
      <c r="AL129" s="50"/>
    </row>
    <row r="130" spans="1:38" ht="15.75" hidden="1" thickBot="1" x14ac:dyDescent="0.3">
      <c r="A130" s="91" t="s">
        <v>123</v>
      </c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4"/>
      <c r="AH130" s="116"/>
      <c r="AI130" s="48"/>
      <c r="AJ130" s="49"/>
      <c r="AL130" s="50"/>
    </row>
    <row r="131" spans="1:38" ht="15.75" hidden="1" thickBot="1" x14ac:dyDescent="0.3">
      <c r="A131" s="91" t="s">
        <v>124</v>
      </c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  <c r="AD131" s="114"/>
      <c r="AE131" s="114"/>
      <c r="AF131" s="114"/>
      <c r="AG131" s="114"/>
      <c r="AH131" s="116"/>
      <c r="AI131" s="48"/>
      <c r="AJ131" s="49"/>
      <c r="AL131" s="50"/>
    </row>
    <row r="132" spans="1:38" ht="15.75" hidden="1" thickBot="1" x14ac:dyDescent="0.3">
      <c r="A132" s="91" t="s">
        <v>125</v>
      </c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  <c r="AD132" s="114"/>
      <c r="AE132" s="114"/>
      <c r="AF132" s="114"/>
      <c r="AG132" s="114"/>
      <c r="AH132" s="116"/>
      <c r="AI132" s="48"/>
      <c r="AJ132" s="49"/>
      <c r="AL132" s="50"/>
    </row>
    <row r="133" spans="1:38" ht="15.75" hidden="1" thickBot="1" x14ac:dyDescent="0.3">
      <c r="A133" s="91" t="s">
        <v>126</v>
      </c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14"/>
      <c r="AE133" s="114"/>
      <c r="AF133" s="114"/>
      <c r="AG133" s="114"/>
      <c r="AH133" s="116"/>
      <c r="AI133" s="48"/>
      <c r="AJ133" s="49"/>
      <c r="AL133" s="50"/>
    </row>
    <row r="134" spans="1:38" ht="15.75" hidden="1" thickBot="1" x14ac:dyDescent="0.3">
      <c r="A134" s="91" t="s">
        <v>127</v>
      </c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4"/>
      <c r="AD134" s="114"/>
      <c r="AE134" s="114"/>
      <c r="AF134" s="114"/>
      <c r="AG134" s="114"/>
      <c r="AH134" s="116"/>
      <c r="AI134" s="48"/>
      <c r="AJ134" s="49"/>
      <c r="AL134" s="50"/>
    </row>
    <row r="135" spans="1:38" ht="15.75" hidden="1" thickBot="1" x14ac:dyDescent="0.3">
      <c r="A135" s="91" t="s">
        <v>128</v>
      </c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114"/>
      <c r="AB135" s="114"/>
      <c r="AC135" s="114"/>
      <c r="AD135" s="114"/>
      <c r="AE135" s="114"/>
      <c r="AF135" s="114"/>
      <c r="AG135" s="114"/>
      <c r="AH135" s="116"/>
      <c r="AI135" s="48"/>
      <c r="AJ135" s="49"/>
      <c r="AL135" s="50"/>
    </row>
    <row r="136" spans="1:38" ht="15.75" hidden="1" thickBot="1" x14ac:dyDescent="0.3">
      <c r="A136" s="91" t="s">
        <v>129</v>
      </c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4"/>
      <c r="AD136" s="114"/>
      <c r="AE136" s="114"/>
      <c r="AF136" s="114"/>
      <c r="AG136" s="114"/>
      <c r="AH136" s="116"/>
      <c r="AI136" s="48"/>
      <c r="AJ136" s="49"/>
      <c r="AL136" s="50"/>
    </row>
    <row r="137" spans="1:38" ht="15.75" hidden="1" thickBot="1" x14ac:dyDescent="0.3">
      <c r="A137" s="91" t="s">
        <v>130</v>
      </c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  <c r="AD137" s="114"/>
      <c r="AE137" s="114"/>
      <c r="AF137" s="114"/>
      <c r="AG137" s="114"/>
      <c r="AH137" s="116"/>
      <c r="AI137" s="48"/>
      <c r="AJ137" s="49"/>
      <c r="AL137" s="50"/>
    </row>
    <row r="138" spans="1:38" ht="15.75" hidden="1" thickBot="1" x14ac:dyDescent="0.3">
      <c r="A138" s="91" t="s">
        <v>131</v>
      </c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17"/>
      <c r="AH138" s="119">
        <v>9.9</v>
      </c>
      <c r="AI138" s="48"/>
      <c r="AJ138" s="49"/>
      <c r="AL138" s="50"/>
    </row>
    <row r="139" spans="1:38" ht="15.75" hidden="1" thickBot="1" x14ac:dyDescent="0.3">
      <c r="A139" s="105" t="s">
        <v>132</v>
      </c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17"/>
      <c r="AH139" s="120">
        <v>9.6579999999999995</v>
      </c>
      <c r="AI139" s="48"/>
      <c r="AJ139" s="49"/>
      <c r="AL139" s="50"/>
    </row>
    <row r="140" spans="1:38" ht="15.75" hidden="1" thickBot="1" x14ac:dyDescent="0.3">
      <c r="A140" s="105" t="s">
        <v>133</v>
      </c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17"/>
      <c r="AH140" s="120">
        <v>9.6</v>
      </c>
      <c r="AI140" s="48"/>
      <c r="AJ140" s="49"/>
      <c r="AL140" s="50"/>
    </row>
    <row r="141" spans="1:38" ht="15.75" hidden="1" thickBot="1" x14ac:dyDescent="0.3">
      <c r="A141" s="105" t="s">
        <v>134</v>
      </c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17"/>
      <c r="AH141" s="120">
        <v>9.51</v>
      </c>
      <c r="AI141" s="48"/>
      <c r="AJ141" s="49"/>
      <c r="AL141" s="50"/>
    </row>
    <row r="142" spans="1:38" ht="15.75" hidden="1" thickBot="1" x14ac:dyDescent="0.3">
      <c r="A142" s="105" t="s">
        <v>135</v>
      </c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17"/>
      <c r="AH142" s="120">
        <v>9.4</v>
      </c>
      <c r="AI142" s="48"/>
      <c r="AJ142" s="49"/>
      <c r="AL142" s="50"/>
    </row>
    <row r="143" spans="1:38" ht="15.75" hidden="1" thickBot="1" x14ac:dyDescent="0.3">
      <c r="A143" s="105" t="s">
        <v>136</v>
      </c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17"/>
      <c r="AH143" s="120">
        <v>8.8000000000000007</v>
      </c>
      <c r="AI143" s="48"/>
      <c r="AJ143" s="49"/>
      <c r="AL143" s="50"/>
    </row>
    <row r="144" spans="1:38" ht="15.75" hidden="1" thickBot="1" x14ac:dyDescent="0.3">
      <c r="A144" s="105" t="s">
        <v>137</v>
      </c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17"/>
      <c r="AH144" s="120">
        <v>8.5</v>
      </c>
      <c r="AI144" s="48"/>
      <c r="AJ144" s="49"/>
      <c r="AL144" s="50"/>
    </row>
    <row r="145" spans="1:38" ht="15.75" hidden="1" thickBot="1" x14ac:dyDescent="0.3">
      <c r="A145" s="105" t="s">
        <v>138</v>
      </c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17"/>
      <c r="AH145" s="120">
        <v>8.5</v>
      </c>
      <c r="AI145" s="48"/>
      <c r="AJ145" s="49"/>
      <c r="AL145" s="50"/>
    </row>
    <row r="146" spans="1:38" ht="15.75" hidden="1" thickBot="1" x14ac:dyDescent="0.3">
      <c r="A146" s="105" t="s">
        <v>139</v>
      </c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17"/>
      <c r="AH146" s="120">
        <v>8.4</v>
      </c>
      <c r="AI146" s="48"/>
      <c r="AJ146" s="49"/>
      <c r="AL146" s="50"/>
    </row>
    <row r="147" spans="1:38" ht="13.5" hidden="1" customHeight="1" x14ac:dyDescent="0.25">
      <c r="A147" s="105" t="s">
        <v>140</v>
      </c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20">
        <v>8</v>
      </c>
      <c r="AI147" s="48"/>
      <c r="AJ147" s="49"/>
      <c r="AL147" s="50"/>
    </row>
    <row r="148" spans="1:38" ht="15.75" hidden="1" thickBot="1" x14ac:dyDescent="0.3">
      <c r="A148" s="105" t="s">
        <v>141</v>
      </c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17"/>
      <c r="AH148" s="120">
        <v>8</v>
      </c>
      <c r="AI148" s="48"/>
      <c r="AJ148" s="49"/>
      <c r="AL148" s="50"/>
    </row>
    <row r="149" spans="1:38" ht="15.75" hidden="1" thickBot="1" x14ac:dyDescent="0.3">
      <c r="A149" s="105" t="s">
        <v>142</v>
      </c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17"/>
      <c r="AH149" s="120">
        <v>8</v>
      </c>
      <c r="AI149" s="48"/>
      <c r="AJ149" s="49"/>
      <c r="AL149" s="50"/>
    </row>
    <row r="150" spans="1:38" ht="15.75" hidden="1" thickBot="1" x14ac:dyDescent="0.3">
      <c r="A150" s="105" t="s">
        <v>143</v>
      </c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17"/>
      <c r="AH150" s="120">
        <v>7.8</v>
      </c>
      <c r="AI150" s="48"/>
      <c r="AJ150" s="49"/>
      <c r="AL150" s="50"/>
    </row>
    <row r="151" spans="1:38" ht="15.75" hidden="1" thickBot="1" x14ac:dyDescent="0.3">
      <c r="A151" s="105" t="s">
        <v>144</v>
      </c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17"/>
      <c r="AH151" s="120">
        <v>7.6</v>
      </c>
      <c r="AI151" s="48"/>
      <c r="AJ151" s="49"/>
      <c r="AL151" s="50"/>
    </row>
    <row r="152" spans="1:38" ht="15.75" hidden="1" thickBot="1" x14ac:dyDescent="0.3">
      <c r="A152" s="105" t="s">
        <v>145</v>
      </c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17"/>
      <c r="AH152" s="120">
        <v>7.5</v>
      </c>
      <c r="AI152" s="48"/>
      <c r="AJ152" s="49"/>
      <c r="AL152" s="50"/>
    </row>
    <row r="153" spans="1:38" ht="15.75" hidden="1" thickBot="1" x14ac:dyDescent="0.3">
      <c r="A153" s="105" t="s">
        <v>146</v>
      </c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7"/>
      <c r="AH153" s="120">
        <v>7.5</v>
      </c>
      <c r="AI153" s="48"/>
      <c r="AJ153" s="49"/>
      <c r="AL153" s="50"/>
    </row>
    <row r="154" spans="1:38" ht="15.75" hidden="1" thickBot="1" x14ac:dyDescent="0.3">
      <c r="A154" s="105" t="s">
        <v>147</v>
      </c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17"/>
      <c r="AH154" s="120">
        <v>7</v>
      </c>
      <c r="AI154" s="48"/>
      <c r="AJ154" s="49"/>
      <c r="AL154" s="50"/>
    </row>
    <row r="155" spans="1:38" ht="15.75" hidden="1" thickBot="1" x14ac:dyDescent="0.3">
      <c r="A155" s="105" t="s">
        <v>148</v>
      </c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17"/>
      <c r="AH155" s="120">
        <v>7</v>
      </c>
      <c r="AI155" s="48"/>
      <c r="AJ155" s="49"/>
      <c r="AL155" s="50"/>
    </row>
    <row r="156" spans="1:38" ht="15.75" hidden="1" thickBot="1" x14ac:dyDescent="0.3">
      <c r="A156" s="105" t="s">
        <v>149</v>
      </c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7"/>
      <c r="AH156" s="120">
        <v>7</v>
      </c>
      <c r="AI156" s="48"/>
      <c r="AJ156" s="49"/>
      <c r="AL156" s="50"/>
    </row>
    <row r="157" spans="1:38" ht="15.75" hidden="1" thickBot="1" x14ac:dyDescent="0.3">
      <c r="A157" s="105" t="s">
        <v>150</v>
      </c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7"/>
      <c r="AH157" s="120">
        <v>7</v>
      </c>
      <c r="AI157" s="48"/>
      <c r="AJ157" s="49"/>
      <c r="AL157" s="50"/>
    </row>
    <row r="158" spans="1:38" ht="15.75" hidden="1" thickBot="1" x14ac:dyDescent="0.3">
      <c r="A158" s="105" t="s">
        <v>151</v>
      </c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17"/>
      <c r="AH158" s="120">
        <v>6.6</v>
      </c>
      <c r="AI158" s="48"/>
      <c r="AJ158" s="49"/>
      <c r="AL158" s="50"/>
    </row>
    <row r="159" spans="1:38" ht="15.75" hidden="1" thickBot="1" x14ac:dyDescent="0.3">
      <c r="A159" s="105" t="s">
        <v>152</v>
      </c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17"/>
      <c r="AH159" s="120">
        <v>6.6</v>
      </c>
      <c r="AI159" s="48"/>
      <c r="AJ159" s="49"/>
      <c r="AL159" s="50"/>
    </row>
    <row r="160" spans="1:38" ht="15.75" hidden="1" thickBot="1" x14ac:dyDescent="0.3">
      <c r="A160" s="105" t="s">
        <v>153</v>
      </c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17"/>
      <c r="AH160" s="120">
        <v>6.4</v>
      </c>
      <c r="AI160" s="48"/>
      <c r="AJ160" s="49"/>
      <c r="AL160" s="50"/>
    </row>
    <row r="161" spans="1:38" ht="15.75" hidden="1" thickBot="1" x14ac:dyDescent="0.3">
      <c r="A161" s="105" t="s">
        <v>154</v>
      </c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17"/>
      <c r="AH161" s="120">
        <v>6</v>
      </c>
      <c r="AI161" s="48"/>
      <c r="AJ161" s="49"/>
      <c r="AL161" s="50"/>
    </row>
    <row r="162" spans="1:38" ht="15.75" hidden="1" thickBot="1" x14ac:dyDescent="0.3">
      <c r="A162" s="105" t="s">
        <v>155</v>
      </c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17"/>
      <c r="AH162" s="120">
        <v>5.0999999999999996</v>
      </c>
      <c r="AI162" s="48"/>
      <c r="AJ162" s="49"/>
      <c r="AL162" s="50"/>
    </row>
    <row r="163" spans="1:38" ht="15.75" hidden="1" thickBot="1" x14ac:dyDescent="0.3">
      <c r="A163" s="105" t="s">
        <v>156</v>
      </c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17"/>
      <c r="AH163" s="120">
        <v>5</v>
      </c>
      <c r="AI163" s="48"/>
      <c r="AJ163" s="49"/>
      <c r="AL163" s="50"/>
    </row>
    <row r="164" spans="1:38" ht="15.75" hidden="1" thickBot="1" x14ac:dyDescent="0.3">
      <c r="A164" s="91" t="s">
        <v>157</v>
      </c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17"/>
      <c r="AH164" s="119">
        <v>5</v>
      </c>
      <c r="AI164" s="48"/>
      <c r="AJ164" s="49"/>
      <c r="AL164" s="50"/>
    </row>
    <row r="165" spans="1:38" ht="15.75" hidden="1" thickBot="1" x14ac:dyDescent="0.3">
      <c r="A165" s="105" t="s">
        <v>158</v>
      </c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17"/>
      <c r="AH165" s="120">
        <v>5</v>
      </c>
      <c r="AI165" s="48"/>
      <c r="AJ165" s="49"/>
      <c r="AL165" s="50"/>
    </row>
    <row r="166" spans="1:38" ht="15.75" hidden="1" thickBot="1" x14ac:dyDescent="0.3">
      <c r="A166" s="105" t="s">
        <v>159</v>
      </c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17"/>
      <c r="AH166" s="120">
        <v>5</v>
      </c>
      <c r="AI166" s="48"/>
      <c r="AJ166" s="49"/>
      <c r="AL166" s="50"/>
    </row>
    <row r="167" spans="1:38" ht="15.75" hidden="1" thickBot="1" x14ac:dyDescent="0.3">
      <c r="A167" s="105" t="s">
        <v>160</v>
      </c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17"/>
      <c r="AH167" s="120">
        <v>5</v>
      </c>
      <c r="AI167" s="48"/>
      <c r="AJ167" s="49"/>
      <c r="AL167" s="50"/>
    </row>
    <row r="168" spans="1:38" ht="15.75" hidden="1" thickBot="1" x14ac:dyDescent="0.3">
      <c r="A168" s="105" t="s">
        <v>161</v>
      </c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17"/>
      <c r="AH168" s="120">
        <v>5</v>
      </c>
      <c r="AI168" s="48"/>
      <c r="AJ168" s="49"/>
      <c r="AL168" s="50"/>
    </row>
    <row r="169" spans="1:38" ht="15.75" hidden="1" thickBot="1" x14ac:dyDescent="0.3">
      <c r="A169" s="105" t="s">
        <v>162</v>
      </c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17"/>
      <c r="AH169" s="120">
        <v>5</v>
      </c>
      <c r="AI169" s="48"/>
      <c r="AJ169" s="49"/>
      <c r="AL169" s="50"/>
    </row>
    <row r="170" spans="1:38" ht="15.75" hidden="1" thickBot="1" x14ac:dyDescent="0.3">
      <c r="A170" s="105" t="s">
        <v>163</v>
      </c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17"/>
      <c r="AH170" s="120">
        <v>4.9930000000000003</v>
      </c>
      <c r="AI170" s="48"/>
      <c r="AJ170" s="49"/>
      <c r="AL170" s="50"/>
    </row>
    <row r="171" spans="1:38" ht="15.75" hidden="1" thickBot="1" x14ac:dyDescent="0.3">
      <c r="A171" s="105" t="s">
        <v>164</v>
      </c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17"/>
      <c r="AH171" s="120">
        <v>4.9800000000000004</v>
      </c>
      <c r="AI171" s="48"/>
      <c r="AJ171" s="49"/>
      <c r="AL171" s="50"/>
    </row>
    <row r="172" spans="1:38" ht="15.75" hidden="1" thickBot="1" x14ac:dyDescent="0.3">
      <c r="A172" s="105" t="s">
        <v>165</v>
      </c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17"/>
      <c r="AH172" s="120">
        <v>4.95</v>
      </c>
      <c r="AI172" s="48"/>
      <c r="AJ172" s="49"/>
      <c r="AL172" s="50"/>
    </row>
    <row r="173" spans="1:38" ht="15.75" hidden="1" thickBot="1" x14ac:dyDescent="0.3">
      <c r="A173" s="105" t="s">
        <v>166</v>
      </c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17"/>
      <c r="AH173" s="120">
        <v>4.95</v>
      </c>
      <c r="AI173" s="48"/>
      <c r="AJ173" s="49"/>
      <c r="AL173" s="50"/>
    </row>
    <row r="174" spans="1:38" ht="15.75" hidden="1" thickBot="1" x14ac:dyDescent="0.3">
      <c r="A174" s="105" t="s">
        <v>167</v>
      </c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17"/>
      <c r="AH174" s="120">
        <v>4.8</v>
      </c>
      <c r="AI174" s="48"/>
      <c r="AJ174" s="49"/>
      <c r="AL174" s="50"/>
    </row>
    <row r="175" spans="1:38" ht="15.75" hidden="1" thickBot="1" x14ac:dyDescent="0.3">
      <c r="A175" s="105" t="s">
        <v>168</v>
      </c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17"/>
      <c r="AH175" s="120">
        <v>4.8</v>
      </c>
      <c r="AI175" s="48"/>
      <c r="AJ175" s="49"/>
      <c r="AL175" s="50"/>
    </row>
    <row r="176" spans="1:38" ht="15.75" hidden="1" thickBot="1" x14ac:dyDescent="0.3">
      <c r="A176" s="105" t="s">
        <v>169</v>
      </c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17"/>
      <c r="AH176" s="120">
        <v>4.8</v>
      </c>
      <c r="AI176" s="48"/>
      <c r="AJ176" s="49"/>
      <c r="AL176" s="50"/>
    </row>
    <row r="177" spans="1:38" ht="15.75" hidden="1" thickBot="1" x14ac:dyDescent="0.3">
      <c r="A177" s="105" t="s">
        <v>170</v>
      </c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17"/>
      <c r="AH177" s="120">
        <v>4.5</v>
      </c>
      <c r="AI177" s="48"/>
      <c r="AJ177" s="49"/>
      <c r="AL177" s="50"/>
    </row>
    <row r="178" spans="1:38" ht="15.75" hidden="1" thickBot="1" x14ac:dyDescent="0.3">
      <c r="A178" s="105" t="s">
        <v>171</v>
      </c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17"/>
      <c r="AH178" s="120">
        <v>4.5</v>
      </c>
      <c r="AI178" s="48"/>
      <c r="AJ178" s="49"/>
      <c r="AL178" s="50"/>
    </row>
    <row r="179" spans="1:38" ht="15.75" hidden="1" thickBot="1" x14ac:dyDescent="0.3">
      <c r="A179" s="105" t="s">
        <v>172</v>
      </c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17"/>
      <c r="AH179" s="120">
        <v>4.4550000000000001</v>
      </c>
      <c r="AI179" s="48"/>
      <c r="AJ179" s="49"/>
      <c r="AL179" s="50"/>
    </row>
    <row r="180" spans="1:38" ht="15.75" hidden="1" thickBot="1" x14ac:dyDescent="0.3">
      <c r="A180" s="105" t="s">
        <v>173</v>
      </c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17"/>
      <c r="AH180" s="120">
        <v>4.41</v>
      </c>
      <c r="AI180" s="48"/>
      <c r="AJ180" s="49"/>
      <c r="AL180" s="50"/>
    </row>
    <row r="181" spans="1:38" ht="15.75" hidden="1" thickBot="1" x14ac:dyDescent="0.3">
      <c r="A181" s="105" t="s">
        <v>174</v>
      </c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17"/>
      <c r="AH181" s="120">
        <v>4.4000000000000004</v>
      </c>
      <c r="AI181" s="48"/>
      <c r="AJ181" s="49"/>
      <c r="AL181" s="50"/>
    </row>
    <row r="182" spans="1:38" ht="15.75" hidden="1" thickBot="1" x14ac:dyDescent="0.3">
      <c r="A182" s="105" t="s">
        <v>175</v>
      </c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17"/>
      <c r="AH182" s="120">
        <v>4.3600000000000003</v>
      </c>
      <c r="AI182" s="48"/>
      <c r="AJ182" s="49"/>
      <c r="AL182" s="50"/>
    </row>
    <row r="183" spans="1:38" ht="15.75" hidden="1" thickBot="1" x14ac:dyDescent="0.3">
      <c r="A183" s="105" t="s">
        <v>176</v>
      </c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17"/>
      <c r="AH183" s="120">
        <v>4.2</v>
      </c>
      <c r="AI183" s="48"/>
      <c r="AJ183" s="49"/>
      <c r="AL183" s="50"/>
    </row>
    <row r="184" spans="1:38" ht="15.75" hidden="1" thickBot="1" x14ac:dyDescent="0.3">
      <c r="A184" s="105" t="s">
        <v>177</v>
      </c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17"/>
      <c r="AH184" s="120">
        <v>4</v>
      </c>
      <c r="AI184" s="48"/>
      <c r="AJ184" s="49"/>
      <c r="AL184" s="50"/>
    </row>
    <row r="185" spans="1:38" ht="15.75" hidden="1" thickBot="1" x14ac:dyDescent="0.3">
      <c r="A185" s="105" t="s">
        <v>178</v>
      </c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17"/>
      <c r="AH185" s="120">
        <v>4</v>
      </c>
      <c r="AI185" s="48"/>
      <c r="AJ185" s="49"/>
      <c r="AL185" s="50"/>
    </row>
    <row r="186" spans="1:38" ht="15.75" hidden="1" thickBot="1" x14ac:dyDescent="0.3">
      <c r="A186" s="105" t="s">
        <v>179</v>
      </c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17"/>
      <c r="AH186" s="120">
        <v>4</v>
      </c>
      <c r="AI186" s="48"/>
      <c r="AJ186" s="49"/>
      <c r="AL186" s="50"/>
    </row>
    <row r="187" spans="1:38" ht="15.75" hidden="1" thickBot="1" x14ac:dyDescent="0.3">
      <c r="A187" s="105" t="s">
        <v>180</v>
      </c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17"/>
      <c r="AH187" s="120">
        <v>4</v>
      </c>
      <c r="AI187" s="48"/>
      <c r="AJ187" s="49"/>
      <c r="AL187" s="50"/>
    </row>
    <row r="188" spans="1:38" ht="15.75" hidden="1" thickBot="1" x14ac:dyDescent="0.3">
      <c r="A188" s="105" t="s">
        <v>181</v>
      </c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17"/>
      <c r="AH188" s="120">
        <v>4</v>
      </c>
      <c r="AI188" s="48"/>
      <c r="AJ188" s="49"/>
      <c r="AL188" s="50"/>
    </row>
    <row r="189" spans="1:38" ht="15.75" hidden="1" thickBot="1" x14ac:dyDescent="0.3">
      <c r="A189" s="105" t="s">
        <v>182</v>
      </c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17"/>
      <c r="AH189" s="120">
        <v>4</v>
      </c>
      <c r="AI189" s="48"/>
      <c r="AJ189" s="49"/>
      <c r="AL189" s="50"/>
    </row>
    <row r="190" spans="1:38" ht="15.75" hidden="1" thickBot="1" x14ac:dyDescent="0.3">
      <c r="A190" s="105" t="s">
        <v>183</v>
      </c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17"/>
      <c r="AH190" s="120">
        <v>4</v>
      </c>
      <c r="AI190" s="48"/>
      <c r="AJ190" s="49"/>
      <c r="AL190" s="50"/>
    </row>
    <row r="191" spans="1:38" ht="15.75" hidden="1" thickBot="1" x14ac:dyDescent="0.3">
      <c r="A191" s="105" t="s">
        <v>184</v>
      </c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17"/>
      <c r="AH191" s="120">
        <v>4</v>
      </c>
      <c r="AI191" s="48"/>
      <c r="AJ191" s="49"/>
      <c r="AL191" s="50"/>
    </row>
    <row r="192" spans="1:38" ht="15.75" hidden="1" thickBot="1" x14ac:dyDescent="0.3">
      <c r="A192" s="105" t="s">
        <v>185</v>
      </c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17"/>
      <c r="AH192" s="120">
        <v>3.75</v>
      </c>
      <c r="AI192" s="48"/>
      <c r="AJ192" s="49"/>
      <c r="AL192" s="50"/>
    </row>
    <row r="193" spans="1:38" ht="15.75" hidden="1" thickBot="1" x14ac:dyDescent="0.3">
      <c r="A193" s="105" t="s">
        <v>186</v>
      </c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17"/>
      <c r="AH193" s="120">
        <v>3.52</v>
      </c>
      <c r="AI193" s="48"/>
      <c r="AJ193" s="49"/>
      <c r="AL193" s="50"/>
    </row>
    <row r="194" spans="1:38" ht="15.75" hidden="1" thickBot="1" x14ac:dyDescent="0.3">
      <c r="A194" s="105" t="s">
        <v>187</v>
      </c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17"/>
      <c r="AH194" s="120">
        <v>3.33</v>
      </c>
      <c r="AI194" s="48"/>
      <c r="AJ194" s="49"/>
      <c r="AL194" s="50"/>
    </row>
    <row r="195" spans="1:38" ht="15.75" hidden="1" thickBot="1" x14ac:dyDescent="0.3">
      <c r="A195" s="105" t="s">
        <v>188</v>
      </c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17"/>
      <c r="AH195" s="120">
        <v>3.2</v>
      </c>
      <c r="AI195" s="48"/>
      <c r="AJ195" s="49"/>
      <c r="AL195" s="50"/>
    </row>
    <row r="196" spans="1:38" ht="15.75" hidden="1" thickBot="1" x14ac:dyDescent="0.3">
      <c r="A196" s="105" t="s">
        <v>189</v>
      </c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17"/>
      <c r="AH196" s="120">
        <v>3</v>
      </c>
      <c r="AI196" s="48"/>
      <c r="AJ196" s="49"/>
      <c r="AL196" s="50"/>
    </row>
    <row r="197" spans="1:38" ht="15.75" hidden="1" thickBot="1" x14ac:dyDescent="0.3">
      <c r="A197" s="105" t="s">
        <v>190</v>
      </c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17"/>
      <c r="AH197" s="120">
        <v>3</v>
      </c>
      <c r="AI197" s="48"/>
      <c r="AJ197" s="49"/>
      <c r="AL197" s="50"/>
    </row>
    <row r="198" spans="1:38" ht="15.75" hidden="1" thickBot="1" x14ac:dyDescent="0.3">
      <c r="A198" s="105" t="s">
        <v>191</v>
      </c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17"/>
      <c r="AH198" s="120">
        <v>3</v>
      </c>
      <c r="AI198" s="48"/>
      <c r="AJ198" s="49"/>
      <c r="AL198" s="50"/>
    </row>
    <row r="199" spans="1:38" ht="15.75" hidden="1" thickBot="1" x14ac:dyDescent="0.3">
      <c r="A199" s="105" t="s">
        <v>192</v>
      </c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17"/>
      <c r="AH199" s="120">
        <v>3</v>
      </c>
      <c r="AI199" s="48"/>
      <c r="AJ199" s="49"/>
      <c r="AL199" s="50"/>
    </row>
    <row r="200" spans="1:38" ht="15.75" hidden="1" thickBot="1" x14ac:dyDescent="0.3">
      <c r="A200" s="105" t="s">
        <v>193</v>
      </c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17"/>
      <c r="AH200" s="120">
        <v>3</v>
      </c>
      <c r="AI200" s="48"/>
      <c r="AJ200" s="49"/>
      <c r="AL200" s="50"/>
    </row>
    <row r="201" spans="1:38" ht="15.75" hidden="1" thickBot="1" x14ac:dyDescent="0.3">
      <c r="A201" s="105" t="s">
        <v>194</v>
      </c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17"/>
      <c r="AH201" s="120">
        <v>3</v>
      </c>
      <c r="AI201" s="48"/>
      <c r="AJ201" s="49"/>
      <c r="AL201" s="50"/>
    </row>
    <row r="202" spans="1:38" ht="15.75" hidden="1" thickBot="1" x14ac:dyDescent="0.3">
      <c r="A202" s="105" t="s">
        <v>195</v>
      </c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17"/>
      <c r="AH202" s="120">
        <v>3</v>
      </c>
      <c r="AI202" s="48"/>
      <c r="AJ202" s="49"/>
      <c r="AL202" s="50"/>
    </row>
    <row r="203" spans="1:38" ht="15.75" hidden="1" thickBot="1" x14ac:dyDescent="0.3">
      <c r="A203" s="105" t="s">
        <v>196</v>
      </c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17"/>
      <c r="AH203" s="120">
        <v>3</v>
      </c>
      <c r="AI203" s="48"/>
      <c r="AJ203" s="49"/>
      <c r="AL203" s="50"/>
    </row>
    <row r="204" spans="1:38" ht="15.75" hidden="1" thickBot="1" x14ac:dyDescent="0.3">
      <c r="A204" s="105" t="s">
        <v>197</v>
      </c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17"/>
      <c r="AH204" s="120">
        <v>2.83</v>
      </c>
      <c r="AI204" s="48"/>
      <c r="AJ204" s="49"/>
      <c r="AL204" s="50"/>
    </row>
    <row r="205" spans="1:38" ht="15.75" hidden="1" thickBot="1" x14ac:dyDescent="0.3">
      <c r="A205" s="105" t="s">
        <v>198</v>
      </c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17"/>
      <c r="AH205" s="120">
        <v>2.5</v>
      </c>
      <c r="AI205" s="48"/>
      <c r="AJ205" s="49"/>
      <c r="AL205" s="50"/>
    </row>
    <row r="206" spans="1:38" ht="15.75" hidden="1" thickBot="1" x14ac:dyDescent="0.3">
      <c r="A206" s="105" t="s">
        <v>199</v>
      </c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17"/>
      <c r="AH206" s="120">
        <v>2.5</v>
      </c>
      <c r="AI206" s="48"/>
      <c r="AJ206" s="49"/>
      <c r="AL206" s="50"/>
    </row>
    <row r="207" spans="1:38" ht="15.75" hidden="1" thickBot="1" x14ac:dyDescent="0.3">
      <c r="A207" s="105" t="s">
        <v>200</v>
      </c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17"/>
      <c r="AH207" s="120">
        <v>2.4</v>
      </c>
      <c r="AI207" s="48"/>
      <c r="AJ207" s="49"/>
      <c r="AL207" s="50"/>
    </row>
    <row r="208" spans="1:38" ht="15.75" hidden="1" thickBot="1" x14ac:dyDescent="0.3">
      <c r="A208" s="105" t="s">
        <v>201</v>
      </c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17"/>
      <c r="AH208" s="120">
        <v>2.4</v>
      </c>
      <c r="AI208" s="48"/>
      <c r="AJ208" s="49"/>
      <c r="AL208" s="50"/>
    </row>
    <row r="209" spans="1:38" ht="15.75" hidden="1" thickBot="1" x14ac:dyDescent="0.3">
      <c r="A209" s="105" t="s">
        <v>202</v>
      </c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17"/>
      <c r="AH209" s="120">
        <v>2.2000000000000002</v>
      </c>
      <c r="AI209" s="48"/>
      <c r="AJ209" s="49"/>
      <c r="AL209" s="50"/>
    </row>
    <row r="210" spans="1:38" ht="15.75" hidden="1" thickBot="1" x14ac:dyDescent="0.3">
      <c r="A210" s="105" t="s">
        <v>203</v>
      </c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17"/>
      <c r="AH210" s="120">
        <v>2</v>
      </c>
      <c r="AI210" s="48"/>
      <c r="AJ210" s="49"/>
      <c r="AL210" s="50"/>
    </row>
    <row r="211" spans="1:38" ht="15.75" hidden="1" thickBot="1" x14ac:dyDescent="0.3">
      <c r="A211" s="105" t="s">
        <v>204</v>
      </c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17"/>
      <c r="AH211" s="120">
        <v>2</v>
      </c>
      <c r="AI211" s="48"/>
      <c r="AJ211" s="49"/>
      <c r="AL211" s="50"/>
    </row>
    <row r="212" spans="1:38" ht="15.75" hidden="1" thickBot="1" x14ac:dyDescent="0.3">
      <c r="A212" s="105" t="s">
        <v>205</v>
      </c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17"/>
      <c r="AH212" s="120">
        <v>2</v>
      </c>
      <c r="AI212" s="48"/>
      <c r="AJ212" s="49"/>
      <c r="AL212" s="50"/>
    </row>
    <row r="213" spans="1:38" ht="15.75" hidden="1" thickBot="1" x14ac:dyDescent="0.3">
      <c r="A213" s="105" t="s">
        <v>206</v>
      </c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17"/>
      <c r="AH213" s="120">
        <v>1.8</v>
      </c>
      <c r="AI213" s="48"/>
      <c r="AJ213" s="49"/>
      <c r="AL213" s="50"/>
    </row>
    <row r="214" spans="1:38" ht="15.75" hidden="1" thickBot="1" x14ac:dyDescent="0.3">
      <c r="A214" s="105" t="s">
        <v>207</v>
      </c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17"/>
      <c r="AH214" s="120">
        <v>1.8</v>
      </c>
      <c r="AI214" s="48"/>
      <c r="AJ214" s="49"/>
      <c r="AL214" s="50"/>
    </row>
    <row r="215" spans="1:38" ht="15.75" hidden="1" thickBot="1" x14ac:dyDescent="0.3">
      <c r="A215" s="105" t="s">
        <v>208</v>
      </c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17"/>
      <c r="AH215" s="120">
        <v>1.65</v>
      </c>
      <c r="AI215" s="48"/>
      <c r="AJ215" s="49"/>
      <c r="AL215" s="50"/>
    </row>
    <row r="216" spans="1:38" ht="15.75" hidden="1" thickBot="1" x14ac:dyDescent="0.3">
      <c r="A216" s="105" t="s">
        <v>209</v>
      </c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17"/>
      <c r="AH216" s="120">
        <v>1.5</v>
      </c>
      <c r="AI216" s="48"/>
      <c r="AJ216" s="49"/>
      <c r="AL216" s="50"/>
    </row>
    <row r="217" spans="1:38" ht="15.75" hidden="1" thickBot="1" x14ac:dyDescent="0.3">
      <c r="A217" s="105" t="s">
        <v>210</v>
      </c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17"/>
      <c r="AH217" s="120">
        <v>0.998</v>
      </c>
      <c r="AI217" s="48"/>
      <c r="AJ217" s="49"/>
      <c r="AL217" s="50"/>
    </row>
    <row r="218" spans="1:38" ht="15.75" hidden="1" thickBot="1" x14ac:dyDescent="0.3">
      <c r="A218" s="105" t="s">
        <v>211</v>
      </c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17"/>
      <c r="AH218" s="120">
        <v>0.997</v>
      </c>
      <c r="AI218" s="48"/>
      <c r="AJ218" s="49"/>
      <c r="AL218" s="50"/>
    </row>
    <row r="219" spans="1:38" ht="15.75" hidden="1" thickBot="1" x14ac:dyDescent="0.3">
      <c r="A219" s="105" t="s">
        <v>212</v>
      </c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17"/>
      <c r="AH219" s="120">
        <v>0.997</v>
      </c>
      <c r="AI219" s="48"/>
      <c r="AJ219" s="49"/>
      <c r="AL219" s="50"/>
    </row>
    <row r="220" spans="1:38" ht="15.75" hidden="1" thickBot="1" x14ac:dyDescent="0.3">
      <c r="A220" s="105" t="s">
        <v>213</v>
      </c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17"/>
      <c r="AH220" s="120">
        <v>0.996</v>
      </c>
      <c r="AI220" s="48"/>
      <c r="AJ220" s="49"/>
      <c r="AL220" s="50"/>
    </row>
    <row r="221" spans="1:38" ht="15.75" hidden="1" thickBot="1" x14ac:dyDescent="0.3">
      <c r="A221" s="105" t="s">
        <v>214</v>
      </c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17"/>
      <c r="AH221" s="120">
        <v>0.996</v>
      </c>
      <c r="AI221" s="48"/>
      <c r="AJ221" s="49"/>
      <c r="AL221" s="50"/>
    </row>
    <row r="222" spans="1:38" ht="15.75" hidden="1" thickBot="1" x14ac:dyDescent="0.3">
      <c r="A222" s="105" t="s">
        <v>215</v>
      </c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17"/>
      <c r="AH222" s="120">
        <v>0.996</v>
      </c>
      <c r="AI222" s="48"/>
      <c r="AJ222" s="49"/>
      <c r="AL222" s="50"/>
    </row>
    <row r="223" spans="1:38" ht="15.75" hidden="1" thickBot="1" x14ac:dyDescent="0.3">
      <c r="A223" s="105" t="s">
        <v>216</v>
      </c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17"/>
      <c r="AH223" s="120">
        <v>0.995</v>
      </c>
      <c r="AI223" s="48"/>
      <c r="AJ223" s="49"/>
      <c r="AL223" s="50"/>
    </row>
    <row r="224" spans="1:38" ht="15.75" hidden="1" thickBot="1" x14ac:dyDescent="0.3">
      <c r="A224" s="105" t="s">
        <v>217</v>
      </c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17"/>
      <c r="AH224" s="120">
        <v>0.99299999999999999</v>
      </c>
      <c r="AI224" s="48"/>
      <c r="AJ224" s="49"/>
      <c r="AL224" s="50"/>
    </row>
    <row r="225" spans="1:38" ht="15.75" hidden="1" thickBot="1" x14ac:dyDescent="0.3">
      <c r="A225" s="105" t="s">
        <v>218</v>
      </c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17"/>
      <c r="AH225" s="120">
        <v>0.99</v>
      </c>
      <c r="AI225" s="48"/>
      <c r="AJ225" s="49"/>
      <c r="AL225" s="50"/>
    </row>
    <row r="226" spans="1:38" ht="15.75" hidden="1" thickBot="1" x14ac:dyDescent="0.3">
      <c r="A226" s="105" t="s">
        <v>219</v>
      </c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1"/>
      <c r="AH226" s="120">
        <v>0.97899999999999998</v>
      </c>
      <c r="AI226" s="48"/>
      <c r="AJ226" s="49"/>
      <c r="AL226" s="50"/>
    </row>
    <row r="227" spans="1:38" ht="15.75" hidden="1" thickBot="1" x14ac:dyDescent="0.3">
      <c r="A227" s="123" t="s">
        <v>220</v>
      </c>
      <c r="B227" s="124">
        <f t="shared" ref="B227" si="19">SUM(B122:B226)</f>
        <v>0</v>
      </c>
      <c r="C227" s="124">
        <f t="shared" ref="C227:AH227" si="20">SUM(C122:C226)</f>
        <v>0</v>
      </c>
      <c r="D227" s="124">
        <f t="shared" si="20"/>
        <v>0</v>
      </c>
      <c r="E227" s="124">
        <f t="shared" si="20"/>
        <v>0</v>
      </c>
      <c r="F227" s="124">
        <f t="shared" si="20"/>
        <v>0</v>
      </c>
      <c r="G227" s="124">
        <f t="shared" si="20"/>
        <v>0</v>
      </c>
      <c r="H227" s="124">
        <f t="shared" si="20"/>
        <v>0</v>
      </c>
      <c r="I227" s="124">
        <f t="shared" si="20"/>
        <v>0</v>
      </c>
      <c r="J227" s="124">
        <f t="shared" si="20"/>
        <v>0</v>
      </c>
      <c r="K227" s="124">
        <f t="shared" si="20"/>
        <v>0</v>
      </c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  <c r="AB227" s="125"/>
      <c r="AC227" s="125"/>
      <c r="AD227" s="125"/>
      <c r="AE227" s="125"/>
      <c r="AF227" s="125"/>
      <c r="AG227" s="126"/>
      <c r="AH227" s="127">
        <f t="shared" si="20"/>
        <v>412.72299999999984</v>
      </c>
      <c r="AI227" s="48"/>
      <c r="AJ227" s="49"/>
      <c r="AL227" s="50"/>
    </row>
    <row r="228" spans="1:38" ht="15.75" hidden="1" thickBot="1" x14ac:dyDescent="0.3">
      <c r="A228" s="26" t="s">
        <v>65</v>
      </c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08"/>
      <c r="AI228" s="48"/>
      <c r="AJ228" s="49"/>
      <c r="AL228" s="50"/>
    </row>
    <row r="229" spans="1:38" ht="15.75" hidden="1" thickBot="1" x14ac:dyDescent="0.3">
      <c r="A229" s="88" t="s">
        <v>221</v>
      </c>
      <c r="B229" s="129">
        <f t="shared" ref="B229:K234" si="21">AF229</f>
        <v>0</v>
      </c>
      <c r="C229" s="129">
        <f t="shared" si="21"/>
        <v>0</v>
      </c>
      <c r="D229" s="129">
        <f t="shared" si="21"/>
        <v>2.4</v>
      </c>
      <c r="E229" s="129">
        <f t="shared" si="21"/>
        <v>0</v>
      </c>
      <c r="F229" s="129">
        <f t="shared" si="21"/>
        <v>0</v>
      </c>
      <c r="G229" s="129">
        <f t="shared" si="21"/>
        <v>0</v>
      </c>
      <c r="H229" s="129">
        <f t="shared" si="21"/>
        <v>0</v>
      </c>
      <c r="I229" s="129">
        <f t="shared" si="21"/>
        <v>0</v>
      </c>
      <c r="J229" s="129">
        <f t="shared" si="21"/>
        <v>0</v>
      </c>
      <c r="K229" s="129">
        <f t="shared" si="21"/>
        <v>0</v>
      </c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29"/>
      <c r="AH229" s="130">
        <v>2.4</v>
      </c>
      <c r="AI229" s="48"/>
      <c r="AJ229" s="49"/>
      <c r="AL229" s="50"/>
    </row>
    <row r="230" spans="1:38" ht="15.75" hidden="1" thickBot="1" x14ac:dyDescent="0.3">
      <c r="A230" s="91" t="s">
        <v>222</v>
      </c>
      <c r="B230" s="117">
        <f t="shared" si="21"/>
        <v>0</v>
      </c>
      <c r="C230" s="117">
        <f t="shared" si="21"/>
        <v>0</v>
      </c>
      <c r="D230" s="117">
        <f t="shared" si="21"/>
        <v>2</v>
      </c>
      <c r="E230" s="117">
        <f t="shared" si="21"/>
        <v>0</v>
      </c>
      <c r="F230" s="117">
        <f t="shared" si="21"/>
        <v>0</v>
      </c>
      <c r="G230" s="117">
        <f t="shared" si="21"/>
        <v>0</v>
      </c>
      <c r="H230" s="117">
        <f t="shared" si="21"/>
        <v>0</v>
      </c>
      <c r="I230" s="117">
        <f t="shared" si="21"/>
        <v>0</v>
      </c>
      <c r="J230" s="117">
        <f t="shared" si="21"/>
        <v>0</v>
      </c>
      <c r="K230" s="117">
        <f t="shared" si="21"/>
        <v>0</v>
      </c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117"/>
      <c r="AB230" s="117"/>
      <c r="AC230" s="117"/>
      <c r="AD230" s="117"/>
      <c r="AE230" s="117"/>
      <c r="AF230" s="117"/>
      <c r="AG230" s="117"/>
      <c r="AH230" s="131">
        <v>2</v>
      </c>
      <c r="AI230" s="48"/>
      <c r="AJ230" s="49"/>
      <c r="AL230" s="50"/>
    </row>
    <row r="231" spans="1:38" ht="15.75" hidden="1" thickBot="1" x14ac:dyDescent="0.3">
      <c r="A231" s="91" t="s">
        <v>223</v>
      </c>
      <c r="B231" s="117">
        <f t="shared" si="21"/>
        <v>0</v>
      </c>
      <c r="C231" s="117">
        <f t="shared" si="21"/>
        <v>0</v>
      </c>
      <c r="D231" s="117">
        <f t="shared" si="21"/>
        <v>1.5</v>
      </c>
      <c r="E231" s="117">
        <f t="shared" si="21"/>
        <v>0</v>
      </c>
      <c r="F231" s="117">
        <f t="shared" si="21"/>
        <v>0</v>
      </c>
      <c r="G231" s="117">
        <f t="shared" si="21"/>
        <v>0</v>
      </c>
      <c r="H231" s="117">
        <f t="shared" si="21"/>
        <v>0</v>
      </c>
      <c r="I231" s="117">
        <f t="shared" si="21"/>
        <v>0</v>
      </c>
      <c r="J231" s="117">
        <f t="shared" si="21"/>
        <v>0</v>
      </c>
      <c r="K231" s="117">
        <f t="shared" si="21"/>
        <v>0</v>
      </c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  <c r="AB231" s="117"/>
      <c r="AC231" s="117"/>
      <c r="AD231" s="117"/>
      <c r="AE231" s="117"/>
      <c r="AF231" s="117"/>
      <c r="AG231" s="117"/>
      <c r="AH231" s="131">
        <v>1.5</v>
      </c>
      <c r="AI231" s="48"/>
      <c r="AJ231" s="49"/>
      <c r="AL231" s="50"/>
    </row>
    <row r="232" spans="1:38" ht="15.75" hidden="1" thickBot="1" x14ac:dyDescent="0.3">
      <c r="A232" s="91" t="s">
        <v>224</v>
      </c>
      <c r="B232" s="117">
        <f t="shared" si="21"/>
        <v>0</v>
      </c>
      <c r="C232" s="117">
        <f t="shared" si="21"/>
        <v>0</v>
      </c>
      <c r="D232" s="117">
        <f t="shared" si="21"/>
        <v>1</v>
      </c>
      <c r="E232" s="117">
        <f t="shared" si="21"/>
        <v>0</v>
      </c>
      <c r="F232" s="117">
        <f t="shared" si="21"/>
        <v>0</v>
      </c>
      <c r="G232" s="117">
        <f t="shared" si="21"/>
        <v>0</v>
      </c>
      <c r="H232" s="117">
        <f t="shared" si="21"/>
        <v>0</v>
      </c>
      <c r="I232" s="117">
        <f t="shared" si="21"/>
        <v>0</v>
      </c>
      <c r="J232" s="117">
        <f t="shared" si="21"/>
        <v>0</v>
      </c>
      <c r="K232" s="117">
        <f t="shared" si="21"/>
        <v>0</v>
      </c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  <c r="AB232" s="117"/>
      <c r="AC232" s="117"/>
      <c r="AD232" s="117"/>
      <c r="AE232" s="117"/>
      <c r="AF232" s="117"/>
      <c r="AG232" s="117"/>
      <c r="AH232" s="131">
        <v>1</v>
      </c>
      <c r="AI232" s="48"/>
      <c r="AJ232" s="49"/>
      <c r="AL232" s="50"/>
    </row>
    <row r="233" spans="1:38" ht="15.75" hidden="1" thickBot="1" x14ac:dyDescent="0.3">
      <c r="A233" s="91" t="s">
        <v>225</v>
      </c>
      <c r="B233" s="117">
        <f t="shared" si="21"/>
        <v>0</v>
      </c>
      <c r="C233" s="117">
        <f t="shared" si="21"/>
        <v>0</v>
      </c>
      <c r="D233" s="117">
        <f t="shared" si="21"/>
        <v>1</v>
      </c>
      <c r="E233" s="117">
        <f t="shared" si="21"/>
        <v>0</v>
      </c>
      <c r="F233" s="117">
        <f t="shared" si="21"/>
        <v>0</v>
      </c>
      <c r="G233" s="117">
        <f t="shared" si="21"/>
        <v>0</v>
      </c>
      <c r="H233" s="117">
        <f t="shared" si="21"/>
        <v>0</v>
      </c>
      <c r="I233" s="117">
        <f t="shared" si="21"/>
        <v>0</v>
      </c>
      <c r="J233" s="117">
        <f t="shared" si="21"/>
        <v>0</v>
      </c>
      <c r="K233" s="117">
        <f t="shared" si="21"/>
        <v>0</v>
      </c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  <c r="AB233" s="117"/>
      <c r="AC233" s="117"/>
      <c r="AD233" s="117"/>
      <c r="AE233" s="117"/>
      <c r="AF233" s="117"/>
      <c r="AG233" s="117"/>
      <c r="AH233" s="131">
        <v>1</v>
      </c>
      <c r="AI233" s="48"/>
      <c r="AJ233" s="49"/>
      <c r="AL233" s="50"/>
    </row>
    <row r="234" spans="1:38" ht="15.75" hidden="1" thickBot="1" x14ac:dyDescent="0.3">
      <c r="A234" s="105" t="s">
        <v>226</v>
      </c>
      <c r="B234" s="121">
        <f t="shared" si="21"/>
        <v>0</v>
      </c>
      <c r="C234" s="121">
        <f t="shared" si="21"/>
        <v>0</v>
      </c>
      <c r="D234" s="121">
        <f t="shared" si="21"/>
        <v>0.66</v>
      </c>
      <c r="E234" s="121">
        <f t="shared" si="21"/>
        <v>0</v>
      </c>
      <c r="F234" s="121">
        <f t="shared" si="21"/>
        <v>0</v>
      </c>
      <c r="G234" s="121">
        <f t="shared" si="21"/>
        <v>0</v>
      </c>
      <c r="H234" s="121">
        <f t="shared" si="21"/>
        <v>0</v>
      </c>
      <c r="I234" s="121">
        <f t="shared" si="21"/>
        <v>0</v>
      </c>
      <c r="J234" s="121">
        <f t="shared" si="21"/>
        <v>0</v>
      </c>
      <c r="K234" s="121">
        <f t="shared" si="21"/>
        <v>0</v>
      </c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32">
        <v>0.66</v>
      </c>
      <c r="AI234" s="48"/>
      <c r="AJ234" s="49"/>
    </row>
    <row r="235" spans="1:38" ht="15.75" hidden="1" thickBot="1" x14ac:dyDescent="0.3">
      <c r="A235" s="133" t="s">
        <v>65</v>
      </c>
      <c r="B235" s="125">
        <f t="shared" ref="B235:AH235" si="22">SUM(B229:B234)</f>
        <v>0</v>
      </c>
      <c r="C235" s="125">
        <f t="shared" si="22"/>
        <v>0</v>
      </c>
      <c r="D235" s="125">
        <f t="shared" si="22"/>
        <v>8.56</v>
      </c>
      <c r="E235" s="125">
        <f t="shared" si="22"/>
        <v>0</v>
      </c>
      <c r="F235" s="125">
        <f t="shared" si="22"/>
        <v>0</v>
      </c>
      <c r="G235" s="125">
        <f t="shared" si="22"/>
        <v>0</v>
      </c>
      <c r="H235" s="125">
        <f t="shared" si="22"/>
        <v>0</v>
      </c>
      <c r="I235" s="125">
        <f t="shared" si="22"/>
        <v>0</v>
      </c>
      <c r="J235" s="125">
        <f t="shared" si="22"/>
        <v>0</v>
      </c>
      <c r="K235" s="125">
        <f t="shared" si="22"/>
        <v>0</v>
      </c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5"/>
      <c r="AD235" s="125"/>
      <c r="AE235" s="125"/>
      <c r="AF235" s="125"/>
      <c r="AG235" s="125"/>
      <c r="AH235" s="134">
        <f t="shared" si="22"/>
        <v>8.56</v>
      </c>
      <c r="AI235" s="48"/>
      <c r="AJ235" s="49"/>
    </row>
    <row r="236" spans="1:38" ht="15.75" hidden="1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128"/>
      <c r="AI236" s="43"/>
    </row>
    <row r="237" spans="1:38" ht="15.75" hidden="1" thickBot="1" x14ac:dyDescent="0.3">
      <c r="A237" s="135" t="s">
        <v>227</v>
      </c>
      <c r="B237" s="136"/>
      <c r="C237" s="136"/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  <c r="AA237" s="136"/>
      <c r="AB237" s="136"/>
      <c r="AC237" s="136"/>
      <c r="AD237" s="136"/>
      <c r="AE237" s="136"/>
      <c r="AF237" s="136"/>
      <c r="AG237" s="137"/>
      <c r="AH237" s="43"/>
      <c r="AI237" s="48"/>
      <c r="AJ237" s="49"/>
    </row>
    <row r="238" spans="1:38" ht="15.75" hidden="1" thickBot="1" x14ac:dyDescent="0.3">
      <c r="A238" s="138" t="s">
        <v>228</v>
      </c>
      <c r="B238" s="139"/>
      <c r="C238" s="139"/>
      <c r="D238" s="139"/>
      <c r="E238" s="139"/>
      <c r="F238" s="139"/>
      <c r="G238" s="139"/>
      <c r="H238" s="139"/>
      <c r="I238" s="139"/>
      <c r="J238" s="139"/>
      <c r="K238" s="139"/>
      <c r="L238" s="139"/>
      <c r="M238" s="139"/>
      <c r="N238" s="139"/>
      <c r="O238" s="139"/>
      <c r="P238" s="139"/>
      <c r="Q238" s="139"/>
      <c r="R238" s="139"/>
      <c r="S238" s="139"/>
      <c r="T238" s="139"/>
      <c r="U238" s="139"/>
      <c r="V238" s="139"/>
      <c r="W238" s="139"/>
      <c r="X238" s="139"/>
      <c r="Y238" s="139"/>
      <c r="Z238" s="139"/>
      <c r="AA238" s="139"/>
      <c r="AB238" s="139"/>
      <c r="AC238" s="139"/>
      <c r="AD238" s="139"/>
      <c r="AE238" s="139"/>
      <c r="AF238" s="139"/>
      <c r="AG238" s="140"/>
      <c r="AH238" s="141"/>
      <c r="AI238" s="48"/>
      <c r="AJ238" s="49"/>
    </row>
    <row r="239" spans="1:38" ht="15.75" hidden="1" thickBot="1" x14ac:dyDescent="0.3">
      <c r="A239" s="142" t="s">
        <v>229</v>
      </c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  <c r="AE239" s="143"/>
      <c r="AF239" s="143"/>
      <c r="AG239" s="144"/>
      <c r="AH239" s="141"/>
      <c r="AI239" s="48"/>
      <c r="AJ239" s="49"/>
    </row>
    <row r="240" spans="1:38" ht="15.75" hidden="1" thickBot="1" x14ac:dyDescent="0.3">
      <c r="A240" s="142" t="s">
        <v>230</v>
      </c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4"/>
      <c r="AH240" s="141"/>
      <c r="AI240" s="48"/>
      <c r="AJ240" s="49"/>
    </row>
    <row r="241" spans="1:51" ht="15.75" hidden="1" thickBot="1" x14ac:dyDescent="0.3">
      <c r="A241" s="145" t="s">
        <v>231</v>
      </c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46"/>
      <c r="AC241" s="146"/>
      <c r="AD241" s="146"/>
      <c r="AE241" s="146"/>
      <c r="AF241" s="146"/>
      <c r="AG241" s="147"/>
      <c r="AH241" s="141"/>
      <c r="AI241" s="48"/>
      <c r="AJ241" s="49"/>
    </row>
    <row r="242" spans="1:51" ht="19.5" thickBot="1" x14ac:dyDescent="0.35">
      <c r="A242" s="234" t="s">
        <v>271</v>
      </c>
      <c r="B242" s="235"/>
      <c r="C242" s="236" t="e">
        <f>C50+C68</f>
        <v>#REF!</v>
      </c>
      <c r="D242" s="236" t="e">
        <f t="shared" ref="D242:L242" si="23">D50+D68</f>
        <v>#REF!</v>
      </c>
      <c r="E242" s="236" t="e">
        <f t="shared" si="23"/>
        <v>#REF!</v>
      </c>
      <c r="F242" s="236" t="e">
        <f t="shared" si="23"/>
        <v>#REF!</v>
      </c>
      <c r="G242" s="236" t="e">
        <f t="shared" si="23"/>
        <v>#REF!</v>
      </c>
      <c r="H242" s="236" t="e">
        <f t="shared" si="23"/>
        <v>#REF!</v>
      </c>
      <c r="I242" s="236" t="e">
        <f t="shared" si="23"/>
        <v>#REF!</v>
      </c>
      <c r="J242" s="236" t="e">
        <f t="shared" si="23"/>
        <v>#REF!</v>
      </c>
      <c r="K242" s="236" t="e">
        <f t="shared" si="23"/>
        <v>#REF!</v>
      </c>
      <c r="L242" s="236" t="e">
        <f t="shared" si="23"/>
        <v>#REF!</v>
      </c>
      <c r="M242" s="236"/>
      <c r="N242" s="236"/>
      <c r="O242" s="236"/>
      <c r="P242" s="236"/>
      <c r="Q242" s="236"/>
      <c r="R242" s="236"/>
      <c r="S242" s="236"/>
      <c r="T242" s="236"/>
      <c r="U242" s="236"/>
      <c r="V242" s="236"/>
      <c r="W242" s="236"/>
      <c r="X242" s="236"/>
      <c r="Y242" s="236"/>
      <c r="Z242" s="236"/>
      <c r="AA242" s="236"/>
      <c r="AB242" s="236"/>
      <c r="AC242" s="236"/>
      <c r="AD242" s="236"/>
      <c r="AE242" s="236"/>
      <c r="AF242" s="236"/>
      <c r="AG242" s="236"/>
      <c r="AH242" s="236" t="e">
        <f>SUM(C242:AG242)</f>
        <v>#REF!</v>
      </c>
      <c r="AI242" s="43"/>
      <c r="AL242" s="48" t="e">
        <f>AH242</f>
        <v>#REF!</v>
      </c>
      <c r="AM242" s="48">
        <f>AK55</f>
        <v>855</v>
      </c>
      <c r="AN242" s="48">
        <f>AK57</f>
        <v>480</v>
      </c>
      <c r="AO242" s="48" t="e">
        <f>AL242+AM242+AN242</f>
        <v>#REF!</v>
      </c>
    </row>
    <row r="243" spans="1:51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 t="s">
        <v>272</v>
      </c>
      <c r="AH243" s="49" t="e">
        <f>AH242/24</f>
        <v>#REF!</v>
      </c>
      <c r="AI243" s="43"/>
    </row>
    <row r="244" spans="1:51" x14ac:dyDescent="0.25">
      <c r="A244" s="148" t="s">
        <v>232</v>
      </c>
      <c r="B244" s="149" t="e">
        <f>MAX(G91:N91)</f>
        <v>#REF!</v>
      </c>
      <c r="C244" s="149" t="e">
        <f>MAX(H91:O91)</f>
        <v>#REF!</v>
      </c>
      <c r="D244" s="150" t="e">
        <f>INDEX(H9:O9,1,MATCH(MAX(H91:O91),H91:O91,0))</f>
        <v>#REF!</v>
      </c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 t="s">
        <v>273</v>
      </c>
      <c r="AH244" s="55" t="e">
        <f>AH242*4.67*1.6*1000</f>
        <v>#REF!</v>
      </c>
      <c r="AI244" s="55"/>
    </row>
    <row r="245" spans="1:51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151" t="str">
        <f ca="1">MID(CELL("filename",D7),FIND("]",CELL("filename",D7))+1,600)</f>
        <v>SP30</v>
      </c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</row>
    <row r="246" spans="1:51" x14ac:dyDescent="0.25">
      <c r="A246" s="175" t="s">
        <v>233</v>
      </c>
      <c r="B246" s="175"/>
      <c r="C246" s="175"/>
      <c r="D246" s="43"/>
      <c r="E246" s="151" t="e">
        <f ca="1">"Pie Chart of Daily Peak Demand(Inclusive of Export) of Nepal ("&amp;A4&amp;" "&amp;C4&amp;")"</f>
        <v>#VALUE!</v>
      </c>
      <c r="F246" s="43"/>
      <c r="G246" s="43"/>
      <c r="H246" s="151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151" t="e">
        <f ca="1">"Daily Load Curve(Excluding of Export) of Nepal ("&amp;A4&amp;" "&amp;C4&amp;")"</f>
        <v>#VALUE!</v>
      </c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</row>
    <row r="247" spans="1:51" ht="12.75" customHeight="1" thickBot="1" x14ac:dyDescent="0.3">
      <c r="A247" s="152" t="s">
        <v>7</v>
      </c>
      <c r="B247" s="153"/>
      <c r="C247" s="153"/>
      <c r="D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</row>
    <row r="248" spans="1:51" ht="15.75" thickTop="1" x14ac:dyDescent="0.25">
      <c r="A248" s="152" t="s">
        <v>234</v>
      </c>
      <c r="B248" s="153"/>
      <c r="C248" s="15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154" t="s">
        <v>235</v>
      </c>
      <c r="U248" s="155">
        <v>0</v>
      </c>
      <c r="V248" s="156">
        <v>4.1666666666666664E-2</v>
      </c>
      <c r="W248" s="157">
        <v>8.3333333333333301E-2</v>
      </c>
      <c r="X248" s="157">
        <v>0.125</v>
      </c>
      <c r="Y248" s="157">
        <v>0.16666666666666699</v>
      </c>
      <c r="Z248" s="157">
        <v>0.20833333333333301</v>
      </c>
      <c r="AA248" s="157">
        <v>0.22916666666666666</v>
      </c>
      <c r="AB248" s="157">
        <v>0.25</v>
      </c>
      <c r="AC248" s="157">
        <v>0.27083333333333331</v>
      </c>
      <c r="AD248" s="157">
        <v>0.29166666666666669</v>
      </c>
      <c r="AE248" s="157">
        <v>0.3125</v>
      </c>
      <c r="AF248" s="158">
        <v>0.33333333333333331</v>
      </c>
      <c r="AG248" s="158">
        <v>0.375</v>
      </c>
      <c r="AH248" s="158">
        <v>0.41666666666666702</v>
      </c>
      <c r="AI248" s="158">
        <v>0.45833333333333298</v>
      </c>
      <c r="AJ248" s="158">
        <v>0.5</v>
      </c>
      <c r="AK248" s="158">
        <v>0.54166666666666696</v>
      </c>
      <c r="AL248" s="158">
        <v>0.58333333333333304</v>
      </c>
      <c r="AM248" s="158">
        <v>0.625</v>
      </c>
      <c r="AN248" s="158">
        <v>0.66666666666666696</v>
      </c>
      <c r="AO248" s="158">
        <v>0.70833333333333304</v>
      </c>
      <c r="AP248" s="158">
        <v>0.72916666666666663</v>
      </c>
      <c r="AQ248" s="158">
        <v>0.75</v>
      </c>
      <c r="AR248" s="158">
        <v>0.77083333333333337</v>
      </c>
      <c r="AS248" s="158">
        <v>0.79166666666666663</v>
      </c>
      <c r="AT248" s="158">
        <v>0.8125</v>
      </c>
      <c r="AU248" s="157">
        <v>0.83333333333333337</v>
      </c>
      <c r="AV248" s="157">
        <v>0.85416666666666663</v>
      </c>
      <c r="AW248" s="157">
        <v>0.875</v>
      </c>
      <c r="AX248" s="157">
        <v>0.91666666666666696</v>
      </c>
      <c r="AY248" s="157">
        <v>0.95833333333333304</v>
      </c>
    </row>
    <row r="249" spans="1:51" x14ac:dyDescent="0.25">
      <c r="A249" s="152" t="s">
        <v>236</v>
      </c>
      <c r="B249" s="153"/>
      <c r="C249" s="15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 t="s">
        <v>237</v>
      </c>
      <c r="U249" s="159" t="e">
        <f t="shared" ref="U249:AY249" si="24">C91</f>
        <v>#REF!</v>
      </c>
      <c r="V249" s="159" t="e">
        <f t="shared" si="24"/>
        <v>#REF!</v>
      </c>
      <c r="W249" s="159" t="e">
        <f t="shared" si="24"/>
        <v>#REF!</v>
      </c>
      <c r="X249" s="159" t="e">
        <f t="shared" si="24"/>
        <v>#REF!</v>
      </c>
      <c r="Y249" s="159" t="e">
        <f t="shared" si="24"/>
        <v>#REF!</v>
      </c>
      <c r="Z249" s="159" t="e">
        <f t="shared" si="24"/>
        <v>#REF!</v>
      </c>
      <c r="AA249" s="159" t="e">
        <f t="shared" si="24"/>
        <v>#REF!</v>
      </c>
      <c r="AB249" s="159" t="e">
        <f t="shared" si="24"/>
        <v>#REF!</v>
      </c>
      <c r="AC249" s="159" t="e">
        <f t="shared" si="24"/>
        <v>#REF!</v>
      </c>
      <c r="AD249" s="159">
        <f t="shared" si="24"/>
        <v>0</v>
      </c>
      <c r="AE249" s="159">
        <f t="shared" si="24"/>
        <v>0</v>
      </c>
      <c r="AF249" s="159">
        <f t="shared" si="24"/>
        <v>0</v>
      </c>
      <c r="AG249" s="159">
        <f t="shared" si="24"/>
        <v>0</v>
      </c>
      <c r="AH249" s="159">
        <f t="shared" si="24"/>
        <v>0</v>
      </c>
      <c r="AI249" s="159">
        <f t="shared" si="24"/>
        <v>0</v>
      </c>
      <c r="AJ249" s="159">
        <f t="shared" si="24"/>
        <v>0</v>
      </c>
      <c r="AK249" s="159">
        <f t="shared" si="24"/>
        <v>0</v>
      </c>
      <c r="AL249" s="159">
        <f t="shared" si="24"/>
        <v>0</v>
      </c>
      <c r="AM249" s="159">
        <f t="shared" si="24"/>
        <v>0</v>
      </c>
      <c r="AN249" s="159">
        <f t="shared" si="24"/>
        <v>0</v>
      </c>
      <c r="AO249" s="159">
        <f t="shared" si="24"/>
        <v>0</v>
      </c>
      <c r="AP249" s="159">
        <f t="shared" si="24"/>
        <v>0</v>
      </c>
      <c r="AQ249" s="159">
        <f t="shared" si="24"/>
        <v>0</v>
      </c>
      <c r="AR249" s="159">
        <f t="shared" si="24"/>
        <v>0</v>
      </c>
      <c r="AS249" s="159">
        <f t="shared" si="24"/>
        <v>0</v>
      </c>
      <c r="AT249" s="159">
        <f t="shared" si="24"/>
        <v>0</v>
      </c>
      <c r="AU249" s="159">
        <f t="shared" si="24"/>
        <v>0</v>
      </c>
      <c r="AV249" s="159">
        <f t="shared" si="24"/>
        <v>0</v>
      </c>
      <c r="AW249" s="159">
        <f t="shared" si="24"/>
        <v>0</v>
      </c>
      <c r="AX249" s="159">
        <f t="shared" si="24"/>
        <v>0</v>
      </c>
      <c r="AY249" s="159">
        <f t="shared" si="24"/>
        <v>0</v>
      </c>
    </row>
    <row r="250" spans="1:51" x14ac:dyDescent="0.25">
      <c r="A250" s="152" t="s">
        <v>238</v>
      </c>
      <c r="B250" s="153"/>
      <c r="C250" s="15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</row>
    <row r="251" spans="1:51" x14ac:dyDescent="0.25">
      <c r="A251" s="152" t="s">
        <v>239</v>
      </c>
      <c r="B251" s="153"/>
      <c r="C251" s="15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</row>
    <row r="252" spans="1:51" x14ac:dyDescent="0.25">
      <c r="A252" s="152" t="s">
        <v>240</v>
      </c>
      <c r="B252" s="153"/>
      <c r="C252" s="15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</row>
    <row r="253" spans="1:51" x14ac:dyDescent="0.25">
      <c r="A253" s="152" t="s">
        <v>241</v>
      </c>
      <c r="B253" s="160"/>
      <c r="C253" s="160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</row>
    <row r="254" spans="1:51" x14ac:dyDescent="0.25">
      <c r="A254" s="152" t="s">
        <v>242</v>
      </c>
      <c r="B254" s="153"/>
      <c r="C254" s="15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</row>
    <row r="255" spans="1:51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</row>
    <row r="256" spans="1:51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</row>
    <row r="257" spans="1:35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</row>
    <row r="258" spans="1:35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</row>
    <row r="259" spans="1:35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</row>
    <row r="260" spans="1:35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</row>
    <row r="261" spans="1:35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</row>
    <row r="262" spans="1:35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</row>
    <row r="263" spans="1:35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</row>
    <row r="264" spans="1:35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</row>
    <row r="265" spans="1:35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</row>
    <row r="266" spans="1:35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</row>
    <row r="267" spans="1:35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</row>
    <row r="268" spans="1:35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</row>
    <row r="269" spans="1:35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</row>
    <row r="270" spans="1:35" x14ac:dyDescent="0.25">
      <c r="A270" s="161" t="s">
        <v>227</v>
      </c>
      <c r="B270" s="162">
        <f t="shared" ref="B270:AF270" si="25">C234</f>
        <v>0</v>
      </c>
      <c r="C270" s="162">
        <f t="shared" si="25"/>
        <v>0.66</v>
      </c>
      <c r="D270" s="162">
        <f t="shared" si="25"/>
        <v>0</v>
      </c>
      <c r="E270" s="162">
        <f t="shared" si="25"/>
        <v>0</v>
      </c>
      <c r="F270" s="162">
        <f t="shared" si="25"/>
        <v>0</v>
      </c>
      <c r="G270" s="162">
        <f t="shared" si="25"/>
        <v>0</v>
      </c>
      <c r="H270" s="162">
        <f t="shared" si="25"/>
        <v>0</v>
      </c>
      <c r="I270" s="162">
        <f t="shared" si="25"/>
        <v>0</v>
      </c>
      <c r="J270" s="162">
        <f t="shared" si="25"/>
        <v>0</v>
      </c>
      <c r="K270" s="162">
        <f t="shared" si="25"/>
        <v>0</v>
      </c>
      <c r="L270" s="162">
        <f t="shared" si="25"/>
        <v>0</v>
      </c>
      <c r="M270" s="162">
        <f t="shared" si="25"/>
        <v>0</v>
      </c>
      <c r="N270" s="162">
        <f t="shared" si="25"/>
        <v>0</v>
      </c>
      <c r="O270" s="162">
        <f t="shared" si="25"/>
        <v>0</v>
      </c>
      <c r="P270" s="162">
        <f t="shared" si="25"/>
        <v>0</v>
      </c>
      <c r="Q270" s="162">
        <f t="shared" si="25"/>
        <v>0</v>
      </c>
      <c r="R270" s="162">
        <f t="shared" si="25"/>
        <v>0</v>
      </c>
      <c r="S270" s="162">
        <f t="shared" si="25"/>
        <v>0</v>
      </c>
      <c r="T270" s="162">
        <f t="shared" si="25"/>
        <v>0</v>
      </c>
      <c r="U270" s="162">
        <f t="shared" si="25"/>
        <v>0</v>
      </c>
      <c r="V270" s="162">
        <f t="shared" si="25"/>
        <v>0</v>
      </c>
      <c r="W270" s="162">
        <f t="shared" si="25"/>
        <v>0</v>
      </c>
      <c r="X270" s="162">
        <f t="shared" si="25"/>
        <v>0</v>
      </c>
      <c r="Y270" s="162">
        <f t="shared" si="25"/>
        <v>0</v>
      </c>
      <c r="Z270" s="162">
        <f t="shared" si="25"/>
        <v>0</v>
      </c>
      <c r="AA270" s="162">
        <f t="shared" si="25"/>
        <v>0</v>
      </c>
      <c r="AB270" s="162">
        <f t="shared" si="25"/>
        <v>0</v>
      </c>
      <c r="AC270" s="162">
        <f t="shared" si="25"/>
        <v>0</v>
      </c>
      <c r="AD270" s="162">
        <f t="shared" si="25"/>
        <v>0</v>
      </c>
      <c r="AE270" s="162">
        <f t="shared" si="25"/>
        <v>0</v>
      </c>
      <c r="AF270" s="162">
        <f t="shared" si="25"/>
        <v>0</v>
      </c>
      <c r="AG270" s="162">
        <f>C234</f>
        <v>0</v>
      </c>
      <c r="AH270" s="43"/>
      <c r="AI270" s="43"/>
    </row>
    <row r="271" spans="1:35" x14ac:dyDescent="0.25">
      <c r="A271" s="163" t="str">
        <f>A238</f>
        <v>KGA</v>
      </c>
      <c r="B271" s="163" t="str">
        <f t="shared" ref="B271:AG271" si="26">IF(B238&lt;100,"",B238-520)</f>
        <v/>
      </c>
      <c r="C271" s="163" t="str">
        <f t="shared" si="26"/>
        <v/>
      </c>
      <c r="D271" s="163" t="str">
        <f t="shared" si="26"/>
        <v/>
      </c>
      <c r="E271" s="163" t="str">
        <f t="shared" si="26"/>
        <v/>
      </c>
      <c r="F271" s="163" t="str">
        <f t="shared" si="26"/>
        <v/>
      </c>
      <c r="G271" s="163" t="str">
        <f t="shared" si="26"/>
        <v/>
      </c>
      <c r="H271" s="163" t="str">
        <f t="shared" si="26"/>
        <v/>
      </c>
      <c r="I271" s="163" t="str">
        <f t="shared" si="26"/>
        <v/>
      </c>
      <c r="J271" s="163" t="str">
        <f t="shared" si="26"/>
        <v/>
      </c>
      <c r="K271" s="163" t="str">
        <f t="shared" si="26"/>
        <v/>
      </c>
      <c r="L271" s="163" t="str">
        <f t="shared" si="26"/>
        <v/>
      </c>
      <c r="M271" s="163" t="str">
        <f t="shared" si="26"/>
        <v/>
      </c>
      <c r="N271" s="163" t="str">
        <f t="shared" si="26"/>
        <v/>
      </c>
      <c r="O271" s="163" t="str">
        <f t="shared" si="26"/>
        <v/>
      </c>
      <c r="P271" s="163" t="str">
        <f t="shared" si="26"/>
        <v/>
      </c>
      <c r="Q271" s="163" t="str">
        <f t="shared" si="26"/>
        <v/>
      </c>
      <c r="R271" s="163" t="str">
        <f t="shared" si="26"/>
        <v/>
      </c>
      <c r="S271" s="163" t="str">
        <f t="shared" si="26"/>
        <v/>
      </c>
      <c r="T271" s="163" t="str">
        <f t="shared" si="26"/>
        <v/>
      </c>
      <c r="U271" s="163" t="str">
        <f t="shared" si="26"/>
        <v/>
      </c>
      <c r="V271" s="163" t="str">
        <f t="shared" si="26"/>
        <v/>
      </c>
      <c r="W271" s="163" t="str">
        <f t="shared" si="26"/>
        <v/>
      </c>
      <c r="X271" s="163" t="str">
        <f t="shared" si="26"/>
        <v/>
      </c>
      <c r="Y271" s="163" t="str">
        <f t="shared" si="26"/>
        <v/>
      </c>
      <c r="Z271" s="163" t="str">
        <f t="shared" si="26"/>
        <v/>
      </c>
      <c r="AA271" s="163" t="str">
        <f t="shared" si="26"/>
        <v/>
      </c>
      <c r="AB271" s="163" t="str">
        <f t="shared" si="26"/>
        <v/>
      </c>
      <c r="AC271" s="163" t="str">
        <f t="shared" si="26"/>
        <v/>
      </c>
      <c r="AD271" s="163" t="str">
        <f t="shared" si="26"/>
        <v/>
      </c>
      <c r="AE271" s="163" t="str">
        <f t="shared" si="26"/>
        <v/>
      </c>
      <c r="AF271" s="163" t="str">
        <f t="shared" si="26"/>
        <v/>
      </c>
      <c r="AG271" s="163" t="str">
        <f t="shared" si="26"/>
        <v/>
      </c>
      <c r="AH271" s="43"/>
      <c r="AI271" s="43"/>
    </row>
    <row r="272" spans="1:35" x14ac:dyDescent="0.25">
      <c r="A272" s="163" t="str">
        <f>A239</f>
        <v>MMRS</v>
      </c>
      <c r="B272" s="163" t="str">
        <f t="shared" ref="B272:AG272" si="27">IF(B239&lt;100,"",B239-620)</f>
        <v/>
      </c>
      <c r="C272" s="163" t="str">
        <f t="shared" si="27"/>
        <v/>
      </c>
      <c r="D272" s="163" t="str">
        <f t="shared" si="27"/>
        <v/>
      </c>
      <c r="E272" s="163" t="str">
        <f t="shared" si="27"/>
        <v/>
      </c>
      <c r="F272" s="163" t="str">
        <f t="shared" si="27"/>
        <v/>
      </c>
      <c r="G272" s="163" t="str">
        <f t="shared" si="27"/>
        <v/>
      </c>
      <c r="H272" s="163" t="str">
        <f t="shared" si="27"/>
        <v/>
      </c>
      <c r="I272" s="163" t="str">
        <f t="shared" si="27"/>
        <v/>
      </c>
      <c r="J272" s="163" t="str">
        <f t="shared" si="27"/>
        <v/>
      </c>
      <c r="K272" s="163" t="str">
        <f t="shared" si="27"/>
        <v/>
      </c>
      <c r="L272" s="163" t="str">
        <f t="shared" si="27"/>
        <v/>
      </c>
      <c r="M272" s="163" t="str">
        <f t="shared" si="27"/>
        <v/>
      </c>
      <c r="N272" s="163" t="str">
        <f t="shared" si="27"/>
        <v/>
      </c>
      <c r="O272" s="163" t="str">
        <f t="shared" si="27"/>
        <v/>
      </c>
      <c r="P272" s="163" t="str">
        <f t="shared" si="27"/>
        <v/>
      </c>
      <c r="Q272" s="163" t="str">
        <f t="shared" si="27"/>
        <v/>
      </c>
      <c r="R272" s="163" t="str">
        <f t="shared" si="27"/>
        <v/>
      </c>
      <c r="S272" s="163" t="str">
        <f t="shared" si="27"/>
        <v/>
      </c>
      <c r="T272" s="163" t="str">
        <f t="shared" si="27"/>
        <v/>
      </c>
      <c r="U272" s="163" t="str">
        <f t="shared" si="27"/>
        <v/>
      </c>
      <c r="V272" s="163" t="str">
        <f t="shared" si="27"/>
        <v/>
      </c>
      <c r="W272" s="163" t="str">
        <f t="shared" si="27"/>
        <v/>
      </c>
      <c r="X272" s="163" t="str">
        <f t="shared" si="27"/>
        <v/>
      </c>
      <c r="Y272" s="163" t="str">
        <f t="shared" si="27"/>
        <v/>
      </c>
      <c r="Z272" s="163" t="str">
        <f t="shared" si="27"/>
        <v/>
      </c>
      <c r="AA272" s="163" t="str">
        <f t="shared" si="27"/>
        <v/>
      </c>
      <c r="AB272" s="163" t="str">
        <f t="shared" si="27"/>
        <v/>
      </c>
      <c r="AC272" s="163" t="str">
        <f t="shared" si="27"/>
        <v/>
      </c>
      <c r="AD272" s="163" t="str">
        <f t="shared" si="27"/>
        <v/>
      </c>
      <c r="AE272" s="163" t="str">
        <f t="shared" si="27"/>
        <v/>
      </c>
      <c r="AF272" s="163" t="str">
        <f t="shared" si="27"/>
        <v/>
      </c>
      <c r="AG272" s="163" t="str">
        <f t="shared" si="27"/>
        <v/>
      </c>
      <c r="AH272" s="43"/>
      <c r="AI272" s="43"/>
    </row>
    <row r="273" spans="1:35" x14ac:dyDescent="0.25">
      <c r="A273" s="163" t="str">
        <f>A240</f>
        <v>MRS</v>
      </c>
      <c r="B273" s="163" t="str">
        <f t="shared" ref="B273:AG273" si="28">IF(B240&lt;100,"",B240-330)</f>
        <v/>
      </c>
      <c r="C273" s="163" t="str">
        <f t="shared" si="28"/>
        <v/>
      </c>
      <c r="D273" s="163" t="str">
        <f t="shared" si="28"/>
        <v/>
      </c>
      <c r="E273" s="163" t="str">
        <f t="shared" si="28"/>
        <v/>
      </c>
      <c r="F273" s="163" t="str">
        <f t="shared" si="28"/>
        <v/>
      </c>
      <c r="G273" s="163" t="str">
        <f t="shared" si="28"/>
        <v/>
      </c>
      <c r="H273" s="163" t="str">
        <f t="shared" si="28"/>
        <v/>
      </c>
      <c r="I273" s="163" t="str">
        <f t="shared" si="28"/>
        <v/>
      </c>
      <c r="J273" s="163" t="str">
        <f t="shared" si="28"/>
        <v/>
      </c>
      <c r="K273" s="163" t="str">
        <f t="shared" si="28"/>
        <v/>
      </c>
      <c r="L273" s="163" t="str">
        <f t="shared" si="28"/>
        <v/>
      </c>
      <c r="M273" s="163" t="str">
        <f t="shared" si="28"/>
        <v/>
      </c>
      <c r="N273" s="163" t="str">
        <f t="shared" si="28"/>
        <v/>
      </c>
      <c r="O273" s="163" t="str">
        <f t="shared" si="28"/>
        <v/>
      </c>
      <c r="P273" s="163" t="str">
        <f t="shared" si="28"/>
        <v/>
      </c>
      <c r="Q273" s="163" t="str">
        <f t="shared" si="28"/>
        <v/>
      </c>
      <c r="R273" s="163" t="str">
        <f t="shared" si="28"/>
        <v/>
      </c>
      <c r="S273" s="163" t="str">
        <f t="shared" si="28"/>
        <v/>
      </c>
      <c r="T273" s="163" t="str">
        <f t="shared" si="28"/>
        <v/>
      </c>
      <c r="U273" s="163" t="str">
        <f t="shared" si="28"/>
        <v/>
      </c>
      <c r="V273" s="163" t="str">
        <f t="shared" si="28"/>
        <v/>
      </c>
      <c r="W273" s="163" t="str">
        <f t="shared" si="28"/>
        <v/>
      </c>
      <c r="X273" s="163" t="str">
        <f t="shared" si="28"/>
        <v/>
      </c>
      <c r="Y273" s="163" t="str">
        <f t="shared" si="28"/>
        <v/>
      </c>
      <c r="Z273" s="163" t="str">
        <f t="shared" si="28"/>
        <v/>
      </c>
      <c r="AA273" s="163" t="str">
        <f t="shared" si="28"/>
        <v/>
      </c>
      <c r="AB273" s="163" t="str">
        <f t="shared" si="28"/>
        <v/>
      </c>
      <c r="AC273" s="163" t="str">
        <f t="shared" si="28"/>
        <v/>
      </c>
      <c r="AD273" s="163" t="str">
        <f t="shared" si="28"/>
        <v/>
      </c>
      <c r="AE273" s="163" t="str">
        <f t="shared" si="28"/>
        <v/>
      </c>
      <c r="AF273" s="163" t="str">
        <f t="shared" si="28"/>
        <v/>
      </c>
      <c r="AG273" s="163" t="str">
        <f t="shared" si="28"/>
        <v/>
      </c>
      <c r="AH273" s="43"/>
      <c r="AI273" s="43"/>
    </row>
    <row r="274" spans="1:35" x14ac:dyDescent="0.25">
      <c r="A274" s="163" t="str">
        <f>A241</f>
        <v>KL 1</v>
      </c>
      <c r="B274" s="163" t="str">
        <f t="shared" ref="B274:AG274" si="29">IF(B241&lt;100,"",B241-1500)</f>
        <v/>
      </c>
      <c r="C274" s="163" t="str">
        <f t="shared" si="29"/>
        <v/>
      </c>
      <c r="D274" s="163" t="str">
        <f t="shared" si="29"/>
        <v/>
      </c>
      <c r="E274" s="163" t="str">
        <f t="shared" si="29"/>
        <v/>
      </c>
      <c r="F274" s="163" t="str">
        <f t="shared" si="29"/>
        <v/>
      </c>
      <c r="G274" s="163" t="str">
        <f t="shared" si="29"/>
        <v/>
      </c>
      <c r="H274" s="163" t="str">
        <f t="shared" si="29"/>
        <v/>
      </c>
      <c r="I274" s="163" t="str">
        <f t="shared" si="29"/>
        <v/>
      </c>
      <c r="J274" s="163" t="str">
        <f t="shared" si="29"/>
        <v/>
      </c>
      <c r="K274" s="163" t="str">
        <f t="shared" si="29"/>
        <v/>
      </c>
      <c r="L274" s="163" t="str">
        <f t="shared" si="29"/>
        <v/>
      </c>
      <c r="M274" s="163" t="str">
        <f t="shared" si="29"/>
        <v/>
      </c>
      <c r="N274" s="163" t="str">
        <f t="shared" si="29"/>
        <v/>
      </c>
      <c r="O274" s="163" t="str">
        <f t="shared" si="29"/>
        <v/>
      </c>
      <c r="P274" s="163" t="str">
        <f t="shared" si="29"/>
        <v/>
      </c>
      <c r="Q274" s="163" t="str">
        <f t="shared" si="29"/>
        <v/>
      </c>
      <c r="R274" s="163" t="str">
        <f t="shared" si="29"/>
        <v/>
      </c>
      <c r="S274" s="163" t="str">
        <f t="shared" si="29"/>
        <v/>
      </c>
      <c r="T274" s="163" t="str">
        <f t="shared" si="29"/>
        <v/>
      </c>
      <c r="U274" s="163" t="str">
        <f t="shared" si="29"/>
        <v/>
      </c>
      <c r="V274" s="163" t="str">
        <f t="shared" si="29"/>
        <v/>
      </c>
      <c r="W274" s="163" t="str">
        <f t="shared" si="29"/>
        <v/>
      </c>
      <c r="X274" s="163" t="str">
        <f t="shared" si="29"/>
        <v/>
      </c>
      <c r="Y274" s="163" t="str">
        <f t="shared" si="29"/>
        <v/>
      </c>
      <c r="Z274" s="163" t="str">
        <f t="shared" si="29"/>
        <v/>
      </c>
      <c r="AA274" s="163" t="str">
        <f t="shared" si="29"/>
        <v/>
      </c>
      <c r="AB274" s="163" t="str">
        <f t="shared" si="29"/>
        <v/>
      </c>
      <c r="AC274" s="163" t="str">
        <f t="shared" si="29"/>
        <v/>
      </c>
      <c r="AD274" s="163" t="str">
        <f t="shared" si="29"/>
        <v/>
      </c>
      <c r="AE274" s="163" t="str">
        <f t="shared" si="29"/>
        <v/>
      </c>
      <c r="AF274" s="163" t="str">
        <f t="shared" si="29"/>
        <v/>
      </c>
      <c r="AG274" s="163" t="str">
        <f t="shared" si="29"/>
        <v/>
      </c>
      <c r="AH274" s="43"/>
      <c r="AI274" s="43"/>
    </row>
    <row r="275" spans="1:35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</row>
    <row r="276" spans="1:35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</row>
    <row r="277" spans="1:35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</row>
    <row r="278" spans="1:35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</row>
    <row r="279" spans="1:35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</row>
    <row r="280" spans="1:35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</row>
    <row r="281" spans="1:35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</row>
  </sheetData>
  <mergeCells count="53">
    <mergeCell ref="A246:C246"/>
    <mergeCell ref="AF9:AF10"/>
    <mergeCell ref="AG9:AG10"/>
    <mergeCell ref="AH9:AH10"/>
    <mergeCell ref="AK48:AM48"/>
    <mergeCell ref="AO72:AP72"/>
    <mergeCell ref="AO84:AO85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R9:R10"/>
    <mergeCell ref="S9:S10"/>
    <mergeCell ref="T8:AB8"/>
    <mergeCell ref="AC8:AG8"/>
    <mergeCell ref="A9:A10"/>
    <mergeCell ref="C9:C10"/>
    <mergeCell ref="D9:D10"/>
    <mergeCell ref="E9:E10"/>
    <mergeCell ref="F9:F10"/>
    <mergeCell ref="G9:G10"/>
    <mergeCell ref="H9:H10"/>
    <mergeCell ref="I9:I10"/>
    <mergeCell ref="C4:E4"/>
    <mergeCell ref="F4:H4"/>
    <mergeCell ref="I4:J4"/>
    <mergeCell ref="B8:B10"/>
    <mergeCell ref="C8:M8"/>
    <mergeCell ref="N8:S8"/>
    <mergeCell ref="J9:J10"/>
    <mergeCell ref="K9:K10"/>
    <mergeCell ref="L9:L10"/>
    <mergeCell ref="M9:M10"/>
    <mergeCell ref="A1:AG1"/>
    <mergeCell ref="AH1:AJ1"/>
    <mergeCell ref="B2:B3"/>
    <mergeCell ref="C2:C3"/>
    <mergeCell ref="E2:E3"/>
    <mergeCell ref="G2:G3"/>
    <mergeCell ref="I2:I3"/>
    <mergeCell ref="K2:K3"/>
  </mergeCells>
  <conditionalFormatting sqref="A11:A236">
    <cfRule type="expression" dxfId="363" priority="43">
      <formula>$AI11=0</formula>
    </cfRule>
  </conditionalFormatting>
  <conditionalFormatting sqref="B8 B11:B17 B51:B66 B69:B91 B93:B109 B111:B120 B227 B229:B235">
    <cfRule type="expression" dxfId="362" priority="101">
      <formula>AND(B$8&gt;=14/24,B$8&lt;20/24)</formula>
    </cfRule>
    <cfRule type="expression" dxfId="361" priority="102">
      <formula>AND(B$8&gt;=8/24,B$8&lt;14/24)</formula>
    </cfRule>
    <cfRule type="expression" dxfId="360" priority="103">
      <formula>B$8&lt;8/24</formula>
    </cfRule>
  </conditionalFormatting>
  <conditionalFormatting sqref="B11:B17 B51:B66 B69:B91 B8 B93:B109 B111:B120 B227 B229:B235">
    <cfRule type="expression" dxfId="359" priority="100">
      <formula>B$8&gt;=20/24</formula>
    </cfRule>
  </conditionalFormatting>
  <conditionalFormatting sqref="B18:B45">
    <cfRule type="expression" dxfId="358" priority="6">
      <formula>B$9&gt;=20/24</formula>
    </cfRule>
    <cfRule type="expression" dxfId="357" priority="7">
      <formula>AND(B$9&gt;=14/24,B$9&lt;20/24)</formula>
    </cfRule>
    <cfRule type="expression" dxfId="356" priority="8">
      <formula>AND(B$9&gt;=8/24,B$9&lt;14/24)</formula>
    </cfRule>
    <cfRule type="expression" dxfId="355" priority="9">
      <formula>B$9&lt;8/24</formula>
    </cfRule>
  </conditionalFormatting>
  <conditionalFormatting sqref="B18:B46">
    <cfRule type="expression" dxfId="354" priority="5">
      <formula>B18&gt;$AG18</formula>
    </cfRule>
  </conditionalFormatting>
  <conditionalFormatting sqref="B46">
    <cfRule type="expression" dxfId="353" priority="1">
      <formula>B$9&gt;=20/24</formula>
    </cfRule>
    <cfRule type="expression" dxfId="352" priority="2">
      <formula>AND(B$9&gt;=14/24,B$9&lt;20/24)</formula>
    </cfRule>
    <cfRule type="expression" dxfId="351" priority="3">
      <formula>AND(B$9&gt;=8/24,B$9&lt;14/24)</formula>
    </cfRule>
    <cfRule type="expression" dxfId="350" priority="4">
      <formula>B$9&lt;8/24</formula>
    </cfRule>
  </conditionalFormatting>
  <conditionalFormatting sqref="B47">
    <cfRule type="expression" dxfId="349" priority="15">
      <formula>B47&gt;$AG47</formula>
    </cfRule>
  </conditionalFormatting>
  <conditionalFormatting sqref="B47:B49">
    <cfRule type="expression" dxfId="348" priority="11">
      <formula>B$9&gt;=20/24</formula>
    </cfRule>
    <cfRule type="expression" dxfId="347" priority="12">
      <formula>AND(B$9&gt;=14/24,B$9&lt;20/24)</formula>
    </cfRule>
    <cfRule type="expression" dxfId="346" priority="13">
      <formula>AND(B$9&gt;=8/24,B$9&lt;14/24)</formula>
    </cfRule>
    <cfRule type="expression" dxfId="345" priority="14">
      <formula>B$9&lt;8/24</formula>
    </cfRule>
  </conditionalFormatting>
  <conditionalFormatting sqref="B48:B49">
    <cfRule type="expression" dxfId="344" priority="10">
      <formula>B48&gt;$AG48</formula>
    </cfRule>
  </conditionalFormatting>
  <conditionalFormatting sqref="B50:B67 B69:B72 C51:AG67">
    <cfRule type="expression" dxfId="343" priority="20">
      <formula>B50&gt;$AH50</formula>
    </cfRule>
  </conditionalFormatting>
  <conditionalFormatting sqref="B242:AH242">
    <cfRule type="expression" dxfId="342" priority="19">
      <formula>B242&gt;$AH242</formula>
    </cfRule>
  </conditionalFormatting>
  <conditionalFormatting sqref="C8 N8 T8 AC8">
    <cfRule type="expression" dxfId="341" priority="80">
      <formula>AND(D$9&gt;=14/24,D$9&lt;20/24)</formula>
    </cfRule>
    <cfRule type="expression" dxfId="340" priority="81">
      <formula>AND(D$9&gt;=8/24,D$9&lt;14/24)</formula>
    </cfRule>
    <cfRule type="expression" dxfId="339" priority="82">
      <formula>D$9&lt;8/24</formula>
    </cfRule>
  </conditionalFormatting>
  <conditionalFormatting sqref="C69:AG72 C9:AG49 C51:AG66">
    <cfRule type="expression" dxfId="338" priority="35">
      <formula>AND(C$9&gt;=14/24,C$9&lt;20/24)</formula>
    </cfRule>
    <cfRule type="expression" dxfId="337" priority="36">
      <formula>AND(C$9&gt;=8/24,C$9&lt;14/24)</formula>
    </cfRule>
    <cfRule type="expression" dxfId="336" priority="37">
      <formula>C$9&lt;8/24</formula>
    </cfRule>
  </conditionalFormatting>
  <conditionalFormatting sqref="C69:AG72 C9:AG49 C51:AG66">
    <cfRule type="expression" dxfId="335" priority="34">
      <formula>C$9&gt;=20/24</formula>
    </cfRule>
  </conditionalFormatting>
  <conditionalFormatting sqref="B11:B17 C69:AG72 C11:AG49">
    <cfRule type="expression" dxfId="334" priority="33">
      <formula>B11&gt;$AH11</formula>
    </cfRule>
  </conditionalFormatting>
  <conditionalFormatting sqref="C73:AG91">
    <cfRule type="expression" dxfId="333" priority="21">
      <formula>C$9&gt;=20/24</formula>
    </cfRule>
    <cfRule type="expression" dxfId="332" priority="22">
      <formula>AND(C$9&gt;=14/24,C$9&lt;20/24)</formula>
    </cfRule>
    <cfRule type="expression" dxfId="331" priority="23">
      <formula>AND(C$9&gt;=8/24,C$9&lt;14/24)</formula>
    </cfRule>
    <cfRule type="expression" dxfId="330" priority="24">
      <formula>C$9&lt;8/24</formula>
    </cfRule>
  </conditionalFormatting>
  <conditionalFormatting sqref="C111:AG120">
    <cfRule type="expression" dxfId="329" priority="25">
      <formula>C$9&gt;=20/24</formula>
    </cfRule>
    <cfRule type="expression" dxfId="328" priority="26">
      <formula>AND(C$9&gt;=14/24,C$9&lt;20/24)</formula>
    </cfRule>
    <cfRule type="expression" dxfId="327" priority="27">
      <formula>AND(C$9&gt;=8/24,C$9&lt;14/24)</formula>
    </cfRule>
    <cfRule type="expression" dxfId="326" priority="28">
      <formula>C$9&lt;8/24</formula>
    </cfRule>
  </conditionalFormatting>
  <conditionalFormatting sqref="C50:AH50">
    <cfRule type="expression" dxfId="325" priority="17">
      <formula>C50&gt;$AH50</formula>
    </cfRule>
  </conditionalFormatting>
  <conditionalFormatting sqref="P3:Q3">
    <cfRule type="iconSet" priority="77">
      <iconSet iconSet="3TrafficLights2" reverse="1">
        <cfvo type="percent" val="0"/>
        <cfvo type="num" val="1"/>
        <cfvo type="num" val="1"/>
      </iconSet>
    </cfRule>
  </conditionalFormatting>
  <conditionalFormatting sqref="T8 AC8 C8 N8">
    <cfRule type="expression" dxfId="324" priority="79">
      <formula>D$9&gt;=20/24</formula>
    </cfRule>
  </conditionalFormatting>
  <conditionalFormatting sqref="T8">
    <cfRule type="expression" dxfId="323" priority="66">
      <formula>V$9&gt;=20/24</formula>
    </cfRule>
    <cfRule type="expression" dxfId="322" priority="67">
      <formula>AND(V$9&gt;=14/24,V$9&lt;20/24)</formula>
    </cfRule>
    <cfRule type="expression" dxfId="321" priority="68">
      <formula>AND(V$9&gt;=8/24,V$9&lt;14/24)</formula>
    </cfRule>
    <cfRule type="expression" dxfId="320" priority="69">
      <formula>V$9&lt;8/24</formula>
    </cfRule>
  </conditionalFormatting>
  <conditionalFormatting sqref="U248">
    <cfRule type="expression" dxfId="319" priority="91">
      <formula>AY$9&gt;=20/24</formula>
    </cfRule>
    <cfRule type="expression" dxfId="318" priority="92">
      <formula>AND(AY$9&gt;=14/24,AY$9&lt;20/24)</formula>
    </cfRule>
    <cfRule type="expression" dxfId="317" priority="93">
      <formula>AND(AY$9&gt;=8/24,AY$9&lt;14/24)</formula>
    </cfRule>
    <cfRule type="expression" dxfId="316" priority="94">
      <formula>AY$9&lt;8/24</formula>
    </cfRule>
  </conditionalFormatting>
  <conditionalFormatting sqref="V248:AG248">
    <cfRule type="expression" dxfId="315" priority="73">
      <formula>V$9&gt;=20/24</formula>
    </cfRule>
    <cfRule type="expression" dxfId="314" priority="74">
      <formula>AND(V$9&gt;=14/24,V$9&lt;20/24)</formula>
    </cfRule>
    <cfRule type="expression" dxfId="313" priority="75">
      <formula>AND(V$9&gt;=8/24,V$9&lt;14/24)</formula>
    </cfRule>
    <cfRule type="expression" dxfId="312" priority="76">
      <formula>V$9&lt;8/24</formula>
    </cfRule>
  </conditionalFormatting>
  <conditionalFormatting sqref="W3 AC3">
    <cfRule type="iconSet" priority="78">
      <iconSet iconSet="3TrafficLights2" reverse="1">
        <cfvo type="percent" val="0"/>
        <cfvo type="num" val="1"/>
        <cfvo type="num" val="1"/>
      </iconSet>
    </cfRule>
  </conditionalFormatting>
  <conditionalFormatting sqref="AB47:AG47 AB49:AG49">
    <cfRule type="expression" dxfId="311" priority="29">
      <formula>AB$9&gt;=20/24</formula>
    </cfRule>
    <cfRule type="expression" dxfId="310" priority="30">
      <formula>AND(AB$9&gt;=14/24,AB$9&lt;20/24)</formula>
    </cfRule>
    <cfRule type="expression" dxfId="309" priority="31">
      <formula>AND(AB$9&gt;=8/24,AB$9&lt;14/24)</formula>
    </cfRule>
    <cfRule type="expression" dxfId="308" priority="32">
      <formula>AB$9&lt;8/24</formula>
    </cfRule>
  </conditionalFormatting>
  <conditionalFormatting sqref="AC8">
    <cfRule type="expression" dxfId="307" priority="62">
      <formula>AE$9&gt;=20/24</formula>
    </cfRule>
    <cfRule type="expression" dxfId="306" priority="63">
      <formula>AND(AE$9&gt;=14/24,AE$9&lt;20/24)</formula>
    </cfRule>
    <cfRule type="expression" dxfId="305" priority="64">
      <formula>AND(AE$9&gt;=8/24,AE$9&lt;14/24)</formula>
    </cfRule>
    <cfRule type="expression" dxfId="304" priority="65">
      <formula>AE$9&lt;8/24</formula>
    </cfRule>
  </conditionalFormatting>
  <conditionalFormatting sqref="AH54 AH72 C93:AG109 C227:AG227 C229:AG235">
    <cfRule type="expression" dxfId="303" priority="39">
      <formula>C$9&gt;=20/24</formula>
    </cfRule>
    <cfRule type="expression" dxfId="302" priority="40">
      <formula>AND(C$9&gt;=14/24,C$9&lt;20/24)</formula>
    </cfRule>
    <cfRule type="expression" dxfId="301" priority="41">
      <formula>AND(C$9&gt;=8/24,C$9&lt;14/24)</formula>
    </cfRule>
    <cfRule type="expression" dxfId="300" priority="42">
      <formula>C$9&lt;8/24</formula>
    </cfRule>
  </conditionalFormatting>
  <conditionalFormatting sqref="AH54 AH72">
    <cfRule type="expression" dxfId="299" priority="38">
      <formula>AH54&gt;$AH54</formula>
    </cfRule>
  </conditionalFormatting>
  <conditionalFormatting sqref="AH67 B68:AH68">
    <cfRule type="expression" dxfId="298" priority="18">
      <formula>B67&gt;$AH67</formula>
    </cfRule>
  </conditionalFormatting>
  <conditionalFormatting sqref="AH89">
    <cfRule type="expression" dxfId="297" priority="58">
      <formula>AH$9&gt;=20/24</formula>
    </cfRule>
    <cfRule type="expression" dxfId="296" priority="59">
      <formula>AND(AH$9&gt;=14/24,AH$9&lt;20/24)</formula>
    </cfRule>
    <cfRule type="expression" dxfId="295" priority="60">
      <formula>AND(AH$9&gt;=8/24,AH$9&lt;14/24)</formula>
    </cfRule>
    <cfRule type="expression" dxfId="294" priority="61">
      <formula>AH$9&lt;8/24</formula>
    </cfRule>
  </conditionalFormatting>
  <conditionalFormatting sqref="AH248">
    <cfRule type="expression" dxfId="293" priority="83">
      <formula>C$9&gt;=20/24</formula>
    </cfRule>
    <cfRule type="expression" dxfId="292" priority="84">
      <formula>AND(C$9&gt;=14/24,C$9&lt;20/24)</formula>
    </cfRule>
    <cfRule type="expression" dxfId="291" priority="85">
      <formula>AND(C$9&gt;=8/24,C$9&lt;14/24)</formula>
    </cfRule>
    <cfRule type="expression" dxfId="290" priority="86">
      <formula>C$9&lt;8/24</formula>
    </cfRule>
  </conditionalFormatting>
  <conditionalFormatting sqref="AI248:AY248">
    <cfRule type="expression" dxfId="289" priority="87">
      <formula>AH$9&gt;=20/24</formula>
    </cfRule>
    <cfRule type="expression" dxfId="288" priority="88">
      <formula>AND(AH$9&gt;=14/24,AH$9&lt;20/24)</formula>
    </cfRule>
    <cfRule type="expression" dxfId="287" priority="89">
      <formula>AND(AH$9&gt;=8/24,AH$9&lt;14/24)</formula>
    </cfRule>
    <cfRule type="expression" dxfId="286" priority="90">
      <formula>AH$9&lt;8/24</formula>
    </cfRule>
  </conditionalFormatting>
  <conditionalFormatting sqref="AL50">
    <cfRule type="expression" dxfId="285" priority="16">
      <formula>AL50&gt;$AH50</formula>
    </cfRule>
  </conditionalFormatting>
  <conditionalFormatting sqref="AM4:AM6">
    <cfRule type="iconSet" priority="72">
      <iconSet iconSet="3TrafficLights2" reverse="1">
        <cfvo type="percent" val="0"/>
        <cfvo type="num" val="1"/>
        <cfvo type="num" val="1"/>
      </iconSet>
    </cfRule>
  </conditionalFormatting>
  <conditionalFormatting sqref="AM18">
    <cfRule type="iconSet" priority="46">
      <iconSet iconSet="3TrafficLights2" reverse="1">
        <cfvo type="percent" val="0"/>
        <cfvo type="num" val="1"/>
        <cfvo type="num" val="1"/>
      </iconSet>
    </cfRule>
  </conditionalFormatting>
  <conditionalFormatting sqref="AM23">
    <cfRule type="iconSet" priority="56">
      <iconSet iconSet="3TrafficLights2" reverse="1">
        <cfvo type="percent" val="0"/>
        <cfvo type="num" val="1"/>
        <cfvo type="num" val="1"/>
      </iconSet>
    </cfRule>
  </conditionalFormatting>
  <conditionalFormatting sqref="AM35">
    <cfRule type="iconSet" priority="45">
      <iconSet iconSet="3TrafficLights2" reverse="1">
        <cfvo type="percent" val="0"/>
        <cfvo type="num" val="1"/>
        <cfvo type="num" val="1"/>
      </iconSet>
    </cfRule>
  </conditionalFormatting>
  <conditionalFormatting sqref="AM39">
    <cfRule type="iconSet" priority="55">
      <iconSet iconSet="3TrafficLights2" reverse="1">
        <cfvo type="percent" val="0"/>
        <cfvo type="num" val="1"/>
        <cfvo type="num" val="1"/>
      </iconSet>
    </cfRule>
  </conditionalFormatting>
  <conditionalFormatting sqref="AM42">
    <cfRule type="iconSet" priority="57">
      <iconSet iconSet="3TrafficLights2" reverse="1">
        <cfvo type="percent" val="0"/>
        <cfvo type="num" val="1"/>
        <cfvo type="num" val="1"/>
      </iconSet>
    </cfRule>
  </conditionalFormatting>
  <conditionalFormatting sqref="AM44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M45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M46">
    <cfRule type="iconSet" priority="44">
      <iconSet iconSet="3TrafficLights2" reverse="1">
        <cfvo type="percent" val="0"/>
        <cfvo type="num" val="1"/>
        <cfvo type="num" val="1"/>
      </iconSet>
    </cfRule>
  </conditionalFormatting>
  <conditionalFormatting sqref="AM47 AM43 AM24:AM34 AM40:AM41 AM19:AM22 AM36:AM38 AM7:AM17">
    <cfRule type="iconSet" priority="95">
      <iconSet iconSet="3TrafficLights2" reverse="1">
        <cfvo type="percent" val="0"/>
        <cfvo type="num" val="1"/>
        <cfvo type="num" val="1"/>
      </iconSet>
    </cfRule>
  </conditionalFormatting>
  <conditionalFormatting sqref="AM81:AN85">
    <cfRule type="expression" dxfId="284" priority="96">
      <formula>AK$9&gt;=20/24</formula>
    </cfRule>
    <cfRule type="expression" dxfId="283" priority="97">
      <formula>AND(AK$9&gt;=14/24,AK$9&lt;20/24)</formula>
    </cfRule>
    <cfRule type="expression" dxfId="282" priority="98">
      <formula>AND(AK$9&gt;=8/24,AK$9&lt;14/24)</formula>
    </cfRule>
    <cfRule type="expression" dxfId="281" priority="99">
      <formula>AK$9&lt;8/24</formula>
    </cfRule>
  </conditionalFormatting>
  <conditionalFormatting sqref="AM80:AO80 AM86:AO86">
    <cfRule type="expression" dxfId="280" priority="51">
      <formula>AM$9&gt;=20/24</formula>
    </cfRule>
    <cfRule type="expression" dxfId="279" priority="52">
      <formula>AND(AM$9&gt;=14/24,AM$9&lt;20/24)</formula>
    </cfRule>
    <cfRule type="expression" dxfId="278" priority="53">
      <formula>AND(AM$9&gt;=8/24,AM$9&lt;14/24)</formula>
    </cfRule>
    <cfRule type="expression" dxfId="277" priority="54">
      <formula>AM$9&lt;8/24</formula>
    </cfRule>
  </conditionalFormatting>
  <conditionalFormatting sqref="AO81:AO84">
    <cfRule type="expression" dxfId="276" priority="47">
      <formula>AO$9&gt;=20/24</formula>
    </cfRule>
    <cfRule type="expression" dxfId="275" priority="48">
      <formula>AND(AO$9&gt;=14/24,AO$9&lt;20/24)</formula>
    </cfRule>
    <cfRule type="expression" dxfId="274" priority="49">
      <formula>AND(AO$9&gt;=8/24,AO$9&lt;14/24)</formula>
    </cfRule>
    <cfRule type="expression" dxfId="273" priority="50">
      <formula>AO$9&lt;8/24</formula>
    </cfRule>
  </conditionalFormatting>
  <pageMargins left="0.7" right="0.7" top="0.75" bottom="0.75" header="0.3" footer="0.3"/>
  <drawing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A821-72CA-465A-8F6D-0B634B2576C1}">
  <dimension ref="A1:CK281"/>
  <sheetViews>
    <sheetView zoomScale="80" zoomScaleNormal="80" workbookViewId="0">
      <pane xSplit="1" ySplit="10" topLeftCell="B11" activePane="bottomRight" state="frozen"/>
      <selection activeCell="K242" sqref="K242:L242"/>
      <selection pane="topRight" activeCell="K242" sqref="K242:L242"/>
      <selection pane="bottomLeft" activeCell="K242" sqref="K242:L242"/>
      <selection pane="bottomRight" activeCell="J20" sqref="J20"/>
    </sheetView>
  </sheetViews>
  <sheetFormatPr defaultRowHeight="15" x14ac:dyDescent="0.25"/>
  <cols>
    <col min="1" max="1" width="35.28515625" style="1" bestFit="1" customWidth="1"/>
    <col min="2" max="2" width="15.85546875" style="1" customWidth="1"/>
    <col min="3" max="3" width="8.85546875" style="1" customWidth="1"/>
    <col min="4" max="4" width="8.42578125" style="1" bestFit="1" customWidth="1"/>
    <col min="5" max="5" width="8.85546875" style="1" bestFit="1" customWidth="1"/>
    <col min="6" max="6" width="11.140625" style="1" customWidth="1"/>
    <col min="7" max="8" width="7.7109375" style="1" bestFit="1" customWidth="1"/>
    <col min="9" max="16" width="6.85546875" style="1" bestFit="1" customWidth="1"/>
    <col min="17" max="17" width="7.85546875" style="1" customWidth="1"/>
    <col min="18" max="18" width="8.42578125" style="1" bestFit="1" customWidth="1"/>
    <col min="19" max="22" width="9.140625" style="1" bestFit="1" customWidth="1"/>
    <col min="23" max="23" width="9.7109375" style="1" customWidth="1"/>
    <col min="24" max="29" width="9.140625" style="1" bestFit="1" customWidth="1"/>
    <col min="30" max="32" width="6.85546875" style="1" customWidth="1"/>
    <col min="33" max="33" width="9" style="1" customWidth="1"/>
    <col min="34" max="34" width="14.42578125" style="1" customWidth="1"/>
    <col min="35" max="36" width="8" style="1" customWidth="1"/>
    <col min="37" max="37" width="21" style="1" bestFit="1" customWidth="1"/>
    <col min="38" max="38" width="23.85546875" style="1" bestFit="1" customWidth="1"/>
    <col min="39" max="42" width="9.140625" style="1" customWidth="1"/>
    <col min="43" max="16384" width="9.140625" style="1"/>
  </cols>
  <sheetData>
    <row r="1" spans="1:89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4" t="s">
        <v>1</v>
      </c>
      <c r="AI1" s="194"/>
      <c r="AJ1" s="194"/>
      <c r="AM1" s="2"/>
    </row>
    <row r="2" spans="1:89" ht="20.25" x14ac:dyDescent="0.25">
      <c r="A2" s="3"/>
      <c r="B2" s="195" t="s">
        <v>2</v>
      </c>
      <c r="C2" s="195" t="s">
        <v>2</v>
      </c>
      <c r="D2" s="4"/>
      <c r="E2" s="197" t="s">
        <v>3</v>
      </c>
      <c r="F2" s="4"/>
      <c r="G2" s="197" t="s">
        <v>4</v>
      </c>
      <c r="H2" s="4"/>
      <c r="I2" s="197" t="s">
        <v>5</v>
      </c>
      <c r="J2" s="5"/>
      <c r="K2" s="199" t="s">
        <v>6</v>
      </c>
      <c r="L2" s="6" t="s">
        <v>2</v>
      </c>
      <c r="M2" s="6" t="s">
        <v>3</v>
      </c>
      <c r="N2" s="6" t="s">
        <v>4</v>
      </c>
      <c r="O2" s="7" t="s">
        <v>5</v>
      </c>
      <c r="P2" s="8"/>
      <c r="Q2" s="8"/>
      <c r="R2" s="9"/>
      <c r="S2" s="9"/>
      <c r="T2" s="9"/>
      <c r="U2" s="9"/>
      <c r="V2" s="9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200">
        <f>AH50</f>
        <v>1980.5999999999995</v>
      </c>
      <c r="AI2" s="11" t="s">
        <v>7</v>
      </c>
      <c r="AJ2" s="12"/>
      <c r="AN2" s="13"/>
      <c r="AO2" s="14"/>
      <c r="AP2" s="14"/>
    </row>
    <row r="3" spans="1:89" ht="19.5" thickBot="1" x14ac:dyDescent="0.3">
      <c r="A3" s="15"/>
      <c r="B3" s="196"/>
      <c r="C3" s="196"/>
      <c r="D3" s="16"/>
      <c r="E3" s="198"/>
      <c r="F3" s="16"/>
      <c r="G3" s="198"/>
      <c r="H3" s="16"/>
      <c r="I3" s="198"/>
      <c r="J3" s="17"/>
      <c r="K3" s="199"/>
      <c r="L3" s="18"/>
      <c r="M3" s="18"/>
      <c r="N3" s="18"/>
      <c r="O3" s="18"/>
      <c r="P3" s="19"/>
      <c r="Q3" s="19"/>
      <c r="R3" s="8"/>
      <c r="S3" s="8"/>
      <c r="T3" s="8"/>
      <c r="U3" s="8"/>
      <c r="V3" s="8"/>
      <c r="W3" s="20" t="s">
        <v>8</v>
      </c>
      <c r="X3" s="20"/>
      <c r="Y3" s="20" t="s">
        <v>9</v>
      </c>
      <c r="Z3" s="20"/>
      <c r="AA3" s="20"/>
      <c r="AB3" s="20"/>
      <c r="AC3" s="19"/>
      <c r="AD3" s="21"/>
      <c r="AE3" s="21"/>
      <c r="AF3" s="21"/>
      <c r="AG3" s="21"/>
      <c r="AH3" s="201" t="e">
        <f>AH68</f>
        <v>#REF!</v>
      </c>
      <c r="AI3" s="11" t="s">
        <v>10</v>
      </c>
      <c r="AJ3" s="12"/>
      <c r="AM3" s="23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</row>
    <row r="4" spans="1:89" ht="18.75" x14ac:dyDescent="0.25">
      <c r="A4" s="25" t="s">
        <v>11</v>
      </c>
      <c r="B4" s="25"/>
      <c r="C4" s="188" t="e">
        <f ca="1">"2080/"&amp;"07/"&amp;INT(MID(CELL("filename",E6),FIND("]",CELL("filename",E6))+1,200))</f>
        <v>#VALUE!</v>
      </c>
      <c r="D4" s="188"/>
      <c r="E4" s="188"/>
      <c r="F4" s="189" t="e">
        <f ca="1">"2080/"&amp;"06/"&amp;INT(MID(CELL("filename",H6),FIND("]",CELL("filename",H6))+1,200))</f>
        <v>#VALUE!</v>
      </c>
      <c r="G4" s="189"/>
      <c r="H4" s="189"/>
      <c r="I4" s="189" t="e">
        <f ca="1">TEXT(F4,"dddd")</f>
        <v>#VALUE!</v>
      </c>
      <c r="J4" s="189"/>
      <c r="K4" s="26"/>
      <c r="L4" s="1" t="str">
        <f>"Total Peak Supply(Inclusive of Export) ("&amp;ROUND(C252,0)&amp;" MW)"&amp;"    IPP   = "&amp;ROUND(C247,0)&amp;" MW     NEA RoR = "&amp;ROUND(C248,0)&amp;" MWImport   = "&amp;ROUND(C250,0)&amp;" MW      KL1+KL2+K3 = "&amp;ROUND(C249,0) &amp;" MW    EXPORT = "&amp;ROUND(C251,0)</f>
        <v>Total Peak Supply(Inclusive of Export) (0 MW)    IPP   = 0 MW     NEA RoR = 0 MWImport   = 0 MW      KL1+KL2+K3 = 0 MW    EXPORT = 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27"/>
      <c r="AF4" s="27"/>
      <c r="AG4" s="27"/>
      <c r="AH4" s="201">
        <f>AH72</f>
        <v>106</v>
      </c>
      <c r="AI4" s="11" t="s">
        <v>12</v>
      </c>
      <c r="AJ4" s="12"/>
      <c r="AM4" s="28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</row>
    <row r="5" spans="1:89" ht="15.75" customHeight="1" x14ac:dyDescent="0.25">
      <c r="A5" s="29"/>
      <c r="B5" s="30">
        <f t="shared" ref="B5:AF5" si="0">C84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 t="shared" si="0"/>
        <v>0</v>
      </c>
      <c r="AG5" s="30">
        <f>C84</f>
        <v>0</v>
      </c>
      <c r="AH5" s="201"/>
      <c r="AI5" s="11"/>
      <c r="AJ5" s="12"/>
      <c r="AM5" s="28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</row>
    <row r="6" spans="1:89" ht="18.75" x14ac:dyDescent="0.25">
      <c r="A6" s="29"/>
      <c r="B6" s="31"/>
      <c r="C6" s="31"/>
      <c r="D6" s="29"/>
      <c r="E6" s="32"/>
      <c r="F6" s="32"/>
      <c r="G6" s="32"/>
      <c r="H6" s="32"/>
      <c r="I6" s="32"/>
      <c r="J6" s="32"/>
      <c r="K6" s="26"/>
      <c r="L6" s="1" t="e">
        <f>"Evening Peak "&amp;ROUND(C252,0)&amp;"MW at "&amp;TRUNC(C253*24,0)&amp;":"&amp;ROUND((C253*24-TRUNC(C253*24,0))*60,0)&amp;"hr at "&amp;ROUND(C254,1)&amp;"Hz     "&amp;A244&amp;" "&amp;ROUND(C244,0)&amp;"MW at "&amp;TRUNC(D244*24,0)&amp;":"&amp;ROUND((D244*24-TRUNC(D244*24,0))*6,0)&amp;"0hr"</f>
        <v>#REF!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27"/>
      <c r="AF6" s="27"/>
      <c r="AG6" s="27"/>
      <c r="AH6" s="201" t="e">
        <f>SUM(AH2:AH4)</f>
        <v>#REF!</v>
      </c>
      <c r="AI6" s="33" t="s">
        <v>13</v>
      </c>
      <c r="AJ6" s="12"/>
      <c r="AM6" s="28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</row>
    <row r="7" spans="1:89" ht="16.5" thickBot="1" x14ac:dyDescent="0.3">
      <c r="A7" s="34" t="e">
        <f>"Base Load="&amp;ROUND(MIN($C$7:$AG$7),0)</f>
        <v>#REF!</v>
      </c>
      <c r="B7" s="35">
        <f t="shared" ref="B7:AE7" si="1">B91</f>
        <v>1985.5000000000002</v>
      </c>
      <c r="C7" s="35" t="e">
        <f t="shared" si="1"/>
        <v>#REF!</v>
      </c>
      <c r="D7" s="35" t="e">
        <f t="shared" si="1"/>
        <v>#REF!</v>
      </c>
      <c r="E7" s="35" t="e">
        <f t="shared" si="1"/>
        <v>#REF!</v>
      </c>
      <c r="F7" s="35" t="e">
        <f t="shared" si="1"/>
        <v>#REF!</v>
      </c>
      <c r="G7" s="35" t="e">
        <f t="shared" si="1"/>
        <v>#REF!</v>
      </c>
      <c r="H7" s="35" t="e">
        <f t="shared" si="1"/>
        <v>#REF!</v>
      </c>
      <c r="I7" s="35" t="e">
        <f t="shared" si="1"/>
        <v>#REF!</v>
      </c>
      <c r="J7" s="35" t="e">
        <f t="shared" si="1"/>
        <v>#REF!</v>
      </c>
      <c r="K7" s="35" t="e">
        <f t="shared" si="1"/>
        <v>#REF!</v>
      </c>
      <c r="L7" s="35">
        <f t="shared" si="1"/>
        <v>0</v>
      </c>
      <c r="M7" s="35">
        <f t="shared" si="1"/>
        <v>0</v>
      </c>
      <c r="N7" s="35">
        <f t="shared" si="1"/>
        <v>0</v>
      </c>
      <c r="O7" s="35">
        <f>O91</f>
        <v>0</v>
      </c>
      <c r="P7" s="35">
        <f t="shared" si="1"/>
        <v>0</v>
      </c>
      <c r="Q7" s="35">
        <f t="shared" si="1"/>
        <v>0</v>
      </c>
      <c r="R7" s="35">
        <f t="shared" si="1"/>
        <v>0</v>
      </c>
      <c r="S7" s="35">
        <f t="shared" si="1"/>
        <v>0</v>
      </c>
      <c r="T7" s="35">
        <f t="shared" si="1"/>
        <v>0</v>
      </c>
      <c r="U7" s="35">
        <f t="shared" si="1"/>
        <v>0</v>
      </c>
      <c r="V7" s="35">
        <f t="shared" si="1"/>
        <v>0</v>
      </c>
      <c r="W7" s="35">
        <f t="shared" si="1"/>
        <v>0</v>
      </c>
      <c r="X7" s="35">
        <f t="shared" si="1"/>
        <v>0</v>
      </c>
      <c r="Y7" s="35">
        <f t="shared" si="1"/>
        <v>0</v>
      </c>
      <c r="Z7" s="35">
        <f t="shared" si="1"/>
        <v>0</v>
      </c>
      <c r="AA7" s="35">
        <f t="shared" si="1"/>
        <v>0</v>
      </c>
      <c r="AB7" s="35">
        <f t="shared" si="1"/>
        <v>0</v>
      </c>
      <c r="AC7" s="35">
        <f t="shared" si="1"/>
        <v>0</v>
      </c>
      <c r="AD7" s="35">
        <f t="shared" si="1"/>
        <v>0</v>
      </c>
      <c r="AE7" s="35">
        <f t="shared" si="1"/>
        <v>0</v>
      </c>
      <c r="AF7" s="35"/>
      <c r="AG7" s="35"/>
      <c r="AH7" s="202"/>
      <c r="AJ7" s="37"/>
      <c r="AK7" s="35"/>
      <c r="AM7" s="23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</row>
    <row r="8" spans="1:89" ht="27" customHeight="1" thickTop="1" thickBot="1" x14ac:dyDescent="0.3">
      <c r="A8" s="38"/>
      <c r="B8" s="203" t="s">
        <v>251</v>
      </c>
      <c r="C8" s="190" t="s">
        <v>14</v>
      </c>
      <c r="D8" s="191"/>
      <c r="E8" s="191"/>
      <c r="F8" s="191"/>
      <c r="G8" s="191"/>
      <c r="H8" s="191"/>
      <c r="I8" s="191"/>
      <c r="J8" s="191"/>
      <c r="K8" s="191"/>
      <c r="L8" s="191"/>
      <c r="M8" s="192"/>
      <c r="N8" s="183" t="s">
        <v>15</v>
      </c>
      <c r="O8" s="184"/>
      <c r="P8" s="184"/>
      <c r="Q8" s="184"/>
      <c r="R8" s="184"/>
      <c r="S8" s="185"/>
      <c r="T8" s="183" t="s">
        <v>16</v>
      </c>
      <c r="U8" s="184"/>
      <c r="V8" s="184"/>
      <c r="W8" s="184"/>
      <c r="X8" s="184"/>
      <c r="Y8" s="184"/>
      <c r="Z8" s="184"/>
      <c r="AA8" s="184"/>
      <c r="AB8" s="185"/>
      <c r="AC8" s="183" t="s">
        <v>17</v>
      </c>
      <c r="AD8" s="184"/>
      <c r="AE8" s="184"/>
      <c r="AF8" s="184"/>
      <c r="AG8" s="185"/>
      <c r="AH8" s="39"/>
      <c r="AI8" s="40"/>
      <c r="AJ8" s="41"/>
      <c r="AM8" s="28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</row>
    <row r="9" spans="1:89" ht="13.5" customHeight="1" thickTop="1" x14ac:dyDescent="0.25">
      <c r="A9" s="186" t="s">
        <v>18</v>
      </c>
      <c r="B9" s="204"/>
      <c r="C9" s="180">
        <v>0</v>
      </c>
      <c r="D9" s="180">
        <v>4.1666666666666664E-2</v>
      </c>
      <c r="E9" s="180">
        <v>8.3333333333333301E-2</v>
      </c>
      <c r="F9" s="180">
        <v>0.125</v>
      </c>
      <c r="G9" s="180">
        <v>0.16666666666666699</v>
      </c>
      <c r="H9" s="180">
        <v>0.20833333333333301</v>
      </c>
      <c r="I9" s="180">
        <v>0.22916666666666666</v>
      </c>
      <c r="J9" s="180">
        <v>0.25</v>
      </c>
      <c r="K9" s="180">
        <v>0.27083333333333331</v>
      </c>
      <c r="L9" s="180">
        <v>0.29166666666666669</v>
      </c>
      <c r="M9" s="180">
        <v>0.3125</v>
      </c>
      <c r="N9" s="178">
        <v>0.33333333333333331</v>
      </c>
      <c r="O9" s="178">
        <v>0.375</v>
      </c>
      <c r="P9" s="178">
        <v>0.41666666666666702</v>
      </c>
      <c r="Q9" s="178">
        <v>0.45833333333333298</v>
      </c>
      <c r="R9" s="178">
        <v>0.5</v>
      </c>
      <c r="S9" s="178">
        <v>0.54166666666666696</v>
      </c>
      <c r="T9" s="176">
        <v>0.58333333333333304</v>
      </c>
      <c r="U9" s="176">
        <v>0.625</v>
      </c>
      <c r="V9" s="176">
        <v>0.66666666666666696</v>
      </c>
      <c r="W9" s="176">
        <v>0.70833333333333304</v>
      </c>
      <c r="X9" s="176">
        <v>0.72916666666666663</v>
      </c>
      <c r="Y9" s="176">
        <v>0.75</v>
      </c>
      <c r="Z9" s="176">
        <v>0.77083333333333337</v>
      </c>
      <c r="AA9" s="176">
        <v>0.79166666666666663</v>
      </c>
      <c r="AB9" s="176">
        <v>0.8125</v>
      </c>
      <c r="AC9" s="176">
        <v>0.83333333333333337</v>
      </c>
      <c r="AD9" s="176">
        <v>0.85416666666666663</v>
      </c>
      <c r="AE9" s="176">
        <v>0.875</v>
      </c>
      <c r="AF9" s="176">
        <v>0.91666666666666696</v>
      </c>
      <c r="AG9" s="176">
        <v>0.95833333333333304</v>
      </c>
      <c r="AH9" s="181" t="s">
        <v>1</v>
      </c>
      <c r="AI9" s="42"/>
      <c r="AJ9" s="41"/>
      <c r="AM9" s="28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</row>
    <row r="10" spans="1:89" ht="15.75" thickBot="1" x14ac:dyDescent="0.3">
      <c r="A10" s="187"/>
      <c r="B10" s="205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9"/>
      <c r="O10" s="179"/>
      <c r="P10" s="179"/>
      <c r="Q10" s="179"/>
      <c r="R10" s="179"/>
      <c r="S10" s="179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82"/>
      <c r="AI10" s="43"/>
      <c r="AM10" s="28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</row>
    <row r="11" spans="1:89" ht="15.75" thickTop="1" x14ac:dyDescent="0.25">
      <c r="A11" s="44" t="s">
        <v>252</v>
      </c>
      <c r="B11" s="206">
        <v>60.8</v>
      </c>
      <c r="C11" s="45">
        <f>IF($B11-'[4]29'!B11&lt;0,0,$B11-'[4]29'!B11)</f>
        <v>0</v>
      </c>
      <c r="D11" s="45">
        <f>IF($B11-'[4]29'!C11&lt;0,0,$B11-'[4]29'!C11)</f>
        <v>0</v>
      </c>
      <c r="E11" s="45">
        <f>IF($B11-'[4]29'!D11&lt;0,0,$B11-'[4]29'!D11)</f>
        <v>0</v>
      </c>
      <c r="F11" s="45">
        <f>IF($B11-'[4]29'!E11&lt;0,0,$B11-'[4]29'!E11)</f>
        <v>0</v>
      </c>
      <c r="G11" s="45">
        <f>IF($B11-'[4]29'!F11&lt;0,0,$B11-'[4]29'!F11)</f>
        <v>0</v>
      </c>
      <c r="H11" s="45">
        <f>IF($B11-'[4]29'!G11&lt;0,0,$B11-'[4]29'!G11)</f>
        <v>0</v>
      </c>
      <c r="I11" s="45">
        <f>IF($B11-'[4]29'!H11&lt;0,0,$B11-'[4]29'!H11)</f>
        <v>0</v>
      </c>
      <c r="J11" s="45">
        <f>IF($B11-'[4]29'!I11&lt;0,0,$B11-'[4]29'!I11)</f>
        <v>0</v>
      </c>
      <c r="K11" s="45">
        <f>IF($B11-'[4]29'!J11&lt;0,0,$B11-'[4]29'!J11)</f>
        <v>0</v>
      </c>
      <c r="L11" s="45">
        <f>IF($B11-'[4]29'!K11&lt;0,0,$B11-'[4]29'!K11)</f>
        <v>0</v>
      </c>
      <c r="M11" s="45">
        <f>IF($B11-'[4]29'!L11&lt;0,0,$B11-'[4]29'!L11)</f>
        <v>0</v>
      </c>
      <c r="N11" s="45">
        <f>IF($B11-'[4]29'!M11&lt;0,0,$B11-'[4]29'!M11)</f>
        <v>0</v>
      </c>
      <c r="O11" s="45">
        <f>IF($B11-'[4]29'!N11&lt;0,0,$B11-'[4]29'!N11)</f>
        <v>4.2999999999999972</v>
      </c>
      <c r="P11" s="45">
        <f>IF($B11-'[4]29'!O11&lt;0,0,$B11-'[4]29'!O11)</f>
        <v>0</v>
      </c>
      <c r="Q11" s="45">
        <f>IF($B11-'[4]29'!P11&lt;0,0,$B11-'[4]29'!P11)</f>
        <v>1.7999999999999972</v>
      </c>
      <c r="R11" s="45">
        <f>IF($B11-'[4]29'!Q11&lt;0,0,$B11-'[4]29'!Q11)</f>
        <v>1.7999999999999972</v>
      </c>
      <c r="S11" s="45">
        <f>IF($B11-'[4]29'!R11&lt;0,0,$B11-'[4]29'!R11)</f>
        <v>1.7999999999999972</v>
      </c>
      <c r="T11" s="45">
        <f>IF($B11-'[4]29'!S11&lt;0,0,$B11-'[4]29'!S11)</f>
        <v>1.7999999999999972</v>
      </c>
      <c r="U11" s="45">
        <f>IF($B11-'[4]29'!T11&lt;0,0,$B11-'[4]29'!T11)</f>
        <v>2.5</v>
      </c>
      <c r="V11" s="45">
        <f>IF($B11-'[4]29'!U11&lt;0,0,$B11-'[4]29'!U11)</f>
        <v>0</v>
      </c>
      <c r="W11" s="45">
        <f>IF($B11-'[4]29'!V11&lt;0,0,$B11-'[4]29'!V11)</f>
        <v>0</v>
      </c>
      <c r="X11" s="45">
        <f>IF($B11-'[4]29'!W11&lt;0,0,$B11-'[4]29'!W11)</f>
        <v>0</v>
      </c>
      <c r="Y11" s="45">
        <f>IF($B11-'[4]29'!X11&lt;0,0,$B11-'[4]29'!X11)</f>
        <v>0.79999999999999716</v>
      </c>
      <c r="Z11" s="45">
        <f>IF($B11-'[4]29'!Y11&lt;0,0,$B11-'[4]29'!Y11)</f>
        <v>0.79999999999999716</v>
      </c>
      <c r="AA11" s="45">
        <f>IF($B11-'[4]29'!Z11&lt;0,0,$B11-'[4]29'!Z11)</f>
        <v>0.79999999999999716</v>
      </c>
      <c r="AB11" s="45">
        <f>IF($B11-'[4]29'!AA11&lt;0,0,$B11-'[4]29'!AA11)</f>
        <v>0.79999999999999716</v>
      </c>
      <c r="AC11" s="45">
        <f>IF($B11-'[4]29'!AB11&lt;0,0,$B11-'[4]29'!AB11)</f>
        <v>0</v>
      </c>
      <c r="AD11" s="45">
        <f>IF($B11-'[4]29'!AC11&lt;0,0,$B11-'[4]29'!AC11)</f>
        <v>0</v>
      </c>
      <c r="AE11" s="45">
        <f>IF($B11-'[4]29'!AD11&lt;0,0,$B11-'[4]29'!AD11)</f>
        <v>0</v>
      </c>
      <c r="AF11" s="45">
        <f>IF($B11-'[4]29'!AE11&lt;0,0,$B11-'[4]29'!AE11)</f>
        <v>0</v>
      </c>
      <c r="AG11" s="45">
        <f>IF($B11-'[4]29'!AF11&lt;0,0,$B11-'[4]29'!AF11)</f>
        <v>0</v>
      </c>
      <c r="AH11" s="47">
        <v>86</v>
      </c>
      <c r="AI11" s="48">
        <f t="shared" ref="AI11:AI76" si="2">MAX(C11:AG11)</f>
        <v>4.2999999999999972</v>
      </c>
      <c r="AJ11" s="49">
        <f t="shared" ref="AJ11:AJ76" si="3">MIN(C11:AG11)</f>
        <v>0</v>
      </c>
      <c r="AL11" s="170"/>
      <c r="AM11" s="28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</row>
    <row r="12" spans="1:89" x14ac:dyDescent="0.25">
      <c r="A12" s="44" t="s">
        <v>253</v>
      </c>
      <c r="B12" s="206">
        <v>13</v>
      </c>
      <c r="C12" s="45">
        <f>IF($B12-'[4]29'!B12&lt;0,0,$B12-'[4]29'!B12)</f>
        <v>0</v>
      </c>
      <c r="D12" s="45">
        <f>IF($B12-'[4]29'!C12&lt;0,0,$B12-'[4]29'!C12)</f>
        <v>4.5</v>
      </c>
      <c r="E12" s="45">
        <f>IF($B12-'[4]29'!D12&lt;0,0,$B12-'[4]29'!D12)</f>
        <v>4.5</v>
      </c>
      <c r="F12" s="45">
        <f>IF($B12-'[4]29'!E12&lt;0,0,$B12-'[4]29'!E12)</f>
        <v>13</v>
      </c>
      <c r="G12" s="45">
        <f>IF($B12-'[4]29'!F12&lt;0,0,$B12-'[4]29'!F12)</f>
        <v>13</v>
      </c>
      <c r="H12" s="45">
        <f>IF($B12-'[4]29'!G12&lt;0,0,$B12-'[4]29'!G12)</f>
        <v>4</v>
      </c>
      <c r="I12" s="45">
        <f>IF($B12-'[4]29'!H12&lt;0,0,$B12-'[4]29'!H12)</f>
        <v>0</v>
      </c>
      <c r="J12" s="45">
        <f>IF($B12-'[4]29'!I12&lt;0,0,$B12-'[4]29'!I12)</f>
        <v>0</v>
      </c>
      <c r="K12" s="45">
        <f>IF($B12-'[4]29'!J12&lt;0,0,$B12-'[4]29'!J12)</f>
        <v>0</v>
      </c>
      <c r="L12" s="45">
        <f>IF($B12-'[4]29'!K12&lt;0,0,$B12-'[4]29'!K12)</f>
        <v>0</v>
      </c>
      <c r="M12" s="45">
        <f>IF($B12-'[4]29'!L12&lt;0,0,$B12-'[4]29'!L12)</f>
        <v>0</v>
      </c>
      <c r="N12" s="45">
        <f>IF($B12-'[4]29'!M12&lt;0,0,$B12-'[4]29'!M12)</f>
        <v>0</v>
      </c>
      <c r="O12" s="45">
        <f>IF($B12-'[4]29'!N12&lt;0,0,$B12-'[4]29'!N12)</f>
        <v>0</v>
      </c>
      <c r="P12" s="45">
        <f>IF($B12-'[4]29'!O12&lt;0,0,$B12-'[4]29'!O12)</f>
        <v>0</v>
      </c>
      <c r="Q12" s="45">
        <f>IF($B12-'[4]29'!P12&lt;0,0,$B12-'[4]29'!P12)</f>
        <v>0</v>
      </c>
      <c r="R12" s="45">
        <f>IF($B12-'[4]29'!Q12&lt;0,0,$B12-'[4]29'!Q12)</f>
        <v>5</v>
      </c>
      <c r="S12" s="45">
        <f>IF($B12-'[4]29'!R12&lt;0,0,$B12-'[4]29'!R12)</f>
        <v>5</v>
      </c>
      <c r="T12" s="45">
        <f>IF($B12-'[4]29'!S12&lt;0,0,$B12-'[4]29'!S12)</f>
        <v>5</v>
      </c>
      <c r="U12" s="45">
        <f>IF($B12-'[4]29'!T12&lt;0,0,$B12-'[4]29'!T12)</f>
        <v>5</v>
      </c>
      <c r="V12" s="45">
        <f>IF($B12-'[4]29'!U12&lt;0,0,$B12-'[4]29'!U12)</f>
        <v>5</v>
      </c>
      <c r="W12" s="45">
        <f>IF($B12-'[4]29'!V12&lt;0,0,$B12-'[4]29'!V12)</f>
        <v>5</v>
      </c>
      <c r="X12" s="45">
        <f>IF($B12-'[4]29'!W12&lt;0,0,$B12-'[4]29'!W12)</f>
        <v>5</v>
      </c>
      <c r="Y12" s="45">
        <f>IF($B12-'[4]29'!X12&lt;0,0,$B12-'[4]29'!X12)</f>
        <v>0</v>
      </c>
      <c r="Z12" s="45">
        <f>IF($B12-'[4]29'!Y12&lt;0,0,$B12-'[4]29'!Y12)</f>
        <v>0</v>
      </c>
      <c r="AA12" s="45">
        <f>IF($B12-'[4]29'!Z12&lt;0,0,$B12-'[4]29'!Z12)</f>
        <v>0</v>
      </c>
      <c r="AB12" s="45">
        <f>IF($B12-'[4]29'!AA12&lt;0,0,$B12-'[4]29'!AA12)</f>
        <v>0</v>
      </c>
      <c r="AC12" s="45">
        <f>IF($B12-'[4]29'!AB12&lt;0,0,$B12-'[4]29'!AB12)</f>
        <v>0</v>
      </c>
      <c r="AD12" s="45">
        <f>IF($B12-'[4]29'!AC12&lt;0,0,$B12-'[4]29'!AC12)</f>
        <v>0</v>
      </c>
      <c r="AE12" s="45">
        <f>IF($B12-'[4]29'!AD12&lt;0,0,$B12-'[4]29'!AD12)</f>
        <v>0</v>
      </c>
      <c r="AF12" s="45">
        <f>IF($B12-'[4]29'!AE12&lt;0,0,$B12-'[4]29'!AE12)</f>
        <v>0</v>
      </c>
      <c r="AG12" s="45">
        <f>IF($B12-'[4]29'!AF12&lt;0,0,$B12-'[4]29'!AF12)</f>
        <v>5</v>
      </c>
      <c r="AH12" s="51">
        <v>54</v>
      </c>
      <c r="AI12" s="48">
        <f t="shared" si="2"/>
        <v>13</v>
      </c>
      <c r="AJ12" s="49">
        <f t="shared" si="3"/>
        <v>0</v>
      </c>
      <c r="AL12" s="170"/>
      <c r="AM12" s="28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</row>
    <row r="13" spans="1:89" x14ac:dyDescent="0.25">
      <c r="A13" s="44" t="s">
        <v>19</v>
      </c>
      <c r="B13" s="206">
        <v>34</v>
      </c>
      <c r="C13" s="45">
        <f>IF($B13-'[4]29'!B13&lt;0,0,$B13-'[4]29'!B13)</f>
        <v>0.10000000000000142</v>
      </c>
      <c r="D13" s="45">
        <f>IF($B13-'[4]29'!C13&lt;0,0,$B13-'[4]29'!C13)</f>
        <v>0.10000000000000142</v>
      </c>
      <c r="E13" s="45">
        <f>IF($B13-'[4]29'!D13&lt;0,0,$B13-'[4]29'!D13)</f>
        <v>0.10000000000000142</v>
      </c>
      <c r="F13" s="45">
        <f>IF($B13-'[4]29'!E13&lt;0,0,$B13-'[4]29'!E13)</f>
        <v>0.60000000000000142</v>
      </c>
      <c r="G13" s="45">
        <f>IF($B13-'[4]29'!F13&lt;0,0,$B13-'[4]29'!F13)</f>
        <v>0.20000000000000284</v>
      </c>
      <c r="H13" s="45">
        <f>IF($B13-'[4]29'!G13&lt;0,0,$B13-'[4]29'!G13)</f>
        <v>0.20000000000000284</v>
      </c>
      <c r="I13" s="45">
        <f>IF($B13-'[4]29'!H13&lt;0,0,$B13-'[4]29'!H13)</f>
        <v>0.20000000000000284</v>
      </c>
      <c r="J13" s="45">
        <f>IF($B13-'[4]29'!I13&lt;0,0,$B13-'[4]29'!I13)</f>
        <v>0.20000000000000284</v>
      </c>
      <c r="K13" s="45">
        <f>IF($B13-'[4]29'!J13&lt;0,0,$B13-'[4]29'!J13)</f>
        <v>0.20000000000000284</v>
      </c>
      <c r="L13" s="45">
        <f>IF($B13-'[4]29'!K13&lt;0,0,$B13-'[4]29'!K13)</f>
        <v>0.20000000000000284</v>
      </c>
      <c r="M13" s="45">
        <f>IF($B13-'[4]29'!L13&lt;0,0,$B13-'[4]29'!L13)</f>
        <v>1.2000000000000028</v>
      </c>
      <c r="N13" s="45">
        <f>IF($B13-'[4]29'!M13&lt;0,0,$B13-'[4]29'!M13)</f>
        <v>1.2000000000000028</v>
      </c>
      <c r="O13" s="45">
        <f>IF($B13-'[4]29'!N13&lt;0,0,$B13-'[4]29'!N13)</f>
        <v>1.2000000000000028</v>
      </c>
      <c r="P13" s="45">
        <f>IF($B13-'[4]29'!O13&lt;0,0,$B13-'[4]29'!O13)</f>
        <v>1.2000000000000028</v>
      </c>
      <c r="Q13" s="45">
        <f>IF($B13-'[4]29'!P13&lt;0,0,$B13-'[4]29'!P13)</f>
        <v>1.3999999999999986</v>
      </c>
      <c r="R13" s="45">
        <f>IF($B13-'[4]29'!Q13&lt;0,0,$B13-'[4]29'!Q13)</f>
        <v>1.3999999999999986</v>
      </c>
      <c r="S13" s="45">
        <f>IF($B13-'[4]29'!R13&lt;0,0,$B13-'[4]29'!R13)</f>
        <v>1.3999999999999986</v>
      </c>
      <c r="T13" s="45">
        <f>IF($B13-'[4]29'!S13&lt;0,0,$B13-'[4]29'!S13)</f>
        <v>1.3999999999999986</v>
      </c>
      <c r="U13" s="45">
        <f>IF($B13-'[4]29'!T13&lt;0,0,$B13-'[4]29'!T13)</f>
        <v>2.8000000000000007</v>
      </c>
      <c r="V13" s="45">
        <f>IF($B13-'[4]29'!U13&lt;0,0,$B13-'[4]29'!U13)</f>
        <v>2.8000000000000007</v>
      </c>
      <c r="W13" s="45">
        <f>IF($B13-'[4]29'!V13&lt;0,0,$B13-'[4]29'!V13)</f>
        <v>2.8000000000000007</v>
      </c>
      <c r="X13" s="45">
        <f>IF($B13-'[4]29'!W13&lt;0,0,$B13-'[4]29'!W13)</f>
        <v>2.8000000000000007</v>
      </c>
      <c r="Y13" s="45">
        <f>IF($B13-'[4]29'!X13&lt;0,0,$B13-'[4]29'!X13)</f>
        <v>2</v>
      </c>
      <c r="Z13" s="45">
        <f>IF($B13-'[4]29'!Y13&lt;0,0,$B13-'[4]29'!Y13)</f>
        <v>2</v>
      </c>
      <c r="AA13" s="45">
        <f>IF($B13-'[4]29'!Z13&lt;0,0,$B13-'[4]29'!Z13)</f>
        <v>2</v>
      </c>
      <c r="AB13" s="45">
        <f>IF($B13-'[4]29'!AA13&lt;0,0,$B13-'[4]29'!AA13)</f>
        <v>2</v>
      </c>
      <c r="AC13" s="45">
        <f>IF($B13-'[4]29'!AB13&lt;0,0,$B13-'[4]29'!AB13)</f>
        <v>2</v>
      </c>
      <c r="AD13" s="45">
        <f>IF($B13-'[4]29'!AC13&lt;0,0,$B13-'[4]29'!AC13)</f>
        <v>2.5</v>
      </c>
      <c r="AE13" s="45">
        <f>IF($B13-'[4]29'!AD13&lt;0,0,$B13-'[4]29'!AD13)</f>
        <v>2.5</v>
      </c>
      <c r="AF13" s="45">
        <f>IF($B13-'[4]29'!AE13&lt;0,0,$B13-'[4]29'!AE13)</f>
        <v>2.5</v>
      </c>
      <c r="AG13" s="45">
        <f>IF($B13-'[4]29'!AF13&lt;0,0,$B13-'[4]29'!AF13)</f>
        <v>2.5</v>
      </c>
      <c r="AH13" s="47">
        <v>52.4</v>
      </c>
      <c r="AI13" s="48">
        <f t="shared" si="2"/>
        <v>2.8000000000000007</v>
      </c>
      <c r="AJ13" s="49">
        <f t="shared" si="3"/>
        <v>0.10000000000000142</v>
      </c>
      <c r="AL13" s="170"/>
      <c r="AM13" s="28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</row>
    <row r="14" spans="1:89" x14ac:dyDescent="0.25">
      <c r="A14" s="44" t="s">
        <v>20</v>
      </c>
      <c r="B14" s="207">
        <v>50.5</v>
      </c>
      <c r="C14" s="45">
        <f>IF($B14-'[4]29'!B14&lt;0,0,$B14-'[4]29'!B14)</f>
        <v>0</v>
      </c>
      <c r="D14" s="45">
        <f>IF($B14-'[4]29'!C14&lt;0,0,$B14-'[4]29'!C14)</f>
        <v>0</v>
      </c>
      <c r="E14" s="45">
        <f>IF($B14-'[4]29'!D14&lt;0,0,$B14-'[4]29'!D14)</f>
        <v>0</v>
      </c>
      <c r="F14" s="45">
        <f>IF($B14-'[4]29'!E14&lt;0,0,$B14-'[4]29'!E14)</f>
        <v>0</v>
      </c>
      <c r="G14" s="45">
        <f>IF($B14-'[4]29'!F14&lt;0,0,$B14-'[4]29'!F14)</f>
        <v>0</v>
      </c>
      <c r="H14" s="45">
        <f>IF($B14-'[4]29'!G14&lt;0,0,$B14-'[4]29'!G14)</f>
        <v>0</v>
      </c>
      <c r="I14" s="45">
        <f>IF($B14-'[4]29'!H14&lt;0,0,$B14-'[4]29'!H14)</f>
        <v>0</v>
      </c>
      <c r="J14" s="45">
        <f>IF($B14-'[4]29'!I14&lt;0,0,$B14-'[4]29'!I14)</f>
        <v>0</v>
      </c>
      <c r="K14" s="45">
        <f>IF($B14-'[4]29'!J14&lt;0,0,$B14-'[4]29'!J14)</f>
        <v>0</v>
      </c>
      <c r="L14" s="45">
        <f>IF($B14-'[4]29'!K14&lt;0,0,$B14-'[4]29'!K14)</f>
        <v>0</v>
      </c>
      <c r="M14" s="45">
        <f>IF($B14-'[4]29'!L14&lt;0,0,$B14-'[4]29'!L14)</f>
        <v>0</v>
      </c>
      <c r="N14" s="45">
        <f>IF($B14-'[4]29'!M14&lt;0,0,$B14-'[4]29'!M14)</f>
        <v>0</v>
      </c>
      <c r="O14" s="45">
        <f>IF($B14-'[4]29'!N14&lt;0,0,$B14-'[4]29'!N14)</f>
        <v>0</v>
      </c>
      <c r="P14" s="45">
        <f>IF($B14-'[4]29'!O14&lt;0,0,$B14-'[4]29'!O14)</f>
        <v>0</v>
      </c>
      <c r="Q14" s="45">
        <f>IF($B14-'[4]29'!P14&lt;0,0,$B14-'[4]29'!P14)</f>
        <v>0</v>
      </c>
      <c r="R14" s="45">
        <f>IF($B14-'[4]29'!Q14&lt;0,0,$B14-'[4]29'!Q14)</f>
        <v>0</v>
      </c>
      <c r="S14" s="45">
        <f>IF($B14-'[4]29'!R14&lt;0,0,$B14-'[4]29'!R14)</f>
        <v>0</v>
      </c>
      <c r="T14" s="45">
        <f>IF($B14-'[4]29'!S14&lt;0,0,$B14-'[4]29'!S14)</f>
        <v>0</v>
      </c>
      <c r="U14" s="45">
        <f>IF($B14-'[4]29'!T14&lt;0,0,$B14-'[4]29'!T14)</f>
        <v>0.29999999999999716</v>
      </c>
      <c r="V14" s="45">
        <f>IF($B14-'[4]29'!U14&lt;0,0,$B14-'[4]29'!U14)</f>
        <v>0.39999999999999858</v>
      </c>
      <c r="W14" s="45">
        <f>IF($B14-'[4]29'!V14&lt;0,0,$B14-'[4]29'!V14)</f>
        <v>0.10000000000000142</v>
      </c>
      <c r="X14" s="45">
        <f>IF($B14-'[4]29'!W14&lt;0,0,$B14-'[4]29'!W14)</f>
        <v>0.10000000000000142</v>
      </c>
      <c r="Y14" s="45">
        <f>IF($B14-'[4]29'!X14&lt;0,0,$B14-'[4]29'!X14)</f>
        <v>0.10000000000000142</v>
      </c>
      <c r="Z14" s="45">
        <f>IF($B14-'[4]29'!Y14&lt;0,0,$B14-'[4]29'!Y14)</f>
        <v>0.10000000000000142</v>
      </c>
      <c r="AA14" s="45">
        <f>IF($B14-'[4]29'!Z14&lt;0,0,$B14-'[4]29'!Z14)</f>
        <v>0.10000000000000142</v>
      </c>
      <c r="AB14" s="45">
        <f>IF($B14-'[4]29'!AA14&lt;0,0,$B14-'[4]29'!AA14)</f>
        <v>0.10000000000000142</v>
      </c>
      <c r="AC14" s="45">
        <f>IF($B14-'[4]29'!AB14&lt;0,0,$B14-'[4]29'!AB14)</f>
        <v>0.10000000000000142</v>
      </c>
      <c r="AD14" s="45">
        <f>IF($B14-'[4]29'!AC14&lt;0,0,$B14-'[4]29'!AC14)</f>
        <v>0.10000000000000142</v>
      </c>
      <c r="AE14" s="45">
        <f>IF($B14-'[4]29'!AD14&lt;0,0,$B14-'[4]29'!AD14)</f>
        <v>0.10000000000000142</v>
      </c>
      <c r="AF14" s="45">
        <f>IF($B14-'[4]29'!AE14&lt;0,0,$B14-'[4]29'!AE14)</f>
        <v>0.10000000000000142</v>
      </c>
      <c r="AG14" s="45">
        <f>IF($B14-'[4]29'!AF14&lt;0,0,$B14-'[4]29'!AF14)</f>
        <v>0.10000000000000142</v>
      </c>
      <c r="AH14" s="51">
        <v>50</v>
      </c>
      <c r="AI14" s="48">
        <f t="shared" si="2"/>
        <v>0.39999999999999858</v>
      </c>
      <c r="AJ14" s="49">
        <f t="shared" si="3"/>
        <v>0</v>
      </c>
      <c r="AL14" s="170"/>
      <c r="AM14" s="28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</row>
    <row r="15" spans="1:89" x14ac:dyDescent="0.25">
      <c r="A15" s="44" t="s">
        <v>21</v>
      </c>
      <c r="B15" s="207">
        <v>33.5</v>
      </c>
      <c r="C15" s="45">
        <f>IF($B15-'[4]29'!B15&lt;0,0,$B15-'[4]29'!B15)</f>
        <v>0</v>
      </c>
      <c r="D15" s="45">
        <f>IF($B15-'[4]29'!C15&lt;0,0,$B15-'[4]29'!C15)</f>
        <v>0</v>
      </c>
      <c r="E15" s="45">
        <f>IF($B15-'[4]29'!D15&lt;0,0,$B15-'[4]29'!D15)</f>
        <v>0</v>
      </c>
      <c r="F15" s="45">
        <f>IF($B15-'[4]29'!E15&lt;0,0,$B15-'[4]29'!E15)</f>
        <v>1.3999999999999986</v>
      </c>
      <c r="G15" s="45">
        <f>IF($B15-'[4]29'!F15&lt;0,0,$B15-'[4]29'!F15)</f>
        <v>0.29999999999999716</v>
      </c>
      <c r="H15" s="45">
        <f>IF($B15-'[4]29'!G15&lt;0,0,$B15-'[4]29'!G15)</f>
        <v>0.29999999999999716</v>
      </c>
      <c r="I15" s="45">
        <f>IF($B15-'[4]29'!H15&lt;0,0,$B15-'[4]29'!H15)</f>
        <v>0.29999999999999716</v>
      </c>
      <c r="J15" s="45">
        <f>IF($B15-'[4]29'!I15&lt;0,0,$B15-'[4]29'!I15)</f>
        <v>0.29999999999999716</v>
      </c>
      <c r="K15" s="45">
        <f>IF($B15-'[4]29'!J15&lt;0,0,$B15-'[4]29'!J15)</f>
        <v>0.29999999999999716</v>
      </c>
      <c r="L15" s="45">
        <f>IF($B15-'[4]29'!K15&lt;0,0,$B15-'[4]29'!K15)</f>
        <v>0.29999999999999716</v>
      </c>
      <c r="M15" s="45">
        <f>IF($B15-'[4]29'!L15&lt;0,0,$B15-'[4]29'!L15)</f>
        <v>0.29999999999999716</v>
      </c>
      <c r="N15" s="45">
        <f>IF($B15-'[4]29'!M15&lt;0,0,$B15-'[4]29'!M15)</f>
        <v>0.29999999999999716</v>
      </c>
      <c r="O15" s="45">
        <f>IF($B15-'[4]29'!N15&lt;0,0,$B15-'[4]29'!N15)</f>
        <v>2.6999999999999993</v>
      </c>
      <c r="P15" s="45">
        <f>IF($B15-'[4]29'!O15&lt;0,0,$B15-'[4]29'!O15)</f>
        <v>2.6999999999999993</v>
      </c>
      <c r="Q15" s="45">
        <f>IF($B15-'[4]29'!P15&lt;0,0,$B15-'[4]29'!P15)</f>
        <v>2.8999999999999986</v>
      </c>
      <c r="R15" s="45">
        <f>IF($B15-'[4]29'!Q15&lt;0,0,$B15-'[4]29'!Q15)</f>
        <v>2.8999999999999986</v>
      </c>
      <c r="S15" s="45">
        <f>IF($B15-'[4]29'!R15&lt;0,0,$B15-'[4]29'!R15)</f>
        <v>2.8999999999999986</v>
      </c>
      <c r="T15" s="45">
        <f>IF($B15-'[4]29'!S15&lt;0,0,$B15-'[4]29'!S15)</f>
        <v>2.8999999999999986</v>
      </c>
      <c r="U15" s="45">
        <f>IF($B15-'[4]29'!T15&lt;0,0,$B15-'[4]29'!T15)</f>
        <v>1.2000000000000028</v>
      </c>
      <c r="V15" s="45">
        <f>IF($B15-'[4]29'!U15&lt;0,0,$B15-'[4]29'!U15)</f>
        <v>2.3000000000000007</v>
      </c>
      <c r="W15" s="45">
        <f>IF($B15-'[4]29'!V15&lt;0,0,$B15-'[4]29'!V15)</f>
        <v>0.89999999999999858</v>
      </c>
      <c r="X15" s="45">
        <f>IF($B15-'[4]29'!W15&lt;0,0,$B15-'[4]29'!W15)</f>
        <v>0.89999999999999858</v>
      </c>
      <c r="Y15" s="45">
        <f>IF($B15-'[4]29'!X15&lt;0,0,$B15-'[4]29'!X15)</f>
        <v>0.79999999999999716</v>
      </c>
      <c r="Z15" s="45">
        <f>IF($B15-'[4]29'!Y15&lt;0,0,$B15-'[4]29'!Y15)</f>
        <v>0.79999999999999716</v>
      </c>
      <c r="AA15" s="45">
        <f>IF($B15-'[4]29'!Z15&lt;0,0,$B15-'[4]29'!Z15)</f>
        <v>0.79999999999999716</v>
      </c>
      <c r="AB15" s="45">
        <f>IF($B15-'[4]29'!AA15&lt;0,0,$B15-'[4]29'!AA15)</f>
        <v>0.79999999999999716</v>
      </c>
      <c r="AC15" s="45">
        <f>IF($B15-'[4]29'!AB15&lt;0,0,$B15-'[4]29'!AB15)</f>
        <v>0.79999999999999716</v>
      </c>
      <c r="AD15" s="45">
        <f>IF($B15-'[4]29'!AC15&lt;0,0,$B15-'[4]29'!AC15)</f>
        <v>1.6000000000000014</v>
      </c>
      <c r="AE15" s="45">
        <f>IF($B15-'[4]29'!AD15&lt;0,0,$B15-'[4]29'!AD15)</f>
        <v>1.6000000000000014</v>
      </c>
      <c r="AF15" s="45">
        <f>IF($B15-'[4]29'!AE15&lt;0,0,$B15-'[4]29'!AE15)</f>
        <v>1.6000000000000014</v>
      </c>
      <c r="AG15" s="45">
        <f>IF($B15-'[4]29'!AF15&lt;0,0,$B15-'[4]29'!AF15)</f>
        <v>1.6000000000000014</v>
      </c>
      <c r="AH15" s="51">
        <v>45</v>
      </c>
      <c r="AI15" s="48">
        <f t="shared" si="2"/>
        <v>2.8999999999999986</v>
      </c>
      <c r="AJ15" s="49">
        <f t="shared" si="3"/>
        <v>0</v>
      </c>
      <c r="AL15" s="170"/>
      <c r="AM15" s="28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</row>
    <row r="16" spans="1:89" x14ac:dyDescent="0.25">
      <c r="A16" s="44" t="s">
        <v>254</v>
      </c>
      <c r="B16" s="207">
        <v>32</v>
      </c>
      <c r="C16" s="45">
        <f>IF($B16-'[4]29'!B16&lt;0,0,$B16-'[4]29'!B16)</f>
        <v>1</v>
      </c>
      <c r="D16" s="45">
        <f>IF($B16-'[4]29'!C16&lt;0,0,$B16-'[4]29'!C16)</f>
        <v>1</v>
      </c>
      <c r="E16" s="45">
        <f>IF($B16-'[4]29'!D16&lt;0,0,$B16-'[4]29'!D16)</f>
        <v>1</v>
      </c>
      <c r="F16" s="45">
        <f>IF($B16-'[4]29'!E16&lt;0,0,$B16-'[4]29'!E16)</f>
        <v>1</v>
      </c>
      <c r="G16" s="45">
        <f>IF($B16-'[4]29'!F16&lt;0,0,$B16-'[4]29'!F16)</f>
        <v>1</v>
      </c>
      <c r="H16" s="45">
        <f>IF($B16-'[4]29'!G16&lt;0,0,$B16-'[4]29'!G16)</f>
        <v>1</v>
      </c>
      <c r="I16" s="45">
        <f>IF($B16-'[4]29'!H16&lt;0,0,$B16-'[4]29'!H16)</f>
        <v>1</v>
      </c>
      <c r="J16" s="45">
        <f>IF($B16-'[4]29'!I16&lt;0,0,$B16-'[4]29'!I16)</f>
        <v>1</v>
      </c>
      <c r="K16" s="45">
        <f>IF($B16-'[4]29'!J16&lt;0,0,$B16-'[4]29'!J16)</f>
        <v>1</v>
      </c>
      <c r="L16" s="45">
        <f>IF($B16-'[4]29'!K16&lt;0,0,$B16-'[4]29'!K16)</f>
        <v>1</v>
      </c>
      <c r="M16" s="45">
        <f>IF($B16-'[4]29'!L16&lt;0,0,$B16-'[4]29'!L16)</f>
        <v>1</v>
      </c>
      <c r="N16" s="45">
        <f>IF($B16-'[4]29'!M16&lt;0,0,$B16-'[4]29'!M16)</f>
        <v>1</v>
      </c>
      <c r="O16" s="45">
        <f>IF($B16-'[4]29'!N16&lt;0,0,$B16-'[4]29'!N16)</f>
        <v>1</v>
      </c>
      <c r="P16" s="45">
        <f>IF($B16-'[4]29'!O16&lt;0,0,$B16-'[4]29'!O16)</f>
        <v>1</v>
      </c>
      <c r="Q16" s="45">
        <f>IF($B16-'[4]29'!P16&lt;0,0,$B16-'[4]29'!P16)</f>
        <v>7</v>
      </c>
      <c r="R16" s="45">
        <f>IF($B16-'[4]29'!Q16&lt;0,0,$B16-'[4]29'!Q16)</f>
        <v>7</v>
      </c>
      <c r="S16" s="45">
        <f>IF($B16-'[4]29'!R16&lt;0,0,$B16-'[4]29'!R16)</f>
        <v>7</v>
      </c>
      <c r="T16" s="45">
        <f>IF($B16-'[4]29'!S16&lt;0,0,$B16-'[4]29'!S16)</f>
        <v>7</v>
      </c>
      <c r="U16" s="45">
        <f>IF($B16-'[4]29'!T16&lt;0,0,$B16-'[4]29'!T16)</f>
        <v>7</v>
      </c>
      <c r="V16" s="45">
        <f>IF($B16-'[4]29'!U16&lt;0,0,$B16-'[4]29'!U16)</f>
        <v>7</v>
      </c>
      <c r="W16" s="45">
        <f>IF($B16-'[4]29'!V16&lt;0,0,$B16-'[4]29'!V16)</f>
        <v>0</v>
      </c>
      <c r="X16" s="45">
        <f>IF($B16-'[4]29'!W16&lt;0,0,$B16-'[4]29'!W16)</f>
        <v>0</v>
      </c>
      <c r="Y16" s="45">
        <f>IF($B16-'[4]29'!X16&lt;0,0,$B16-'[4]29'!X16)</f>
        <v>0</v>
      </c>
      <c r="Z16" s="45">
        <f>IF($B16-'[4]29'!Y16&lt;0,0,$B16-'[4]29'!Y16)</f>
        <v>0</v>
      </c>
      <c r="AA16" s="45">
        <f>IF($B16-'[4]29'!Z16&lt;0,0,$B16-'[4]29'!Z16)</f>
        <v>0</v>
      </c>
      <c r="AB16" s="45">
        <f>IF($B16-'[4]29'!AA16&lt;0,0,$B16-'[4]29'!AA16)</f>
        <v>0</v>
      </c>
      <c r="AC16" s="45">
        <f>IF($B16-'[4]29'!AB16&lt;0,0,$B16-'[4]29'!AB16)</f>
        <v>0</v>
      </c>
      <c r="AD16" s="45">
        <f>IF($B16-'[4]29'!AC16&lt;0,0,$B16-'[4]29'!AC16)</f>
        <v>0</v>
      </c>
      <c r="AE16" s="45">
        <f>IF($B16-'[4]29'!AD16&lt;0,0,$B16-'[4]29'!AD16)</f>
        <v>0</v>
      </c>
      <c r="AF16" s="45">
        <f>IF($B16-'[4]29'!AE16&lt;0,0,$B16-'[4]29'!AE16)</f>
        <v>0</v>
      </c>
      <c r="AG16" s="45">
        <f>IF($B16-'[4]29'!AF16&lt;0,0,$B16-'[4]29'!AF16)</f>
        <v>0</v>
      </c>
      <c r="AH16" s="51">
        <v>44</v>
      </c>
      <c r="AI16" s="48">
        <f>MAX(C16:AH16)</f>
        <v>44</v>
      </c>
      <c r="AJ16" s="49">
        <f>MIN(C16:AH16)</f>
        <v>0</v>
      </c>
      <c r="AL16" s="170"/>
      <c r="AM16" s="28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</row>
    <row r="17" spans="1:89" x14ac:dyDescent="0.25">
      <c r="A17" s="44" t="s">
        <v>22</v>
      </c>
      <c r="B17" s="207">
        <v>20.5</v>
      </c>
      <c r="C17" s="45">
        <f>IF($B17-'[4]29'!B17&lt;0,0,$B17-'[4]29'!B17)</f>
        <v>0</v>
      </c>
      <c r="D17" s="45">
        <f>IF($B17-'[4]29'!C17&lt;0,0,$B17-'[4]29'!C17)</f>
        <v>0</v>
      </c>
      <c r="E17" s="45">
        <f>IF($B17-'[4]29'!D17&lt;0,0,$B17-'[4]29'!D17)</f>
        <v>0</v>
      </c>
      <c r="F17" s="45">
        <f>IF($B17-'[4]29'!E17&lt;0,0,$B17-'[4]29'!E17)</f>
        <v>0</v>
      </c>
      <c r="G17" s="45">
        <f>IF($B17-'[4]29'!F17&lt;0,0,$B17-'[4]29'!F17)</f>
        <v>0</v>
      </c>
      <c r="H17" s="45">
        <f>IF($B17-'[4]29'!G17&lt;0,0,$B17-'[4]29'!G17)</f>
        <v>0</v>
      </c>
      <c r="I17" s="45">
        <f>IF($B17-'[4]29'!H17&lt;0,0,$B17-'[4]29'!H17)</f>
        <v>0</v>
      </c>
      <c r="J17" s="45">
        <f>IF($B17-'[4]29'!I17&lt;0,0,$B17-'[4]29'!I17)</f>
        <v>0</v>
      </c>
      <c r="K17" s="45">
        <f>IF($B17-'[4]29'!J17&lt;0,0,$B17-'[4]29'!J17)</f>
        <v>0</v>
      </c>
      <c r="L17" s="45">
        <f>IF($B17-'[4]29'!K17&lt;0,0,$B17-'[4]29'!K17)</f>
        <v>0</v>
      </c>
      <c r="M17" s="45">
        <f>IF($B17-'[4]29'!L17&lt;0,0,$B17-'[4]29'!L17)</f>
        <v>0</v>
      </c>
      <c r="N17" s="45">
        <f>IF($B17-'[4]29'!M17&lt;0,0,$B17-'[4]29'!M17)</f>
        <v>0</v>
      </c>
      <c r="O17" s="45">
        <f>IF($B17-'[4]29'!N17&lt;0,0,$B17-'[4]29'!N17)</f>
        <v>0</v>
      </c>
      <c r="P17" s="45">
        <f>IF($B17-'[4]29'!O17&lt;0,0,$B17-'[4]29'!O17)</f>
        <v>0</v>
      </c>
      <c r="Q17" s="45">
        <f>IF($B17-'[4]29'!P17&lt;0,0,$B17-'[4]29'!P17)</f>
        <v>4.5</v>
      </c>
      <c r="R17" s="45">
        <f>IF($B17-'[4]29'!Q17&lt;0,0,$B17-'[4]29'!Q17)</f>
        <v>4.5</v>
      </c>
      <c r="S17" s="45">
        <f>IF($B17-'[4]29'!R17&lt;0,0,$B17-'[4]29'!R17)</f>
        <v>3.5</v>
      </c>
      <c r="T17" s="45">
        <f>IF($B17-'[4]29'!S17&lt;0,0,$B17-'[4]29'!S17)</f>
        <v>3.5</v>
      </c>
      <c r="U17" s="45">
        <f>IF($B17-'[4]29'!T17&lt;0,0,$B17-'[4]29'!T17)</f>
        <v>3.5</v>
      </c>
      <c r="V17" s="45">
        <f>IF($B17-'[4]29'!U17&lt;0,0,$B17-'[4]29'!U17)</f>
        <v>3.5</v>
      </c>
      <c r="W17" s="45">
        <f>IF($B17-'[4]29'!V17&lt;0,0,$B17-'[4]29'!V17)</f>
        <v>3</v>
      </c>
      <c r="X17" s="45">
        <f>IF($B17-'[4]29'!W17&lt;0,0,$B17-'[4]29'!W17)</f>
        <v>3</v>
      </c>
      <c r="Y17" s="45">
        <f>IF($B17-'[4]29'!X17&lt;0,0,$B17-'[4]29'!X17)</f>
        <v>0</v>
      </c>
      <c r="Z17" s="45">
        <f>IF($B17-'[4]29'!Y17&lt;0,0,$B17-'[4]29'!Y17)</f>
        <v>0</v>
      </c>
      <c r="AA17" s="45">
        <f>IF($B17-'[4]29'!Z17&lt;0,0,$B17-'[4]29'!Z17)</f>
        <v>0</v>
      </c>
      <c r="AB17" s="45">
        <f>IF($B17-'[4]29'!AA17&lt;0,0,$B17-'[4]29'!AA17)</f>
        <v>0</v>
      </c>
      <c r="AC17" s="45">
        <f>IF($B17-'[4]29'!AB17&lt;0,0,$B17-'[4]29'!AB17)</f>
        <v>0</v>
      </c>
      <c r="AD17" s="45">
        <f>IF($B17-'[4]29'!AC17&lt;0,0,$B17-'[4]29'!AC17)</f>
        <v>0</v>
      </c>
      <c r="AE17" s="45">
        <f>IF($B17-'[4]29'!AD17&lt;0,0,$B17-'[4]29'!AD17)</f>
        <v>0</v>
      </c>
      <c r="AF17" s="45">
        <f>IF($B17-'[4]29'!AE17&lt;0,0,$B17-'[4]29'!AE17)</f>
        <v>0</v>
      </c>
      <c r="AG17" s="45">
        <f>IF($B17-'[4]29'!AF17&lt;0,0,$B17-'[4]29'!AF17)</f>
        <v>0</v>
      </c>
      <c r="AH17" s="51">
        <v>42</v>
      </c>
      <c r="AI17" s="48">
        <f t="shared" si="2"/>
        <v>4.5</v>
      </c>
      <c r="AJ17" s="49">
        <f t="shared" si="3"/>
        <v>0</v>
      </c>
      <c r="AL17" s="170"/>
      <c r="AM17" s="28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</row>
    <row r="18" spans="1:89" x14ac:dyDescent="0.25">
      <c r="A18" s="44" t="s">
        <v>255</v>
      </c>
      <c r="B18" s="45">
        <v>20.5</v>
      </c>
      <c r="C18" s="45">
        <f>IF($B18-'[4]29'!B18&lt;0,0,$B18-'[4]29'!B18)</f>
        <v>0</v>
      </c>
      <c r="D18" s="45">
        <f>IF($B18-'[4]29'!C18&lt;0,0,$B18-'[4]29'!C18)</f>
        <v>0</v>
      </c>
      <c r="E18" s="45">
        <f>IF($B18-'[4]29'!D18&lt;0,0,$B18-'[4]29'!D18)</f>
        <v>0</v>
      </c>
      <c r="F18" s="45">
        <f>IF($B18-'[4]29'!E18&lt;0,0,$B18-'[4]29'!E18)</f>
        <v>0</v>
      </c>
      <c r="G18" s="45">
        <f>IF($B18-'[4]29'!F18&lt;0,0,$B18-'[4]29'!F18)</f>
        <v>0</v>
      </c>
      <c r="H18" s="45">
        <f>IF($B18-'[4]29'!G18&lt;0,0,$B18-'[4]29'!G18)</f>
        <v>0</v>
      </c>
      <c r="I18" s="45">
        <f>IF($B18-'[4]29'!H18&lt;0,0,$B18-'[4]29'!H18)</f>
        <v>0</v>
      </c>
      <c r="J18" s="45">
        <f>IF($B18-'[4]29'!I18&lt;0,0,$B18-'[4]29'!I18)</f>
        <v>0</v>
      </c>
      <c r="K18" s="45">
        <f>IF($B18-'[4]29'!J18&lt;0,0,$B18-'[4]29'!J18)</f>
        <v>0</v>
      </c>
      <c r="L18" s="45">
        <f>IF($B18-'[4]29'!K18&lt;0,0,$B18-'[4]29'!K18)</f>
        <v>0</v>
      </c>
      <c r="M18" s="45">
        <f>IF($B18-'[4]29'!L18&lt;0,0,$B18-'[4]29'!L18)</f>
        <v>0</v>
      </c>
      <c r="N18" s="45">
        <f>IF($B18-'[4]29'!M18&lt;0,0,$B18-'[4]29'!M18)</f>
        <v>0</v>
      </c>
      <c r="O18" s="45">
        <f>IF($B18-'[4]29'!N18&lt;0,0,$B18-'[4]29'!N18)</f>
        <v>0</v>
      </c>
      <c r="P18" s="45">
        <f>IF($B18-'[4]29'!O18&lt;0,0,$B18-'[4]29'!O18)</f>
        <v>0</v>
      </c>
      <c r="Q18" s="45">
        <f>IF($B18-'[4]29'!P18&lt;0,0,$B18-'[4]29'!P18)</f>
        <v>0</v>
      </c>
      <c r="R18" s="45">
        <f>IF($B18-'[4]29'!Q18&lt;0,0,$B18-'[4]29'!Q18)</f>
        <v>4.5</v>
      </c>
      <c r="S18" s="45">
        <f>IF($B18-'[4]29'!R18&lt;0,0,$B18-'[4]29'!R18)</f>
        <v>4.5</v>
      </c>
      <c r="T18" s="45">
        <f>IF($B18-'[4]29'!S18&lt;0,0,$B18-'[4]29'!S18)</f>
        <v>4.5</v>
      </c>
      <c r="U18" s="45">
        <f>IF($B18-'[4]29'!T18&lt;0,0,$B18-'[4]29'!T18)</f>
        <v>4.5</v>
      </c>
      <c r="V18" s="45">
        <f>IF($B18-'[4]29'!U18&lt;0,0,$B18-'[4]29'!U18)</f>
        <v>4.5</v>
      </c>
      <c r="W18" s="45">
        <f>IF($B18-'[4]29'!V18&lt;0,0,$B18-'[4]29'!V18)</f>
        <v>4.5</v>
      </c>
      <c r="X18" s="45">
        <f>IF($B18-'[4]29'!W18&lt;0,0,$B18-'[4]29'!W18)</f>
        <v>4.5</v>
      </c>
      <c r="Y18" s="45">
        <f>IF($B18-'[4]29'!X18&lt;0,0,$B18-'[4]29'!X18)</f>
        <v>0.5</v>
      </c>
      <c r="Z18" s="45">
        <f>IF($B18-'[4]29'!Y18&lt;0,0,$B18-'[4]29'!Y18)</f>
        <v>0.5</v>
      </c>
      <c r="AA18" s="45">
        <f>IF($B18-'[4]29'!Z18&lt;0,0,$B18-'[4]29'!Z18)</f>
        <v>0.5</v>
      </c>
      <c r="AB18" s="45">
        <f>IF($B18-'[4]29'!AA18&lt;0,0,$B18-'[4]29'!AA18)</f>
        <v>0.5</v>
      </c>
      <c r="AC18" s="45">
        <f>IF($B18-'[4]29'!AB18&lt;0,0,$B18-'[4]29'!AB18)</f>
        <v>0.5</v>
      </c>
      <c r="AD18" s="45">
        <f>IF($B18-'[4]29'!AC18&lt;0,0,$B18-'[4]29'!AC18)</f>
        <v>0.5</v>
      </c>
      <c r="AE18" s="45">
        <f>IF($B18-'[4]29'!AD18&lt;0,0,$B18-'[4]29'!AD18)</f>
        <v>0.5</v>
      </c>
      <c r="AF18" s="45">
        <f>IF($B18-'[4]29'!AE18&lt;0,0,$B18-'[4]29'!AE18)</f>
        <v>0.5</v>
      </c>
      <c r="AG18" s="45">
        <f>IF($B18-'[4]29'!AF18&lt;0,0,$B18-'[4]29'!AF18)</f>
        <v>0.5</v>
      </c>
      <c r="AH18" s="51">
        <v>38.46</v>
      </c>
      <c r="AI18" s="48">
        <f t="shared" si="2"/>
        <v>4.5</v>
      </c>
      <c r="AJ18" s="49">
        <f t="shared" si="3"/>
        <v>0</v>
      </c>
      <c r="AL18" s="170"/>
      <c r="AM18" s="28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</row>
    <row r="19" spans="1:89" x14ac:dyDescent="0.25">
      <c r="A19" s="44" t="s">
        <v>256</v>
      </c>
      <c r="B19" s="45">
        <v>22</v>
      </c>
      <c r="C19" s="45">
        <f>IF($B19-'[4]29'!B19&lt;0,0,$B19-'[4]29'!B19)</f>
        <v>0</v>
      </c>
      <c r="D19" s="45">
        <f>IF($B19-'[4]29'!C19&lt;0,0,$B19-'[4]29'!C19)</f>
        <v>0</v>
      </c>
      <c r="E19" s="45">
        <f>IF($B19-'[4]29'!D19&lt;0,0,$B19-'[4]29'!D19)</f>
        <v>0</v>
      </c>
      <c r="F19" s="45">
        <f>IF($B19-'[4]29'!E19&lt;0,0,$B19-'[4]29'!E19)</f>
        <v>0</v>
      </c>
      <c r="G19" s="45">
        <f>IF($B19-'[4]29'!F19&lt;0,0,$B19-'[4]29'!F19)</f>
        <v>0</v>
      </c>
      <c r="H19" s="45">
        <f>IF($B19-'[4]29'!G19&lt;0,0,$B19-'[4]29'!G19)</f>
        <v>0</v>
      </c>
      <c r="I19" s="45">
        <f>IF($B19-'[4]29'!H19&lt;0,0,$B19-'[4]29'!H19)</f>
        <v>0</v>
      </c>
      <c r="J19" s="45">
        <f>IF($B19-'[4]29'!I19&lt;0,0,$B19-'[4]29'!I19)</f>
        <v>0</v>
      </c>
      <c r="K19" s="45">
        <f>IF($B19-'[4]29'!J19&lt;0,0,$B19-'[4]29'!J19)</f>
        <v>0</v>
      </c>
      <c r="L19" s="45">
        <f>IF($B19-'[4]29'!K19&lt;0,0,$B19-'[4]29'!K19)</f>
        <v>0</v>
      </c>
      <c r="M19" s="45">
        <f>IF($B19-'[4]29'!L19&lt;0,0,$B19-'[4]29'!L19)</f>
        <v>0</v>
      </c>
      <c r="N19" s="45">
        <f>IF($B19-'[4]29'!M19&lt;0,0,$B19-'[4]29'!M19)</f>
        <v>0</v>
      </c>
      <c r="O19" s="45">
        <f>IF($B19-'[4]29'!N19&lt;0,0,$B19-'[4]29'!N19)</f>
        <v>0</v>
      </c>
      <c r="P19" s="45">
        <f>IF($B19-'[4]29'!O19&lt;0,0,$B19-'[4]29'!O19)</f>
        <v>0</v>
      </c>
      <c r="Q19" s="45">
        <f>IF($B19-'[4]29'!P19&lt;0,0,$B19-'[4]29'!P19)</f>
        <v>0</v>
      </c>
      <c r="R19" s="45">
        <f>IF($B19-'[4]29'!Q19&lt;0,0,$B19-'[4]29'!Q19)</f>
        <v>0</v>
      </c>
      <c r="S19" s="45">
        <f>IF($B19-'[4]29'!R19&lt;0,0,$B19-'[4]29'!R19)</f>
        <v>0</v>
      </c>
      <c r="T19" s="45">
        <f>IF($B19-'[4]29'!S19&lt;0,0,$B19-'[4]29'!S19)</f>
        <v>0</v>
      </c>
      <c r="U19" s="45">
        <f>IF($B19-'[4]29'!T19&lt;0,0,$B19-'[4]29'!T19)</f>
        <v>0</v>
      </c>
      <c r="V19" s="45">
        <f>IF($B19-'[4]29'!U19&lt;0,0,$B19-'[4]29'!U19)</f>
        <v>0</v>
      </c>
      <c r="W19" s="45">
        <f>IF($B19-'[4]29'!V19&lt;0,0,$B19-'[4]29'!V19)</f>
        <v>0</v>
      </c>
      <c r="X19" s="45">
        <f>IF($B19-'[4]29'!W19&lt;0,0,$B19-'[4]29'!W19)</f>
        <v>0</v>
      </c>
      <c r="Y19" s="45">
        <f>IF($B19-'[4]29'!X19&lt;0,0,$B19-'[4]29'!X19)</f>
        <v>0</v>
      </c>
      <c r="Z19" s="45">
        <f>IF($B19-'[4]29'!Y19&lt;0,0,$B19-'[4]29'!Y19)</f>
        <v>0</v>
      </c>
      <c r="AA19" s="45">
        <f>IF($B19-'[4]29'!Z19&lt;0,0,$B19-'[4]29'!Z19)</f>
        <v>0</v>
      </c>
      <c r="AB19" s="45">
        <f>IF($B19-'[4]29'!AA19&lt;0,0,$B19-'[4]29'!AA19)</f>
        <v>0</v>
      </c>
      <c r="AC19" s="45">
        <f>IF($B19-'[4]29'!AB19&lt;0,0,$B19-'[4]29'!AB19)</f>
        <v>0</v>
      </c>
      <c r="AD19" s="45">
        <f>IF($B19-'[4]29'!AC19&lt;0,0,$B19-'[4]29'!AC19)</f>
        <v>0</v>
      </c>
      <c r="AE19" s="45">
        <f>IF($B19-'[4]29'!AD19&lt;0,0,$B19-'[4]29'!AD19)</f>
        <v>0</v>
      </c>
      <c r="AF19" s="45">
        <f>IF($B19-'[4]29'!AE19&lt;0,0,$B19-'[4]29'!AE19)</f>
        <v>0</v>
      </c>
      <c r="AG19" s="45">
        <f>IF($B19-'[4]29'!AF19&lt;0,0,$B19-'[4]29'!AF19)</f>
        <v>0</v>
      </c>
      <c r="AH19" s="51">
        <v>36</v>
      </c>
      <c r="AI19" s="48">
        <f t="shared" si="2"/>
        <v>0</v>
      </c>
      <c r="AJ19" s="49">
        <f t="shared" si="3"/>
        <v>0</v>
      </c>
      <c r="AL19" s="170"/>
      <c r="AM19" s="28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</row>
    <row r="20" spans="1:89" x14ac:dyDescent="0.25">
      <c r="A20" s="44" t="s">
        <v>23</v>
      </c>
      <c r="B20" s="45">
        <v>22</v>
      </c>
      <c r="C20" s="45">
        <f>IF($B20-'[4]29'!B20&lt;0,0,$B20-'[4]29'!B20)</f>
        <v>11.5</v>
      </c>
      <c r="D20" s="45">
        <f>IF($B20-'[4]29'!C20&lt;0,0,$B20-'[4]29'!C20)</f>
        <v>17</v>
      </c>
      <c r="E20" s="45">
        <f>IF($B20-'[4]29'!D20&lt;0,0,$B20-'[4]29'!D20)</f>
        <v>17</v>
      </c>
      <c r="F20" s="45">
        <f>IF($B20-'[4]29'!E20&lt;0,0,$B20-'[4]29'!E20)</f>
        <v>22</v>
      </c>
      <c r="G20" s="45">
        <f>IF($B20-'[4]29'!F20&lt;0,0,$B20-'[4]29'!F20)</f>
        <v>22</v>
      </c>
      <c r="H20" s="45">
        <f>IF($B20-'[4]29'!G20&lt;0,0,$B20-'[4]29'!G20)</f>
        <v>16.899999999999999</v>
      </c>
      <c r="I20" s="45">
        <f>IF($B20-'[4]29'!H20&lt;0,0,$B20-'[4]29'!H20)</f>
        <v>7</v>
      </c>
      <c r="J20" s="45">
        <f>IF($B20-'[4]29'!I20&lt;0,0,$B20-'[4]29'!I20)</f>
        <v>0</v>
      </c>
      <c r="K20" s="45">
        <f>IF($B20-'[4]29'!J20&lt;0,0,$B20-'[4]29'!J20)</f>
        <v>0</v>
      </c>
      <c r="L20" s="45">
        <f>IF($B20-'[4]29'!K20&lt;0,0,$B20-'[4]29'!K20)</f>
        <v>0</v>
      </c>
      <c r="M20" s="45">
        <f>IF($B20-'[4]29'!L20&lt;0,0,$B20-'[4]29'!L20)</f>
        <v>0</v>
      </c>
      <c r="N20" s="45">
        <f>IF($B20-'[4]29'!M20&lt;0,0,$B20-'[4]29'!M20)</f>
        <v>0</v>
      </c>
      <c r="O20" s="45">
        <f>IF($B20-'[4]29'!N20&lt;0,0,$B20-'[4]29'!N20)</f>
        <v>1.8000000000000007</v>
      </c>
      <c r="P20" s="45">
        <f>IF($B20-'[4]29'!O20&lt;0,0,$B20-'[4]29'!O20)</f>
        <v>1.8000000000000007</v>
      </c>
      <c r="Q20" s="45">
        <f>IF($B20-'[4]29'!P20&lt;0,0,$B20-'[4]29'!P20)</f>
        <v>6.4</v>
      </c>
      <c r="R20" s="45">
        <f>IF($B20-'[4]29'!Q20&lt;0,0,$B20-'[4]29'!Q20)</f>
        <v>15.3</v>
      </c>
      <c r="S20" s="45">
        <f>IF($B20-'[4]29'!R20&lt;0,0,$B20-'[4]29'!R20)</f>
        <v>15.3</v>
      </c>
      <c r="T20" s="45">
        <f>IF($B20-'[4]29'!S20&lt;0,0,$B20-'[4]29'!S20)</f>
        <v>15.3</v>
      </c>
      <c r="U20" s="45">
        <f>IF($B20-'[4]29'!T20&lt;0,0,$B20-'[4]29'!T20)</f>
        <v>15.3</v>
      </c>
      <c r="V20" s="45">
        <f>IF($B20-'[4]29'!U20&lt;0,0,$B20-'[4]29'!U20)</f>
        <v>15.3</v>
      </c>
      <c r="W20" s="45">
        <f>IF($B20-'[4]29'!V20&lt;0,0,$B20-'[4]29'!V20)</f>
        <v>15.3</v>
      </c>
      <c r="X20" s="45">
        <f>IF($B20-'[4]29'!W20&lt;0,0,$B20-'[4]29'!W20)</f>
        <v>15.3</v>
      </c>
      <c r="Y20" s="45">
        <f>IF($B20-'[4]29'!X20&lt;0,0,$B20-'[4]29'!X20)</f>
        <v>6.9</v>
      </c>
      <c r="Z20" s="45">
        <f>IF($B20-'[4]29'!Y20&lt;0,0,$B20-'[4]29'!Y20)</f>
        <v>6.9</v>
      </c>
      <c r="AA20" s="45">
        <f>IF($B20-'[4]29'!Z20&lt;0,0,$B20-'[4]29'!Z20)</f>
        <v>6.9</v>
      </c>
      <c r="AB20" s="45">
        <f>IF($B20-'[4]29'!AA20&lt;0,0,$B20-'[4]29'!AA20)</f>
        <v>6.9</v>
      </c>
      <c r="AC20" s="45">
        <f>IF($B20-'[4]29'!AB20&lt;0,0,$B20-'[4]29'!AB20)</f>
        <v>6.9</v>
      </c>
      <c r="AD20" s="45">
        <f>IF($B20-'[4]29'!AC20&lt;0,0,$B20-'[4]29'!AC20)</f>
        <v>3.8999999999999986</v>
      </c>
      <c r="AE20" s="45">
        <f>IF($B20-'[4]29'!AD20&lt;0,0,$B20-'[4]29'!AD20)</f>
        <v>12</v>
      </c>
      <c r="AF20" s="45">
        <f>IF($B20-'[4]29'!AE20&lt;0,0,$B20-'[4]29'!AE20)</f>
        <v>12</v>
      </c>
      <c r="AG20" s="45">
        <f>IF($B20-'[4]29'!AF20&lt;0,0,$B20-'[4]29'!AF20)</f>
        <v>17</v>
      </c>
      <c r="AH20" s="52">
        <v>30</v>
      </c>
      <c r="AI20" s="48">
        <f t="shared" si="2"/>
        <v>22</v>
      </c>
      <c r="AJ20" s="49">
        <f t="shared" si="3"/>
        <v>0</v>
      </c>
      <c r="AL20" s="170"/>
      <c r="AM20" s="28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</row>
    <row r="21" spans="1:89" x14ac:dyDescent="0.25">
      <c r="A21" s="44" t="s">
        <v>24</v>
      </c>
      <c r="B21" s="45">
        <v>18.8</v>
      </c>
      <c r="C21" s="45">
        <f>IF($B21-'[4]29'!B21&lt;0,0,$B21-'[4]29'!B21)</f>
        <v>0</v>
      </c>
      <c r="D21" s="45">
        <f>IF($B21-'[4]29'!C21&lt;0,0,$B21-'[4]29'!C21)</f>
        <v>0</v>
      </c>
      <c r="E21" s="45">
        <f>IF($B21-'[4]29'!D21&lt;0,0,$B21-'[4]29'!D21)</f>
        <v>0</v>
      </c>
      <c r="F21" s="45">
        <f>IF($B21-'[4]29'!E21&lt;0,0,$B21-'[4]29'!E21)</f>
        <v>0</v>
      </c>
      <c r="G21" s="45">
        <f>IF($B21-'[4]29'!F21&lt;0,0,$B21-'[4]29'!F21)</f>
        <v>0</v>
      </c>
      <c r="H21" s="45">
        <f>IF($B21-'[4]29'!G21&lt;0,0,$B21-'[4]29'!G21)</f>
        <v>0</v>
      </c>
      <c r="I21" s="45">
        <f>IF($B21-'[4]29'!H21&lt;0,0,$B21-'[4]29'!H21)</f>
        <v>0</v>
      </c>
      <c r="J21" s="45">
        <f>IF($B21-'[4]29'!I21&lt;0,0,$B21-'[4]29'!I21)</f>
        <v>0</v>
      </c>
      <c r="K21" s="45">
        <f>IF($B21-'[4]29'!J21&lt;0,0,$B21-'[4]29'!J21)</f>
        <v>0</v>
      </c>
      <c r="L21" s="45">
        <f>IF($B21-'[4]29'!K21&lt;0,0,$B21-'[4]29'!K21)</f>
        <v>0</v>
      </c>
      <c r="M21" s="45">
        <f>IF($B21-'[4]29'!L21&lt;0,0,$B21-'[4]29'!L21)</f>
        <v>0</v>
      </c>
      <c r="N21" s="45">
        <f>IF($B21-'[4]29'!M21&lt;0,0,$B21-'[4]29'!M21)</f>
        <v>0</v>
      </c>
      <c r="O21" s="45">
        <f>IF($B21-'[4]29'!N21&lt;0,0,$B21-'[4]29'!N21)</f>
        <v>1.3000000000000007</v>
      </c>
      <c r="P21" s="45">
        <f>IF($B21-'[4]29'!O21&lt;0,0,$B21-'[4]29'!O21)</f>
        <v>1.3000000000000007</v>
      </c>
      <c r="Q21" s="45">
        <f>IF($B21-'[4]29'!P21&lt;0,0,$B21-'[4]29'!P21)</f>
        <v>1.8000000000000007</v>
      </c>
      <c r="R21" s="45">
        <f>IF($B21-'[4]29'!Q21&lt;0,0,$B21-'[4]29'!Q21)</f>
        <v>1.8000000000000007</v>
      </c>
      <c r="S21" s="45">
        <f>IF($B21-'[4]29'!R21&lt;0,0,$B21-'[4]29'!R21)</f>
        <v>1.8000000000000007</v>
      </c>
      <c r="T21" s="45">
        <f>IF($B21-'[4]29'!S21&lt;0,0,$B21-'[4]29'!S21)</f>
        <v>1.8000000000000007</v>
      </c>
      <c r="U21" s="45">
        <f>IF($B21-'[4]29'!T21&lt;0,0,$B21-'[4]29'!T21)</f>
        <v>1.8000000000000007</v>
      </c>
      <c r="V21" s="45">
        <f>IF($B21-'[4]29'!U21&lt;0,0,$B21-'[4]29'!U21)</f>
        <v>1.8000000000000007</v>
      </c>
      <c r="W21" s="45">
        <f>IF($B21-'[4]29'!V21&lt;0,0,$B21-'[4]29'!V21)</f>
        <v>1.8000000000000007</v>
      </c>
      <c r="X21" s="45">
        <f>IF($B21-'[4]29'!W21&lt;0,0,$B21-'[4]29'!W21)</f>
        <v>1.8000000000000007</v>
      </c>
      <c r="Y21" s="45">
        <f>IF($B21-'[4]29'!X21&lt;0,0,$B21-'[4]29'!X21)</f>
        <v>0</v>
      </c>
      <c r="Z21" s="45">
        <f>IF($B21-'[4]29'!Y21&lt;0,0,$B21-'[4]29'!Y21)</f>
        <v>0</v>
      </c>
      <c r="AA21" s="45">
        <f>IF($B21-'[4]29'!Z21&lt;0,0,$B21-'[4]29'!Z21)</f>
        <v>0</v>
      </c>
      <c r="AB21" s="45">
        <f>IF($B21-'[4]29'!AA21&lt;0,0,$B21-'[4]29'!AA21)</f>
        <v>0</v>
      </c>
      <c r="AC21" s="45">
        <f>IF($B21-'[4]29'!AB21&lt;0,0,$B21-'[4]29'!AB21)</f>
        <v>0</v>
      </c>
      <c r="AD21" s="45">
        <f>IF($B21-'[4]29'!AC21&lt;0,0,$B21-'[4]29'!AC21)</f>
        <v>1</v>
      </c>
      <c r="AE21" s="45">
        <f>IF($B21-'[4]29'!AD21&lt;0,0,$B21-'[4]29'!AD21)</f>
        <v>1</v>
      </c>
      <c r="AF21" s="45">
        <f>IF($B21-'[4]29'!AE21&lt;0,0,$B21-'[4]29'!AE21)</f>
        <v>1</v>
      </c>
      <c r="AG21" s="45">
        <f>IF($B21-'[4]29'!AF21&lt;0,0,$B21-'[4]29'!AF21)</f>
        <v>1</v>
      </c>
      <c r="AH21" s="51">
        <v>24.2</v>
      </c>
      <c r="AI21" s="48">
        <f t="shared" si="2"/>
        <v>1.8000000000000007</v>
      </c>
      <c r="AJ21" s="49">
        <f t="shared" si="3"/>
        <v>0</v>
      </c>
      <c r="AL21" s="170"/>
      <c r="AM21" s="28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</row>
    <row r="22" spans="1:89" x14ac:dyDescent="0.25">
      <c r="A22" s="44" t="s">
        <v>257</v>
      </c>
      <c r="B22" s="45">
        <v>20</v>
      </c>
      <c r="C22" s="45">
        <f>IF($B22-'[4]29'!B22&lt;0,0,$B22-'[4]29'!B22)</f>
        <v>0</v>
      </c>
      <c r="D22" s="45">
        <f>IF($B22-'[4]29'!C22&lt;0,0,$B22-'[4]29'!C22)</f>
        <v>0</v>
      </c>
      <c r="E22" s="45">
        <f>IF($B22-'[4]29'!D22&lt;0,0,$B22-'[4]29'!D22)</f>
        <v>0</v>
      </c>
      <c r="F22" s="45">
        <f>IF($B22-'[4]29'!E22&lt;0,0,$B22-'[4]29'!E22)</f>
        <v>0</v>
      </c>
      <c r="G22" s="45">
        <f>IF($B22-'[4]29'!F22&lt;0,0,$B22-'[4]29'!F22)</f>
        <v>0</v>
      </c>
      <c r="H22" s="45">
        <f>IF($B22-'[4]29'!G22&lt;0,0,$B22-'[4]29'!G22)</f>
        <v>0</v>
      </c>
      <c r="I22" s="45">
        <f>IF($B22-'[4]29'!H22&lt;0,0,$B22-'[4]29'!H22)</f>
        <v>0</v>
      </c>
      <c r="J22" s="45">
        <f>IF($B22-'[4]29'!I22&lt;0,0,$B22-'[4]29'!I22)</f>
        <v>0</v>
      </c>
      <c r="K22" s="45">
        <f>IF($B22-'[4]29'!J22&lt;0,0,$B22-'[4]29'!J22)</f>
        <v>0</v>
      </c>
      <c r="L22" s="45">
        <f>IF($B22-'[4]29'!K22&lt;0,0,$B22-'[4]29'!K22)</f>
        <v>0</v>
      </c>
      <c r="M22" s="45">
        <f>IF($B22-'[4]29'!L22&lt;0,0,$B22-'[4]29'!L22)</f>
        <v>0</v>
      </c>
      <c r="N22" s="45">
        <f>IF($B22-'[4]29'!M22&lt;0,0,$B22-'[4]29'!M22)</f>
        <v>0</v>
      </c>
      <c r="O22" s="45">
        <f>IF($B22-'[4]29'!N22&lt;0,0,$B22-'[4]29'!N22)</f>
        <v>0</v>
      </c>
      <c r="P22" s="45">
        <f>IF($B22-'[4]29'!O22&lt;0,0,$B22-'[4]29'!O22)</f>
        <v>0</v>
      </c>
      <c r="Q22" s="45">
        <f>IF($B22-'[4]29'!P22&lt;0,0,$B22-'[4]29'!P22)</f>
        <v>0</v>
      </c>
      <c r="R22" s="45">
        <f>IF($B22-'[4]29'!Q22&lt;0,0,$B22-'[4]29'!Q22)</f>
        <v>0</v>
      </c>
      <c r="S22" s="45">
        <f>IF($B22-'[4]29'!R22&lt;0,0,$B22-'[4]29'!R22)</f>
        <v>0</v>
      </c>
      <c r="T22" s="45">
        <f>IF($B22-'[4]29'!S22&lt;0,0,$B22-'[4]29'!S22)</f>
        <v>0</v>
      </c>
      <c r="U22" s="45">
        <f>IF($B22-'[4]29'!T22&lt;0,0,$B22-'[4]29'!T22)</f>
        <v>0</v>
      </c>
      <c r="V22" s="45">
        <f>IF($B22-'[4]29'!U22&lt;0,0,$B22-'[4]29'!U22)</f>
        <v>0</v>
      </c>
      <c r="W22" s="45">
        <f>IF($B22-'[4]29'!V22&lt;0,0,$B22-'[4]29'!V22)</f>
        <v>0</v>
      </c>
      <c r="X22" s="45">
        <f>IF($B22-'[4]29'!W22&lt;0,0,$B22-'[4]29'!W22)</f>
        <v>0</v>
      </c>
      <c r="Y22" s="45">
        <f>IF($B22-'[4]29'!X22&lt;0,0,$B22-'[4]29'!X22)</f>
        <v>0</v>
      </c>
      <c r="Z22" s="45">
        <f>IF($B22-'[4]29'!Y22&lt;0,0,$B22-'[4]29'!Y22)</f>
        <v>0</v>
      </c>
      <c r="AA22" s="45">
        <f>IF($B22-'[4]29'!Z22&lt;0,0,$B22-'[4]29'!Z22)</f>
        <v>0</v>
      </c>
      <c r="AB22" s="45">
        <f>IF($B22-'[4]29'!AA22&lt;0,0,$B22-'[4]29'!AA22)</f>
        <v>0</v>
      </c>
      <c r="AC22" s="45">
        <f>IF($B22-'[4]29'!AB22&lt;0,0,$B22-'[4]29'!AB22)</f>
        <v>0</v>
      </c>
      <c r="AD22" s="45">
        <f>IF($B22-'[4]29'!AC22&lt;0,0,$B22-'[4]29'!AC22)</f>
        <v>0</v>
      </c>
      <c r="AE22" s="45">
        <f>IF($B22-'[4]29'!AD22&lt;0,0,$B22-'[4]29'!AD22)</f>
        <v>0</v>
      </c>
      <c r="AF22" s="45">
        <f>IF($B22-'[4]29'!AE22&lt;0,0,$B22-'[4]29'!AE22)</f>
        <v>0</v>
      </c>
      <c r="AG22" s="45">
        <f>IF($B22-'[4]29'!AF22&lt;0,0,$B22-'[4]29'!AF22)</f>
        <v>0</v>
      </c>
      <c r="AH22" s="51">
        <v>28</v>
      </c>
      <c r="AI22" s="48">
        <f t="shared" si="2"/>
        <v>0</v>
      </c>
      <c r="AJ22" s="49">
        <f t="shared" si="3"/>
        <v>0</v>
      </c>
      <c r="AL22" s="170"/>
      <c r="AM22" s="28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</row>
    <row r="23" spans="1:89" x14ac:dyDescent="0.25">
      <c r="A23" s="44" t="s">
        <v>25</v>
      </c>
      <c r="B23" s="45">
        <v>23</v>
      </c>
      <c r="C23" s="45">
        <f>IF($B23-'[4]29'!B23&lt;0,0,$B23-'[4]29'!B23)</f>
        <v>14</v>
      </c>
      <c r="D23" s="45">
        <f>IF($B23-'[4]29'!C23&lt;0,0,$B23-'[4]29'!C23)</f>
        <v>18.5</v>
      </c>
      <c r="E23" s="45">
        <f>IF($B23-'[4]29'!D23&lt;0,0,$B23-'[4]29'!D23)</f>
        <v>18.5</v>
      </c>
      <c r="F23" s="45">
        <f>IF($B23-'[4]29'!E23&lt;0,0,$B23-'[4]29'!E23)</f>
        <v>23</v>
      </c>
      <c r="G23" s="45">
        <f>IF($B23-'[4]29'!F23&lt;0,0,$B23-'[4]29'!F23)</f>
        <v>23</v>
      </c>
      <c r="H23" s="45">
        <f>IF($B23-'[4]29'!G23&lt;0,0,$B23-'[4]29'!G23)</f>
        <v>19.2</v>
      </c>
      <c r="I23" s="45">
        <f>IF($B23-'[4]29'!H23&lt;0,0,$B23-'[4]29'!H23)</f>
        <v>9.5</v>
      </c>
      <c r="J23" s="45">
        <f>IF($B23-'[4]29'!I23&lt;0,0,$B23-'[4]29'!I23)</f>
        <v>5</v>
      </c>
      <c r="K23" s="45">
        <f>IF($B23-'[4]29'!J23&lt;0,0,$B23-'[4]29'!J23)</f>
        <v>0</v>
      </c>
      <c r="L23" s="45">
        <f>IF($B23-'[4]29'!K23&lt;0,0,$B23-'[4]29'!K23)</f>
        <v>0</v>
      </c>
      <c r="M23" s="45">
        <f>IF($B23-'[4]29'!L23&lt;0,0,$B23-'[4]29'!L23)</f>
        <v>0</v>
      </c>
      <c r="N23" s="45">
        <f>IF($B23-'[4]29'!M23&lt;0,0,$B23-'[4]29'!M23)</f>
        <v>0</v>
      </c>
      <c r="O23" s="45">
        <f>IF($B23-'[4]29'!N23&lt;0,0,$B23-'[4]29'!N23)</f>
        <v>5.1999999999999993</v>
      </c>
      <c r="P23" s="45">
        <f>IF($B23-'[4]29'!O23&lt;0,0,$B23-'[4]29'!O23)</f>
        <v>5.1999999999999993</v>
      </c>
      <c r="Q23" s="45">
        <f>IF($B23-'[4]29'!P23&lt;0,0,$B23-'[4]29'!P23)</f>
        <v>8.6999999999999993</v>
      </c>
      <c r="R23" s="45">
        <f>IF($B23-'[4]29'!Q23&lt;0,0,$B23-'[4]29'!Q23)</f>
        <v>16.899999999999999</v>
      </c>
      <c r="S23" s="45">
        <f>IF($B23-'[4]29'!R23&lt;0,0,$B23-'[4]29'!R23)</f>
        <v>16.899999999999999</v>
      </c>
      <c r="T23" s="45">
        <f>IF($B23-'[4]29'!S23&lt;0,0,$B23-'[4]29'!S23)</f>
        <v>16.899999999999999</v>
      </c>
      <c r="U23" s="45">
        <f>IF($B23-'[4]29'!T23&lt;0,0,$B23-'[4]29'!T23)</f>
        <v>16.899999999999999</v>
      </c>
      <c r="V23" s="45">
        <f>IF($B23-'[4]29'!U23&lt;0,0,$B23-'[4]29'!U23)</f>
        <v>16.899999999999999</v>
      </c>
      <c r="W23" s="45">
        <f>IF($B23-'[4]29'!V23&lt;0,0,$B23-'[4]29'!V23)</f>
        <v>16.899999999999999</v>
      </c>
      <c r="X23" s="45">
        <f>IF($B23-'[4]29'!W23&lt;0,0,$B23-'[4]29'!W23)</f>
        <v>16.899999999999999</v>
      </c>
      <c r="Y23" s="45">
        <f>IF($B23-'[4]29'!X23&lt;0,0,$B23-'[4]29'!X23)</f>
        <v>9.5</v>
      </c>
      <c r="Z23" s="45">
        <f>IF($B23-'[4]29'!Y23&lt;0,0,$B23-'[4]29'!Y23)</f>
        <v>9.5</v>
      </c>
      <c r="AA23" s="45">
        <f>IF($B23-'[4]29'!Z23&lt;0,0,$B23-'[4]29'!Z23)</f>
        <v>9.5</v>
      </c>
      <c r="AB23" s="45">
        <f>IF($B23-'[4]29'!AA23&lt;0,0,$B23-'[4]29'!AA23)</f>
        <v>9.5</v>
      </c>
      <c r="AC23" s="45">
        <f>IF($B23-'[4]29'!AB23&lt;0,0,$B23-'[4]29'!AB23)</f>
        <v>7</v>
      </c>
      <c r="AD23" s="45">
        <f>IF($B23-'[4]29'!AC23&lt;0,0,$B23-'[4]29'!AC23)</f>
        <v>12.1</v>
      </c>
      <c r="AE23" s="45">
        <f>IF($B23-'[4]29'!AD23&lt;0,0,$B23-'[4]29'!AD23)</f>
        <v>12.1</v>
      </c>
      <c r="AF23" s="45">
        <f>IF($B23-'[4]29'!AE23&lt;0,0,$B23-'[4]29'!AE23)</f>
        <v>12.1</v>
      </c>
      <c r="AG23" s="45">
        <f>IF($B23-'[4]29'!AF23&lt;0,0,$B23-'[4]29'!AF23)</f>
        <v>18.5</v>
      </c>
      <c r="AH23" s="52">
        <v>30</v>
      </c>
      <c r="AI23" s="48">
        <f t="shared" si="2"/>
        <v>23</v>
      </c>
      <c r="AJ23" s="49">
        <f t="shared" si="3"/>
        <v>0</v>
      </c>
      <c r="AL23" s="170"/>
      <c r="AM23" s="28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</row>
    <row r="24" spans="1:89" x14ac:dyDescent="0.25">
      <c r="A24" s="44" t="s">
        <v>26</v>
      </c>
      <c r="B24" s="45">
        <v>22.3</v>
      </c>
      <c r="C24" s="45">
        <f>IF($B24-'[4]29'!B24&lt;0,0,$B24-'[4]29'!B24)</f>
        <v>3.1999999999999993</v>
      </c>
      <c r="D24" s="45">
        <f>IF($B24-'[4]29'!C24&lt;0,0,$B24-'[4]29'!C24)</f>
        <v>3.1999999999999993</v>
      </c>
      <c r="E24" s="45">
        <f>IF($B24-'[4]29'!D24&lt;0,0,$B24-'[4]29'!D24)</f>
        <v>3.1999999999999993</v>
      </c>
      <c r="F24" s="45">
        <f>IF($B24-'[4]29'!E24&lt;0,0,$B24-'[4]29'!E24)</f>
        <v>3.1999999999999993</v>
      </c>
      <c r="G24" s="45">
        <f>IF($B24-'[4]29'!F24&lt;0,0,$B24-'[4]29'!F24)</f>
        <v>3.1999999999999993</v>
      </c>
      <c r="H24" s="45">
        <f>IF($B24-'[4]29'!G24&lt;0,0,$B24-'[4]29'!G24)</f>
        <v>3.1999999999999993</v>
      </c>
      <c r="I24" s="45">
        <f>IF($B24-'[4]29'!H24&lt;0,0,$B24-'[4]29'!H24)</f>
        <v>3.1999999999999993</v>
      </c>
      <c r="J24" s="45">
        <f>IF($B24-'[4]29'!I24&lt;0,0,$B24-'[4]29'!I24)</f>
        <v>3.1999999999999993</v>
      </c>
      <c r="K24" s="45">
        <f>IF($B24-'[4]29'!J24&lt;0,0,$B24-'[4]29'!J24)</f>
        <v>3.1999999999999993</v>
      </c>
      <c r="L24" s="45">
        <f>IF($B24-'[4]29'!K24&lt;0,0,$B24-'[4]29'!K24)</f>
        <v>3.1999999999999993</v>
      </c>
      <c r="M24" s="45">
        <f>IF($B24-'[4]29'!L24&lt;0,0,$B24-'[4]29'!L24)</f>
        <v>3.1999999999999993</v>
      </c>
      <c r="N24" s="45">
        <f>IF($B24-'[4]29'!M24&lt;0,0,$B24-'[4]29'!M24)</f>
        <v>3.1999999999999993</v>
      </c>
      <c r="O24" s="45">
        <f>IF($B24-'[4]29'!N24&lt;0,0,$B24-'[4]29'!N24)</f>
        <v>3.1999999999999993</v>
      </c>
      <c r="P24" s="45">
        <f>IF($B24-'[4]29'!O24&lt;0,0,$B24-'[4]29'!O24)</f>
        <v>3.1999999999999993</v>
      </c>
      <c r="Q24" s="45">
        <f>IF($B24-'[4]29'!P24&lt;0,0,$B24-'[4]29'!P24)</f>
        <v>5.6000000000000014</v>
      </c>
      <c r="R24" s="45">
        <f>IF($B24-'[4]29'!Q24&lt;0,0,$B24-'[4]29'!Q24)</f>
        <v>5.6000000000000014</v>
      </c>
      <c r="S24" s="45">
        <f>IF($B24-'[4]29'!R24&lt;0,0,$B24-'[4]29'!R24)</f>
        <v>5.6000000000000014</v>
      </c>
      <c r="T24" s="45">
        <f>IF($B24-'[4]29'!S24&lt;0,0,$B24-'[4]29'!S24)</f>
        <v>5.6000000000000014</v>
      </c>
      <c r="U24" s="45">
        <f>IF($B24-'[4]29'!T24&lt;0,0,$B24-'[4]29'!T24)</f>
        <v>5.6000000000000014</v>
      </c>
      <c r="V24" s="45">
        <f>IF($B24-'[4]29'!U24&lt;0,0,$B24-'[4]29'!U24)</f>
        <v>5.6000000000000014</v>
      </c>
      <c r="W24" s="45">
        <f>IF($B24-'[4]29'!V24&lt;0,0,$B24-'[4]29'!V24)</f>
        <v>5.6000000000000014</v>
      </c>
      <c r="X24" s="45">
        <f>IF($B24-'[4]29'!W24&lt;0,0,$B24-'[4]29'!W24)</f>
        <v>5.6000000000000014</v>
      </c>
      <c r="Y24" s="45">
        <f>IF($B24-'[4]29'!X24&lt;0,0,$B24-'[4]29'!X24)</f>
        <v>3.1999999999999993</v>
      </c>
      <c r="Z24" s="45">
        <f>IF($B24-'[4]29'!Y24&lt;0,0,$B24-'[4]29'!Y24)</f>
        <v>3.1999999999999993</v>
      </c>
      <c r="AA24" s="45">
        <f>IF($B24-'[4]29'!Z24&lt;0,0,$B24-'[4]29'!Z24)</f>
        <v>3.1999999999999993</v>
      </c>
      <c r="AB24" s="45">
        <f>IF($B24-'[4]29'!AA24&lt;0,0,$B24-'[4]29'!AA24)</f>
        <v>3.1999999999999993</v>
      </c>
      <c r="AC24" s="45">
        <f>IF($B24-'[4]29'!AB24&lt;0,0,$B24-'[4]29'!AB24)</f>
        <v>3.1999999999999993</v>
      </c>
      <c r="AD24" s="45">
        <f>IF($B24-'[4]29'!AC24&lt;0,0,$B24-'[4]29'!AC24)</f>
        <v>1.8000000000000007</v>
      </c>
      <c r="AE24" s="45">
        <f>IF($B24-'[4]29'!AD24&lt;0,0,$B24-'[4]29'!AD24)</f>
        <v>1.8000000000000007</v>
      </c>
      <c r="AF24" s="45">
        <f>IF($B24-'[4]29'!AE24&lt;0,0,$B24-'[4]29'!AE24)</f>
        <v>1.8000000000000007</v>
      </c>
      <c r="AG24" s="45">
        <f>IF($B24-'[4]29'!AF24&lt;0,0,$B24-'[4]29'!AF24)</f>
        <v>1.8000000000000007</v>
      </c>
      <c r="AH24" s="51">
        <v>25</v>
      </c>
      <c r="AI24" s="48">
        <f t="shared" si="2"/>
        <v>5.6000000000000014</v>
      </c>
      <c r="AJ24" s="49">
        <f t="shared" si="3"/>
        <v>1.8000000000000007</v>
      </c>
      <c r="AL24" s="170"/>
      <c r="AM24" s="28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</row>
    <row r="25" spans="1:89" x14ac:dyDescent="0.25">
      <c r="A25" s="44" t="s">
        <v>27</v>
      </c>
      <c r="B25" s="45">
        <v>0</v>
      </c>
      <c r="C25" s="45">
        <f>IF($B25-'[4]29'!B25&lt;0,0,$B25-'[4]29'!B25)</f>
        <v>0</v>
      </c>
      <c r="D25" s="45">
        <f>IF($B25-'[4]29'!C25&lt;0,0,$B25-'[4]29'!C25)</f>
        <v>0</v>
      </c>
      <c r="E25" s="45">
        <f>IF($B25-'[4]29'!D25&lt;0,0,$B25-'[4]29'!D25)</f>
        <v>0</v>
      </c>
      <c r="F25" s="45">
        <f>IF($B25-'[4]29'!E25&lt;0,0,$B25-'[4]29'!E25)</f>
        <v>0</v>
      </c>
      <c r="G25" s="45">
        <f>IF($B25-'[4]29'!F25&lt;0,0,$B25-'[4]29'!F25)</f>
        <v>0</v>
      </c>
      <c r="H25" s="45">
        <f>IF($B25-'[4]29'!G25&lt;0,0,$B25-'[4]29'!G25)</f>
        <v>0</v>
      </c>
      <c r="I25" s="45">
        <f>IF($B25-'[4]29'!H25&lt;0,0,$B25-'[4]29'!H25)</f>
        <v>0</v>
      </c>
      <c r="J25" s="45">
        <f>IF($B25-'[4]29'!I25&lt;0,0,$B25-'[4]29'!I25)</f>
        <v>0</v>
      </c>
      <c r="K25" s="45">
        <f>IF($B25-'[4]29'!J25&lt;0,0,$B25-'[4]29'!J25)</f>
        <v>0</v>
      </c>
      <c r="L25" s="45">
        <f>IF($B25-'[4]29'!K25&lt;0,0,$B25-'[4]29'!K25)</f>
        <v>0</v>
      </c>
      <c r="M25" s="45">
        <f>IF($B25-'[4]29'!L25&lt;0,0,$B25-'[4]29'!L25)</f>
        <v>0</v>
      </c>
      <c r="N25" s="45">
        <f>IF($B25-'[4]29'!M25&lt;0,0,$B25-'[4]29'!M25)</f>
        <v>0</v>
      </c>
      <c r="O25" s="45">
        <f>IF($B25-'[4]29'!N25&lt;0,0,$B25-'[4]29'!N25)</f>
        <v>0</v>
      </c>
      <c r="P25" s="45">
        <f>IF($B25-'[4]29'!O25&lt;0,0,$B25-'[4]29'!O25)</f>
        <v>0</v>
      </c>
      <c r="Q25" s="45">
        <f>IF($B25-'[4]29'!P25&lt;0,0,$B25-'[4]29'!P25)</f>
        <v>0</v>
      </c>
      <c r="R25" s="45">
        <f>IF($B25-'[4]29'!Q25&lt;0,0,$B25-'[4]29'!Q25)</f>
        <v>0</v>
      </c>
      <c r="S25" s="45">
        <f>IF($B25-'[4]29'!R25&lt;0,0,$B25-'[4]29'!R25)</f>
        <v>0</v>
      </c>
      <c r="T25" s="45">
        <f>IF($B25-'[4]29'!S25&lt;0,0,$B25-'[4]29'!S25)</f>
        <v>0</v>
      </c>
      <c r="U25" s="45">
        <f>IF($B25-'[4]29'!T25&lt;0,0,$B25-'[4]29'!T25)</f>
        <v>0</v>
      </c>
      <c r="V25" s="45">
        <f>IF($B25-'[4]29'!U25&lt;0,0,$B25-'[4]29'!U25)</f>
        <v>0</v>
      </c>
      <c r="W25" s="45">
        <f>IF($B25-'[4]29'!V25&lt;0,0,$B25-'[4]29'!V25)</f>
        <v>0</v>
      </c>
      <c r="X25" s="45">
        <f>IF($B25-'[4]29'!W25&lt;0,0,$B25-'[4]29'!W25)</f>
        <v>0</v>
      </c>
      <c r="Y25" s="45">
        <f>IF($B25-'[4]29'!X25&lt;0,0,$B25-'[4]29'!X25)</f>
        <v>0</v>
      </c>
      <c r="Z25" s="45">
        <f>IF($B25-'[4]29'!Y25&lt;0,0,$B25-'[4]29'!Y25)</f>
        <v>0</v>
      </c>
      <c r="AA25" s="45">
        <f>IF($B25-'[4]29'!Z25&lt;0,0,$B25-'[4]29'!Z25)</f>
        <v>0</v>
      </c>
      <c r="AB25" s="45">
        <f>IF($B25-'[4]29'!AA25&lt;0,0,$B25-'[4]29'!AA25)</f>
        <v>0</v>
      </c>
      <c r="AC25" s="45">
        <f>IF($B25-'[4]29'!AB25&lt;0,0,$B25-'[4]29'!AB25)</f>
        <v>0</v>
      </c>
      <c r="AD25" s="45">
        <f>IF($B25-'[4]29'!AC25&lt;0,0,$B25-'[4]29'!AC25)</f>
        <v>0</v>
      </c>
      <c r="AE25" s="45">
        <f>IF($B25-'[4]29'!AD25&lt;0,0,$B25-'[4]29'!AD25)</f>
        <v>0</v>
      </c>
      <c r="AF25" s="45">
        <f>IF($B25-'[4]29'!AE25&lt;0,0,$B25-'[4]29'!AE25)</f>
        <v>0</v>
      </c>
      <c r="AG25" s="45">
        <f>IF($B25-'[4]29'!AF25&lt;0,0,$B25-'[4]29'!AF25)</f>
        <v>0</v>
      </c>
      <c r="AH25" s="51">
        <v>25</v>
      </c>
      <c r="AI25" s="48">
        <f t="shared" si="2"/>
        <v>0</v>
      </c>
      <c r="AJ25" s="49">
        <f t="shared" si="3"/>
        <v>0</v>
      </c>
      <c r="AL25" s="170"/>
      <c r="AM25" s="28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</row>
    <row r="26" spans="1:89" x14ac:dyDescent="0.25">
      <c r="A26" s="44" t="s">
        <v>28</v>
      </c>
      <c r="B26" s="45">
        <v>19</v>
      </c>
      <c r="C26" s="45">
        <f>IF($B26-'[4]29'!B26&lt;0,0,$B26-'[4]29'!B26)</f>
        <v>0</v>
      </c>
      <c r="D26" s="45">
        <f>IF($B26-'[4]29'!C26&lt;0,0,$B26-'[4]29'!C26)</f>
        <v>0</v>
      </c>
      <c r="E26" s="45">
        <f>IF($B26-'[4]29'!D26&lt;0,0,$B26-'[4]29'!D26)</f>
        <v>0</v>
      </c>
      <c r="F26" s="45">
        <f>IF($B26-'[4]29'!E26&lt;0,0,$B26-'[4]29'!E26)</f>
        <v>0</v>
      </c>
      <c r="G26" s="45">
        <f>IF($B26-'[4]29'!F26&lt;0,0,$B26-'[4]29'!F26)</f>
        <v>0</v>
      </c>
      <c r="H26" s="45">
        <f>IF($B26-'[4]29'!G26&lt;0,0,$B26-'[4]29'!G26)</f>
        <v>0</v>
      </c>
      <c r="I26" s="45">
        <f>IF($B26-'[4]29'!H26&lt;0,0,$B26-'[4]29'!H26)</f>
        <v>0</v>
      </c>
      <c r="J26" s="45">
        <f>IF($B26-'[4]29'!I26&lt;0,0,$B26-'[4]29'!I26)</f>
        <v>0</v>
      </c>
      <c r="K26" s="45">
        <f>IF($B26-'[4]29'!J26&lt;0,0,$B26-'[4]29'!J26)</f>
        <v>0</v>
      </c>
      <c r="L26" s="45">
        <f>IF($B26-'[4]29'!K26&lt;0,0,$B26-'[4]29'!K26)</f>
        <v>0</v>
      </c>
      <c r="M26" s="45">
        <f>IF($B26-'[4]29'!L26&lt;0,0,$B26-'[4]29'!L26)</f>
        <v>0</v>
      </c>
      <c r="N26" s="45">
        <f>IF($B26-'[4]29'!M26&lt;0,0,$B26-'[4]29'!M26)</f>
        <v>0</v>
      </c>
      <c r="O26" s="45">
        <f>IF($B26-'[4]29'!N26&lt;0,0,$B26-'[4]29'!N26)</f>
        <v>0</v>
      </c>
      <c r="P26" s="45">
        <f>IF($B26-'[4]29'!O26&lt;0,0,$B26-'[4]29'!O26)</f>
        <v>0</v>
      </c>
      <c r="Q26" s="45">
        <f>IF($B26-'[4]29'!P26&lt;0,0,$B26-'[4]29'!P26)</f>
        <v>0</v>
      </c>
      <c r="R26" s="45">
        <f>IF($B26-'[4]29'!Q26&lt;0,0,$B26-'[4]29'!Q26)</f>
        <v>0</v>
      </c>
      <c r="S26" s="45">
        <f>IF($B26-'[4]29'!R26&lt;0,0,$B26-'[4]29'!R26)</f>
        <v>0</v>
      </c>
      <c r="T26" s="45">
        <f>IF($B26-'[4]29'!S26&lt;0,0,$B26-'[4]29'!S26)</f>
        <v>0</v>
      </c>
      <c r="U26" s="45">
        <f>IF($B26-'[4]29'!T26&lt;0,0,$B26-'[4]29'!T26)</f>
        <v>0</v>
      </c>
      <c r="V26" s="45">
        <f>IF($B26-'[4]29'!U26&lt;0,0,$B26-'[4]29'!U26)</f>
        <v>0</v>
      </c>
      <c r="W26" s="45">
        <f>IF($B26-'[4]29'!V26&lt;0,0,$B26-'[4]29'!V26)</f>
        <v>0</v>
      </c>
      <c r="X26" s="45">
        <f>IF($B26-'[4]29'!W26&lt;0,0,$B26-'[4]29'!W26)</f>
        <v>0</v>
      </c>
      <c r="Y26" s="45">
        <f>IF($B26-'[4]29'!X26&lt;0,0,$B26-'[4]29'!X26)</f>
        <v>0</v>
      </c>
      <c r="Z26" s="45">
        <f>IF($B26-'[4]29'!Y26&lt;0,0,$B26-'[4]29'!Y26)</f>
        <v>0</v>
      </c>
      <c r="AA26" s="45">
        <f>IF($B26-'[4]29'!Z26&lt;0,0,$B26-'[4]29'!Z26)</f>
        <v>0</v>
      </c>
      <c r="AB26" s="45">
        <f>IF($B26-'[4]29'!AA26&lt;0,0,$B26-'[4]29'!AA26)</f>
        <v>0</v>
      </c>
      <c r="AC26" s="45">
        <f>IF($B26-'[4]29'!AB26&lt;0,0,$B26-'[4]29'!AB26)</f>
        <v>0</v>
      </c>
      <c r="AD26" s="45">
        <f>IF($B26-'[4]29'!AC26&lt;0,0,$B26-'[4]29'!AC26)</f>
        <v>0</v>
      </c>
      <c r="AE26" s="45">
        <f>IF($B26-'[4]29'!AD26&lt;0,0,$B26-'[4]29'!AD26)</f>
        <v>0</v>
      </c>
      <c r="AF26" s="45">
        <f>IF($B26-'[4]29'!AE26&lt;0,0,$B26-'[4]29'!AE26)</f>
        <v>0</v>
      </c>
      <c r="AG26" s="45">
        <f>IF($B26-'[4]29'!AF26&lt;0,0,$B26-'[4]29'!AF26)</f>
        <v>0</v>
      </c>
      <c r="AH26" s="51">
        <v>25</v>
      </c>
      <c r="AI26" s="48">
        <f t="shared" si="2"/>
        <v>0</v>
      </c>
      <c r="AJ26" s="49">
        <f t="shared" si="3"/>
        <v>0</v>
      </c>
      <c r="AL26" s="170"/>
      <c r="AM26" s="28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</row>
    <row r="27" spans="1:89" x14ac:dyDescent="0.25">
      <c r="A27" s="44" t="s">
        <v>258</v>
      </c>
      <c r="B27" s="45">
        <v>22</v>
      </c>
      <c r="C27" s="45">
        <f>IF($B27-'[4]29'!B27&lt;0,0,$B27-'[4]29'!B27)</f>
        <v>17.5</v>
      </c>
      <c r="D27" s="45">
        <f>IF($B27-'[4]29'!C27&lt;0,0,$B27-'[4]29'!C27)</f>
        <v>17.5</v>
      </c>
      <c r="E27" s="45">
        <f>IF($B27-'[4]29'!D27&lt;0,0,$B27-'[4]29'!D27)</f>
        <v>17.5</v>
      </c>
      <c r="F27" s="45">
        <f>IF($B27-'[4]29'!E27&lt;0,0,$B27-'[4]29'!E27)</f>
        <v>22</v>
      </c>
      <c r="G27" s="45">
        <f>IF($B27-'[4]29'!F27&lt;0,0,$B27-'[4]29'!F27)</f>
        <v>22</v>
      </c>
      <c r="H27" s="45">
        <f>IF($B27-'[4]29'!G27&lt;0,0,$B27-'[4]29'!G27)</f>
        <v>17.899999999999999</v>
      </c>
      <c r="I27" s="45">
        <f>IF($B27-'[4]29'!H27&lt;0,0,$B27-'[4]29'!H27)</f>
        <v>9.5</v>
      </c>
      <c r="J27" s="45">
        <f>IF($B27-'[4]29'!I27&lt;0,0,$B27-'[4]29'!I27)</f>
        <v>2</v>
      </c>
      <c r="K27" s="45">
        <f>IF($B27-'[4]29'!J27&lt;0,0,$B27-'[4]29'!J27)</f>
        <v>0</v>
      </c>
      <c r="L27" s="45">
        <f>IF($B27-'[4]29'!K27&lt;0,0,$B27-'[4]29'!K27)</f>
        <v>0</v>
      </c>
      <c r="M27" s="45">
        <f>IF($B27-'[4]29'!L27&lt;0,0,$B27-'[4]29'!L27)</f>
        <v>0</v>
      </c>
      <c r="N27" s="45">
        <f>IF($B27-'[4]29'!M27&lt;0,0,$B27-'[4]29'!M27)</f>
        <v>0</v>
      </c>
      <c r="O27" s="45">
        <f>IF($B27-'[4]29'!N27&lt;0,0,$B27-'[4]29'!N27)</f>
        <v>3</v>
      </c>
      <c r="P27" s="45">
        <f>IF($B27-'[4]29'!O27&lt;0,0,$B27-'[4]29'!O27)</f>
        <v>3</v>
      </c>
      <c r="Q27" s="45">
        <f>IF($B27-'[4]29'!P27&lt;0,0,$B27-'[4]29'!P27)</f>
        <v>9.5</v>
      </c>
      <c r="R27" s="45">
        <f>IF($B27-'[4]29'!Q27&lt;0,0,$B27-'[4]29'!Q27)</f>
        <v>17.5</v>
      </c>
      <c r="S27" s="45">
        <f>IF($B27-'[4]29'!R27&lt;0,0,$B27-'[4]29'!R27)</f>
        <v>17.5</v>
      </c>
      <c r="T27" s="45">
        <f>IF($B27-'[4]29'!S27&lt;0,0,$B27-'[4]29'!S27)</f>
        <v>17.5</v>
      </c>
      <c r="U27" s="45">
        <f>IF($B27-'[4]29'!T27&lt;0,0,$B27-'[4]29'!T27)</f>
        <v>17.5</v>
      </c>
      <c r="V27" s="45">
        <f>IF($B27-'[4]29'!U27&lt;0,0,$B27-'[4]29'!U27)</f>
        <v>17.5</v>
      </c>
      <c r="W27" s="45">
        <f>IF($B27-'[4]29'!V27&lt;0,0,$B27-'[4]29'!V27)</f>
        <v>17.5</v>
      </c>
      <c r="X27" s="45">
        <f>IF($B27-'[4]29'!W27&lt;0,0,$B27-'[4]29'!W27)</f>
        <v>17.5</v>
      </c>
      <c r="Y27" s="45">
        <f>IF($B27-'[4]29'!X27&lt;0,0,$B27-'[4]29'!X27)</f>
        <v>9.5</v>
      </c>
      <c r="Z27" s="45">
        <f>IF($B27-'[4]29'!Y27&lt;0,0,$B27-'[4]29'!Y27)</f>
        <v>9.5</v>
      </c>
      <c r="AA27" s="45">
        <f>IF($B27-'[4]29'!Z27&lt;0,0,$B27-'[4]29'!Z27)</f>
        <v>9.5</v>
      </c>
      <c r="AB27" s="45">
        <f>IF($B27-'[4]29'!AA27&lt;0,0,$B27-'[4]29'!AA27)</f>
        <v>9.5</v>
      </c>
      <c r="AC27" s="45">
        <f>IF($B27-'[4]29'!AB27&lt;0,0,$B27-'[4]29'!AB27)</f>
        <v>7</v>
      </c>
      <c r="AD27" s="45">
        <f>IF($B27-'[4]29'!AC27&lt;0,0,$B27-'[4]29'!AC27)</f>
        <v>13.5</v>
      </c>
      <c r="AE27" s="45">
        <f>IF($B27-'[4]29'!AD27&lt;0,0,$B27-'[4]29'!AD27)</f>
        <v>13.5</v>
      </c>
      <c r="AF27" s="45">
        <f>IF($B27-'[4]29'!AE27&lt;0,0,$B27-'[4]29'!AE27)</f>
        <v>13.5</v>
      </c>
      <c r="AG27" s="45">
        <f>IF($B27-'[4]29'!AF27&lt;0,0,$B27-'[4]29'!AF27)</f>
        <v>17.5</v>
      </c>
      <c r="AH27" s="51">
        <v>25</v>
      </c>
      <c r="AI27" s="48">
        <f t="shared" si="2"/>
        <v>22</v>
      </c>
      <c r="AJ27" s="49">
        <f t="shared" si="3"/>
        <v>0</v>
      </c>
      <c r="AL27" s="170"/>
      <c r="AM27" s="28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</row>
    <row r="28" spans="1:89" x14ac:dyDescent="0.25">
      <c r="A28" s="44" t="s">
        <v>29</v>
      </c>
      <c r="B28" s="45">
        <v>18</v>
      </c>
      <c r="C28" s="45">
        <f>IF($B28-'[4]29'!B28&lt;0,0,$B28-'[4]29'!B28)</f>
        <v>0</v>
      </c>
      <c r="D28" s="45">
        <f>IF($B28-'[4]29'!C28&lt;0,0,$B28-'[4]29'!C28)</f>
        <v>0</v>
      </c>
      <c r="E28" s="45">
        <f>IF($B28-'[4]29'!D28&lt;0,0,$B28-'[4]29'!D28)</f>
        <v>0</v>
      </c>
      <c r="F28" s="45">
        <f>IF($B28-'[4]29'!E28&lt;0,0,$B28-'[4]29'!E28)</f>
        <v>0</v>
      </c>
      <c r="G28" s="45">
        <f>IF($B28-'[4]29'!F28&lt;0,0,$B28-'[4]29'!F28)</f>
        <v>0</v>
      </c>
      <c r="H28" s="45">
        <f>IF($B28-'[4]29'!G28&lt;0,0,$B28-'[4]29'!G28)</f>
        <v>0</v>
      </c>
      <c r="I28" s="45">
        <f>IF($B28-'[4]29'!H28&lt;0,0,$B28-'[4]29'!H28)</f>
        <v>0</v>
      </c>
      <c r="J28" s="45">
        <f>IF($B28-'[4]29'!I28&lt;0,0,$B28-'[4]29'!I28)</f>
        <v>0</v>
      </c>
      <c r="K28" s="45">
        <f>IF($B28-'[4]29'!J28&lt;0,0,$B28-'[4]29'!J28)</f>
        <v>0</v>
      </c>
      <c r="L28" s="45">
        <f>IF($B28-'[4]29'!K28&lt;0,0,$B28-'[4]29'!K28)</f>
        <v>0</v>
      </c>
      <c r="M28" s="45">
        <f>IF($B28-'[4]29'!L28&lt;0,0,$B28-'[4]29'!L28)</f>
        <v>0</v>
      </c>
      <c r="N28" s="45">
        <f>IF($B28-'[4]29'!M28&lt;0,0,$B28-'[4]29'!M28)</f>
        <v>0</v>
      </c>
      <c r="O28" s="45">
        <f>IF($B28-'[4]29'!N28&lt;0,0,$B28-'[4]29'!N28)</f>
        <v>2.0999999999999996</v>
      </c>
      <c r="P28" s="45">
        <f>IF($B28-'[4]29'!O28&lt;0,0,$B28-'[4]29'!O28)</f>
        <v>2.0999999999999996</v>
      </c>
      <c r="Q28" s="45">
        <f>IF($B28-'[4]29'!P28&lt;0,0,$B28-'[4]29'!P28)</f>
        <v>0.19999999999999929</v>
      </c>
      <c r="R28" s="45">
        <f>IF($B28-'[4]29'!Q28&lt;0,0,$B28-'[4]29'!Q28)</f>
        <v>0.19999999999999929</v>
      </c>
      <c r="S28" s="45">
        <f>IF($B28-'[4]29'!R28&lt;0,0,$B28-'[4]29'!R28)</f>
        <v>0.19999999999999929</v>
      </c>
      <c r="T28" s="45">
        <f>IF($B28-'[4]29'!S28&lt;0,0,$B28-'[4]29'!S28)</f>
        <v>0.19999999999999929</v>
      </c>
      <c r="U28" s="45">
        <f>IF($B28-'[4]29'!T28&lt;0,0,$B28-'[4]29'!T28)</f>
        <v>0.19999999999999929</v>
      </c>
      <c r="V28" s="45">
        <f>IF($B28-'[4]29'!U28&lt;0,0,$B28-'[4]29'!U28)</f>
        <v>0.19999999999999929</v>
      </c>
      <c r="W28" s="45">
        <f>IF($B28-'[4]29'!V28&lt;0,0,$B28-'[4]29'!V28)</f>
        <v>0.19999999999999929</v>
      </c>
      <c r="X28" s="45">
        <f>IF($B28-'[4]29'!W28&lt;0,0,$B28-'[4]29'!W28)</f>
        <v>0.19999999999999929</v>
      </c>
      <c r="Y28" s="45">
        <f>IF($B28-'[4]29'!X28&lt;0,0,$B28-'[4]29'!X28)</f>
        <v>0</v>
      </c>
      <c r="Z28" s="45">
        <f>IF($B28-'[4]29'!Y28&lt;0,0,$B28-'[4]29'!Y28)</f>
        <v>0</v>
      </c>
      <c r="AA28" s="45">
        <f>IF($B28-'[4]29'!Z28&lt;0,0,$B28-'[4]29'!Z28)</f>
        <v>0</v>
      </c>
      <c r="AB28" s="45">
        <f>IF($B28-'[4]29'!AA28&lt;0,0,$B28-'[4]29'!AA28)</f>
        <v>0</v>
      </c>
      <c r="AC28" s="45">
        <f>IF($B28-'[4]29'!AB28&lt;0,0,$B28-'[4]29'!AB28)</f>
        <v>0</v>
      </c>
      <c r="AD28" s="45">
        <f>IF($B28-'[4]29'!AC28&lt;0,0,$B28-'[4]29'!AC28)</f>
        <v>1.1000000000000014</v>
      </c>
      <c r="AE28" s="45">
        <f>IF($B28-'[4]29'!AD28&lt;0,0,$B28-'[4]29'!AD28)</f>
        <v>1.1000000000000014</v>
      </c>
      <c r="AF28" s="45">
        <f>IF($B28-'[4]29'!AE28&lt;0,0,$B28-'[4]29'!AE28)</f>
        <v>1.1000000000000014</v>
      </c>
      <c r="AG28" s="45">
        <f>IF($B28-'[4]29'!AF28&lt;0,0,$B28-'[4]29'!AF28)</f>
        <v>1.1000000000000014</v>
      </c>
      <c r="AH28" s="51">
        <v>23.5</v>
      </c>
      <c r="AI28" s="48">
        <f t="shared" si="2"/>
        <v>2.0999999999999996</v>
      </c>
      <c r="AJ28" s="49">
        <f t="shared" si="3"/>
        <v>0</v>
      </c>
      <c r="AL28" s="170"/>
      <c r="AM28" s="28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</row>
    <row r="29" spans="1:89" x14ac:dyDescent="0.25">
      <c r="A29" s="44" t="s">
        <v>30</v>
      </c>
      <c r="B29" s="45">
        <v>11</v>
      </c>
      <c r="C29" s="45">
        <f>IF($B29-'[4]29'!B29&lt;0,0,$B29-'[4]29'!B29)</f>
        <v>0</v>
      </c>
      <c r="D29" s="45">
        <f>IF($B29-'[4]29'!C29&lt;0,0,$B29-'[4]29'!C29)</f>
        <v>0</v>
      </c>
      <c r="E29" s="45">
        <f>IF($B29-'[4]29'!D29&lt;0,0,$B29-'[4]29'!D29)</f>
        <v>0</v>
      </c>
      <c r="F29" s="45">
        <f>IF($B29-'[4]29'!E29&lt;0,0,$B29-'[4]29'!E29)</f>
        <v>0</v>
      </c>
      <c r="G29" s="45">
        <f>IF($B29-'[4]29'!F29&lt;0,0,$B29-'[4]29'!F29)</f>
        <v>0</v>
      </c>
      <c r="H29" s="45">
        <f>IF($B29-'[4]29'!G29&lt;0,0,$B29-'[4]29'!G29)</f>
        <v>0</v>
      </c>
      <c r="I29" s="45">
        <f>IF($B29-'[4]29'!H29&lt;0,0,$B29-'[4]29'!H29)</f>
        <v>0</v>
      </c>
      <c r="J29" s="45">
        <f>IF($B29-'[4]29'!I29&lt;0,0,$B29-'[4]29'!I29)</f>
        <v>0</v>
      </c>
      <c r="K29" s="45">
        <f>IF($B29-'[4]29'!J29&lt;0,0,$B29-'[4]29'!J29)</f>
        <v>0</v>
      </c>
      <c r="L29" s="45">
        <f>IF($B29-'[4]29'!K29&lt;0,0,$B29-'[4]29'!K29)</f>
        <v>0</v>
      </c>
      <c r="M29" s="45">
        <f>IF($B29-'[4]29'!L29&lt;0,0,$B29-'[4]29'!L29)</f>
        <v>0</v>
      </c>
      <c r="N29" s="45">
        <f>IF($B29-'[4]29'!M29&lt;0,0,$B29-'[4]29'!M29)</f>
        <v>0</v>
      </c>
      <c r="O29" s="45">
        <f>IF($B29-'[4]29'!N29&lt;0,0,$B29-'[4]29'!N29)</f>
        <v>0</v>
      </c>
      <c r="P29" s="45">
        <f>IF($B29-'[4]29'!O29&lt;0,0,$B29-'[4]29'!O29)</f>
        <v>0</v>
      </c>
      <c r="Q29" s="45">
        <f>IF($B29-'[4]29'!P29&lt;0,0,$B29-'[4]29'!P29)</f>
        <v>0</v>
      </c>
      <c r="R29" s="45">
        <f>IF($B29-'[4]29'!Q29&lt;0,0,$B29-'[4]29'!Q29)</f>
        <v>0</v>
      </c>
      <c r="S29" s="45">
        <f>IF($B29-'[4]29'!R29&lt;0,0,$B29-'[4]29'!R29)</f>
        <v>0</v>
      </c>
      <c r="T29" s="45">
        <f>IF($B29-'[4]29'!S29&lt;0,0,$B29-'[4]29'!S29)</f>
        <v>0</v>
      </c>
      <c r="U29" s="45">
        <f>IF($B29-'[4]29'!T29&lt;0,0,$B29-'[4]29'!T29)</f>
        <v>0</v>
      </c>
      <c r="V29" s="45">
        <f>IF($B29-'[4]29'!U29&lt;0,0,$B29-'[4]29'!U29)</f>
        <v>0</v>
      </c>
      <c r="W29" s="45">
        <f>IF($B29-'[4]29'!V29&lt;0,0,$B29-'[4]29'!V29)</f>
        <v>0</v>
      </c>
      <c r="X29" s="45">
        <f>IF($B29-'[4]29'!W29&lt;0,0,$B29-'[4]29'!W29)</f>
        <v>0</v>
      </c>
      <c r="Y29" s="45">
        <f>IF($B29-'[4]29'!X29&lt;0,0,$B29-'[4]29'!X29)</f>
        <v>0</v>
      </c>
      <c r="Z29" s="45">
        <f>IF($B29-'[4]29'!Y29&lt;0,0,$B29-'[4]29'!Y29)</f>
        <v>0</v>
      </c>
      <c r="AA29" s="45">
        <f>IF($B29-'[4]29'!Z29&lt;0,0,$B29-'[4]29'!Z29)</f>
        <v>0</v>
      </c>
      <c r="AB29" s="45">
        <f>IF($B29-'[4]29'!AA29&lt;0,0,$B29-'[4]29'!AA29)</f>
        <v>0</v>
      </c>
      <c r="AC29" s="45">
        <f>IF($B29-'[4]29'!AB29&lt;0,0,$B29-'[4]29'!AB29)</f>
        <v>0</v>
      </c>
      <c r="AD29" s="45">
        <f>IF($B29-'[4]29'!AC29&lt;0,0,$B29-'[4]29'!AC29)</f>
        <v>0</v>
      </c>
      <c r="AE29" s="45">
        <f>IF($B29-'[4]29'!AD29&lt;0,0,$B29-'[4]29'!AD29)</f>
        <v>0</v>
      </c>
      <c r="AF29" s="45">
        <f>IF($B29-'[4]29'!AE29&lt;0,0,$B29-'[4]29'!AE29)</f>
        <v>0</v>
      </c>
      <c r="AG29" s="45">
        <f>IF($B29-'[4]29'!AF29&lt;0,0,$B29-'[4]29'!AF29)</f>
        <v>0</v>
      </c>
      <c r="AH29" s="51">
        <v>22.2</v>
      </c>
      <c r="AI29" s="48">
        <f t="shared" si="2"/>
        <v>0</v>
      </c>
      <c r="AJ29" s="49">
        <f t="shared" si="3"/>
        <v>0</v>
      </c>
      <c r="AL29" s="170"/>
      <c r="AM29" s="28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</row>
    <row r="30" spans="1:89" x14ac:dyDescent="0.25">
      <c r="A30" s="44" t="s">
        <v>31</v>
      </c>
      <c r="B30" s="45">
        <v>15</v>
      </c>
      <c r="C30" s="45">
        <f>IF($B30-'[4]29'!B30&lt;0,0,$B30-'[4]29'!B30)</f>
        <v>0</v>
      </c>
      <c r="D30" s="45">
        <f>IF($B30-'[4]29'!C30&lt;0,0,$B30-'[4]29'!C30)</f>
        <v>0</v>
      </c>
      <c r="E30" s="45">
        <f>IF($B30-'[4]29'!D30&lt;0,0,$B30-'[4]29'!D30)</f>
        <v>0</v>
      </c>
      <c r="F30" s="45">
        <f>IF($B30-'[4]29'!E30&lt;0,0,$B30-'[4]29'!E30)</f>
        <v>0</v>
      </c>
      <c r="G30" s="45">
        <f>IF($B30-'[4]29'!F30&lt;0,0,$B30-'[4]29'!F30)</f>
        <v>0</v>
      </c>
      <c r="H30" s="45">
        <f>IF($B30-'[4]29'!G30&lt;0,0,$B30-'[4]29'!G30)</f>
        <v>0</v>
      </c>
      <c r="I30" s="45">
        <f>IF($B30-'[4]29'!H30&lt;0,0,$B30-'[4]29'!H30)</f>
        <v>0</v>
      </c>
      <c r="J30" s="45">
        <f>IF($B30-'[4]29'!I30&lt;0,0,$B30-'[4]29'!I30)</f>
        <v>0</v>
      </c>
      <c r="K30" s="45">
        <f>IF($B30-'[4]29'!J30&lt;0,0,$B30-'[4]29'!J30)</f>
        <v>0</v>
      </c>
      <c r="L30" s="45">
        <f>IF($B30-'[4]29'!K30&lt;0,0,$B30-'[4]29'!K30)</f>
        <v>0</v>
      </c>
      <c r="M30" s="45">
        <f>IF($B30-'[4]29'!L30&lt;0,0,$B30-'[4]29'!L30)</f>
        <v>0</v>
      </c>
      <c r="N30" s="45">
        <f>IF($B30-'[4]29'!M30&lt;0,0,$B30-'[4]29'!M30)</f>
        <v>0</v>
      </c>
      <c r="O30" s="45">
        <f>IF($B30-'[4]29'!N30&lt;0,0,$B30-'[4]29'!N30)</f>
        <v>0</v>
      </c>
      <c r="P30" s="45">
        <f>IF($B30-'[4]29'!O30&lt;0,0,$B30-'[4]29'!O30)</f>
        <v>0</v>
      </c>
      <c r="Q30" s="45">
        <f>IF($B30-'[4]29'!P30&lt;0,0,$B30-'[4]29'!P30)</f>
        <v>0</v>
      </c>
      <c r="R30" s="45">
        <f>IF($B30-'[4]29'!Q30&lt;0,0,$B30-'[4]29'!Q30)</f>
        <v>0</v>
      </c>
      <c r="S30" s="45">
        <f>IF($B30-'[4]29'!R30&lt;0,0,$B30-'[4]29'!R30)</f>
        <v>0</v>
      </c>
      <c r="T30" s="45">
        <f>IF($B30-'[4]29'!S30&lt;0,0,$B30-'[4]29'!S30)</f>
        <v>0</v>
      </c>
      <c r="U30" s="45">
        <f>IF($B30-'[4]29'!T30&lt;0,0,$B30-'[4]29'!T30)</f>
        <v>0</v>
      </c>
      <c r="V30" s="45">
        <f>IF($B30-'[4]29'!U30&lt;0,0,$B30-'[4]29'!U30)</f>
        <v>0</v>
      </c>
      <c r="W30" s="45">
        <f>IF($B30-'[4]29'!V30&lt;0,0,$B30-'[4]29'!V30)</f>
        <v>0</v>
      </c>
      <c r="X30" s="45">
        <f>IF($B30-'[4]29'!W30&lt;0,0,$B30-'[4]29'!W30)</f>
        <v>0</v>
      </c>
      <c r="Y30" s="45">
        <f>IF($B30-'[4]29'!X30&lt;0,0,$B30-'[4]29'!X30)</f>
        <v>0</v>
      </c>
      <c r="Z30" s="45">
        <f>IF($B30-'[4]29'!Y30&lt;0,0,$B30-'[4]29'!Y30)</f>
        <v>0</v>
      </c>
      <c r="AA30" s="45">
        <f>IF($B30-'[4]29'!Z30&lt;0,0,$B30-'[4]29'!Z30)</f>
        <v>0</v>
      </c>
      <c r="AB30" s="45">
        <f>IF($B30-'[4]29'!AA30&lt;0,0,$B30-'[4]29'!AA30)</f>
        <v>0</v>
      </c>
      <c r="AC30" s="45">
        <f>IF($B30-'[4]29'!AB30&lt;0,0,$B30-'[4]29'!AB30)</f>
        <v>0</v>
      </c>
      <c r="AD30" s="45">
        <f>IF($B30-'[4]29'!AC30&lt;0,0,$B30-'[4]29'!AC30)</f>
        <v>0</v>
      </c>
      <c r="AE30" s="45">
        <f>IF($B30-'[4]29'!AD30&lt;0,0,$B30-'[4]29'!AD30)</f>
        <v>0</v>
      </c>
      <c r="AF30" s="45">
        <f>IF($B30-'[4]29'!AE30&lt;0,0,$B30-'[4]29'!AE30)</f>
        <v>0</v>
      </c>
      <c r="AG30" s="45">
        <f>IF($B30-'[4]29'!AF30&lt;0,0,$B30-'[4]29'!AF30)</f>
        <v>0</v>
      </c>
      <c r="AH30" s="51">
        <v>22.1</v>
      </c>
      <c r="AI30" s="48">
        <f t="shared" si="2"/>
        <v>0</v>
      </c>
      <c r="AJ30" s="49">
        <f t="shared" si="3"/>
        <v>0</v>
      </c>
      <c r="AL30" s="170"/>
      <c r="AM30" s="28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</row>
    <row r="31" spans="1:89" x14ac:dyDescent="0.25">
      <c r="A31" s="44" t="s">
        <v>32</v>
      </c>
      <c r="B31" s="45">
        <v>13</v>
      </c>
      <c r="C31" s="45">
        <f>IF($B31-'[4]29'!B31&lt;0,0,$B31-'[4]29'!B31)</f>
        <v>0</v>
      </c>
      <c r="D31" s="45">
        <f>IF($B31-'[4]29'!C31&lt;0,0,$B31-'[4]29'!C31)</f>
        <v>0</v>
      </c>
      <c r="E31" s="45">
        <f>IF($B31-'[4]29'!D31&lt;0,0,$B31-'[4]29'!D31)</f>
        <v>0</v>
      </c>
      <c r="F31" s="45">
        <f>IF($B31-'[4]29'!E31&lt;0,0,$B31-'[4]29'!E31)</f>
        <v>0</v>
      </c>
      <c r="G31" s="45">
        <f>IF($B31-'[4]29'!F31&lt;0,0,$B31-'[4]29'!F31)</f>
        <v>0</v>
      </c>
      <c r="H31" s="45">
        <f>IF($B31-'[4]29'!G31&lt;0,0,$B31-'[4]29'!G31)</f>
        <v>0</v>
      </c>
      <c r="I31" s="45">
        <f>IF($B31-'[4]29'!H31&lt;0,0,$B31-'[4]29'!H31)</f>
        <v>0</v>
      </c>
      <c r="J31" s="45">
        <f>IF($B31-'[4]29'!I31&lt;0,0,$B31-'[4]29'!I31)</f>
        <v>0</v>
      </c>
      <c r="K31" s="45">
        <f>IF($B31-'[4]29'!J31&lt;0,0,$B31-'[4]29'!J31)</f>
        <v>0</v>
      </c>
      <c r="L31" s="45">
        <f>IF($B31-'[4]29'!K31&lt;0,0,$B31-'[4]29'!K31)</f>
        <v>0</v>
      </c>
      <c r="M31" s="45">
        <f>IF($B31-'[4]29'!L31&lt;0,0,$B31-'[4]29'!L31)</f>
        <v>0</v>
      </c>
      <c r="N31" s="45">
        <f>IF($B31-'[4]29'!M31&lt;0,0,$B31-'[4]29'!M31)</f>
        <v>0</v>
      </c>
      <c r="O31" s="45">
        <f>IF($B31-'[4]29'!N31&lt;0,0,$B31-'[4]29'!N31)</f>
        <v>0</v>
      </c>
      <c r="P31" s="45">
        <f>IF($B31-'[4]29'!O31&lt;0,0,$B31-'[4]29'!O31)</f>
        <v>0</v>
      </c>
      <c r="Q31" s="45">
        <f>IF($B31-'[4]29'!P31&lt;0,0,$B31-'[4]29'!P31)</f>
        <v>0</v>
      </c>
      <c r="R31" s="45">
        <f>IF($B31-'[4]29'!Q31&lt;0,0,$B31-'[4]29'!Q31)</f>
        <v>0</v>
      </c>
      <c r="S31" s="45">
        <f>IF($B31-'[4]29'!R31&lt;0,0,$B31-'[4]29'!R31)</f>
        <v>0</v>
      </c>
      <c r="T31" s="45">
        <f>IF($B31-'[4]29'!S31&lt;0,0,$B31-'[4]29'!S31)</f>
        <v>0</v>
      </c>
      <c r="U31" s="45">
        <f>IF($B31-'[4]29'!T31&lt;0,0,$B31-'[4]29'!T31)</f>
        <v>0</v>
      </c>
      <c r="V31" s="45">
        <f>IF($B31-'[4]29'!U31&lt;0,0,$B31-'[4]29'!U31)</f>
        <v>0</v>
      </c>
      <c r="W31" s="45">
        <f>IF($B31-'[4]29'!V31&lt;0,0,$B31-'[4]29'!V31)</f>
        <v>0</v>
      </c>
      <c r="X31" s="45">
        <f>IF($B31-'[4]29'!W31&lt;0,0,$B31-'[4]29'!W31)</f>
        <v>0</v>
      </c>
      <c r="Y31" s="45">
        <f>IF($B31-'[4]29'!X31&lt;0,0,$B31-'[4]29'!X31)</f>
        <v>0</v>
      </c>
      <c r="Z31" s="45">
        <f>IF($B31-'[4]29'!Y31&lt;0,0,$B31-'[4]29'!Y31)</f>
        <v>0</v>
      </c>
      <c r="AA31" s="45">
        <f>IF($B31-'[4]29'!Z31&lt;0,0,$B31-'[4]29'!Z31)</f>
        <v>0</v>
      </c>
      <c r="AB31" s="45">
        <f>IF($B31-'[4]29'!AA31&lt;0,0,$B31-'[4]29'!AA31)</f>
        <v>0</v>
      </c>
      <c r="AC31" s="45">
        <f>IF($B31-'[4]29'!AB31&lt;0,0,$B31-'[4]29'!AB31)</f>
        <v>0</v>
      </c>
      <c r="AD31" s="45">
        <f>IF($B31-'[4]29'!AC31&lt;0,0,$B31-'[4]29'!AC31)</f>
        <v>0</v>
      </c>
      <c r="AE31" s="45">
        <f>IF($B31-'[4]29'!AD31&lt;0,0,$B31-'[4]29'!AD31)</f>
        <v>0</v>
      </c>
      <c r="AF31" s="45">
        <f>IF($B31-'[4]29'!AE31&lt;0,0,$B31-'[4]29'!AE31)</f>
        <v>0</v>
      </c>
      <c r="AG31" s="45">
        <f>IF($B31-'[4]29'!AF31&lt;0,0,$B31-'[4]29'!AF31)</f>
        <v>0</v>
      </c>
      <c r="AH31" s="51">
        <v>22</v>
      </c>
      <c r="AI31" s="48">
        <f t="shared" si="2"/>
        <v>0</v>
      </c>
      <c r="AJ31" s="49">
        <f t="shared" si="3"/>
        <v>0</v>
      </c>
      <c r="AL31" s="170"/>
      <c r="AM31" s="28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</row>
    <row r="32" spans="1:89" x14ac:dyDescent="0.25">
      <c r="A32" s="44" t="s">
        <v>33</v>
      </c>
      <c r="B32" s="45">
        <v>14</v>
      </c>
      <c r="C32" s="45">
        <f>IF($B32-'[4]29'!B32&lt;0,0,$B32-'[4]29'!B32)</f>
        <v>0</v>
      </c>
      <c r="D32" s="45">
        <f>IF($B32-'[4]29'!C32&lt;0,0,$B32-'[4]29'!C32)</f>
        <v>0</v>
      </c>
      <c r="E32" s="45">
        <f>IF($B32-'[4]29'!D32&lt;0,0,$B32-'[4]29'!D32)</f>
        <v>0</v>
      </c>
      <c r="F32" s="45">
        <f>IF($B32-'[4]29'!E32&lt;0,0,$B32-'[4]29'!E32)</f>
        <v>0</v>
      </c>
      <c r="G32" s="45">
        <f>IF($B32-'[4]29'!F32&lt;0,0,$B32-'[4]29'!F32)</f>
        <v>0</v>
      </c>
      <c r="H32" s="45">
        <f>IF($B32-'[4]29'!G32&lt;0,0,$B32-'[4]29'!G32)</f>
        <v>0</v>
      </c>
      <c r="I32" s="45">
        <f>IF($B32-'[4]29'!H32&lt;0,0,$B32-'[4]29'!H32)</f>
        <v>0</v>
      </c>
      <c r="J32" s="45">
        <f>IF($B32-'[4]29'!I32&lt;0,0,$B32-'[4]29'!I32)</f>
        <v>0</v>
      </c>
      <c r="K32" s="45">
        <f>IF($B32-'[4]29'!J32&lt;0,0,$B32-'[4]29'!J32)</f>
        <v>0</v>
      </c>
      <c r="L32" s="45">
        <f>IF($B32-'[4]29'!K32&lt;0,0,$B32-'[4]29'!K32)</f>
        <v>0</v>
      </c>
      <c r="M32" s="45">
        <f>IF($B32-'[4]29'!L32&lt;0,0,$B32-'[4]29'!L32)</f>
        <v>0</v>
      </c>
      <c r="N32" s="45">
        <f>IF($B32-'[4]29'!M32&lt;0,0,$B32-'[4]29'!M32)</f>
        <v>0</v>
      </c>
      <c r="O32" s="45">
        <f>IF($B32-'[4]29'!N32&lt;0,0,$B32-'[4]29'!N32)</f>
        <v>0</v>
      </c>
      <c r="P32" s="45">
        <f>IF($B32-'[4]29'!O32&lt;0,0,$B32-'[4]29'!O32)</f>
        <v>0</v>
      </c>
      <c r="Q32" s="45">
        <f>IF($B32-'[4]29'!P32&lt;0,0,$B32-'[4]29'!P32)</f>
        <v>1.5</v>
      </c>
      <c r="R32" s="45">
        <f>IF($B32-'[4]29'!Q32&lt;0,0,$B32-'[4]29'!Q32)</f>
        <v>1.5</v>
      </c>
      <c r="S32" s="45">
        <f>IF($B32-'[4]29'!R32&lt;0,0,$B32-'[4]29'!R32)</f>
        <v>1.5</v>
      </c>
      <c r="T32" s="45">
        <f>IF($B32-'[4]29'!S32&lt;0,0,$B32-'[4]29'!S32)</f>
        <v>1.5</v>
      </c>
      <c r="U32" s="45">
        <f>IF($B32-'[4]29'!T32&lt;0,0,$B32-'[4]29'!T32)</f>
        <v>1.5</v>
      </c>
      <c r="V32" s="45">
        <f>IF($B32-'[4]29'!U32&lt;0,0,$B32-'[4]29'!U32)</f>
        <v>1.5</v>
      </c>
      <c r="W32" s="45">
        <f>IF($B32-'[4]29'!V32&lt;0,0,$B32-'[4]29'!V32)</f>
        <v>1.5</v>
      </c>
      <c r="X32" s="45">
        <f>IF($B32-'[4]29'!W32&lt;0,0,$B32-'[4]29'!W32)</f>
        <v>1.5</v>
      </c>
      <c r="Y32" s="45">
        <f>IF($B32-'[4]29'!X32&lt;0,0,$B32-'[4]29'!X32)</f>
        <v>0</v>
      </c>
      <c r="Z32" s="45">
        <f>IF($B32-'[4]29'!Y32&lt;0,0,$B32-'[4]29'!Y32)</f>
        <v>0</v>
      </c>
      <c r="AA32" s="45">
        <f>IF($B32-'[4]29'!Z32&lt;0,0,$B32-'[4]29'!Z32)</f>
        <v>0</v>
      </c>
      <c r="AB32" s="45">
        <f>IF($B32-'[4]29'!AA32&lt;0,0,$B32-'[4]29'!AA32)</f>
        <v>0</v>
      </c>
      <c r="AC32" s="45">
        <f>IF($B32-'[4]29'!AB32&lt;0,0,$B32-'[4]29'!AB32)</f>
        <v>0</v>
      </c>
      <c r="AD32" s="45">
        <f>IF($B32-'[4]29'!AC32&lt;0,0,$B32-'[4]29'!AC32)</f>
        <v>0</v>
      </c>
      <c r="AE32" s="45">
        <f>IF($B32-'[4]29'!AD32&lt;0,0,$B32-'[4]29'!AD32)</f>
        <v>0</v>
      </c>
      <c r="AF32" s="45">
        <f>IF($B32-'[4]29'!AE32&lt;0,0,$B32-'[4]29'!AE32)</f>
        <v>0</v>
      </c>
      <c r="AG32" s="45">
        <f>IF($B32-'[4]29'!AF32&lt;0,0,$B32-'[4]29'!AF32)</f>
        <v>0</v>
      </c>
      <c r="AH32" s="51">
        <v>22</v>
      </c>
      <c r="AI32" s="48">
        <f t="shared" si="2"/>
        <v>1.5</v>
      </c>
      <c r="AJ32" s="49">
        <f t="shared" si="3"/>
        <v>0</v>
      </c>
      <c r="AL32" s="170"/>
      <c r="AM32" s="28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</row>
    <row r="33" spans="1:89" x14ac:dyDescent="0.25">
      <c r="A33" s="44" t="s">
        <v>34</v>
      </c>
      <c r="B33" s="45">
        <v>14</v>
      </c>
      <c r="C33" s="45">
        <f>IF($B33-'[4]29'!B33&lt;0,0,$B33-'[4]29'!B33)</f>
        <v>14</v>
      </c>
      <c r="D33" s="45">
        <f>IF($B33-'[4]29'!C33&lt;0,0,$B33-'[4]29'!C33)</f>
        <v>14</v>
      </c>
      <c r="E33" s="45">
        <f>IF($B33-'[4]29'!D33&lt;0,0,$B33-'[4]29'!D33)</f>
        <v>14</v>
      </c>
      <c r="F33" s="45">
        <f>IF($B33-'[4]29'!E33&lt;0,0,$B33-'[4]29'!E33)</f>
        <v>14</v>
      </c>
      <c r="G33" s="45">
        <f>IF($B33-'[4]29'!F33&lt;0,0,$B33-'[4]29'!F33)</f>
        <v>14</v>
      </c>
      <c r="H33" s="45">
        <f>IF($B33-'[4]29'!G33&lt;0,0,$B33-'[4]29'!G33)</f>
        <v>14</v>
      </c>
      <c r="I33" s="45">
        <f>IF($B33-'[4]29'!H33&lt;0,0,$B33-'[4]29'!H33)</f>
        <v>10</v>
      </c>
      <c r="J33" s="45">
        <f>IF($B33-'[4]29'!I33&lt;0,0,$B33-'[4]29'!I33)</f>
        <v>6</v>
      </c>
      <c r="K33" s="45">
        <f>IF($B33-'[4]29'!J33&lt;0,0,$B33-'[4]29'!J33)</f>
        <v>2</v>
      </c>
      <c r="L33" s="45">
        <f>IF($B33-'[4]29'!K33&lt;0,0,$B33-'[4]29'!K33)</f>
        <v>2</v>
      </c>
      <c r="M33" s="45">
        <f>IF($B33-'[4]29'!L33&lt;0,0,$B33-'[4]29'!L33)</f>
        <v>2</v>
      </c>
      <c r="N33" s="45">
        <f>IF($B33-'[4]29'!M33&lt;0,0,$B33-'[4]29'!M33)</f>
        <v>4</v>
      </c>
      <c r="O33" s="45">
        <f>IF($B33-'[4]29'!N33&lt;0,0,$B33-'[4]29'!N33)</f>
        <v>4</v>
      </c>
      <c r="P33" s="45">
        <f>IF($B33-'[4]29'!O33&lt;0,0,$B33-'[4]29'!O33)</f>
        <v>4</v>
      </c>
      <c r="Q33" s="45">
        <f>IF($B33-'[4]29'!P33&lt;0,0,$B33-'[4]29'!P33)</f>
        <v>6</v>
      </c>
      <c r="R33" s="45">
        <f>IF($B33-'[4]29'!Q33&lt;0,0,$B33-'[4]29'!Q33)</f>
        <v>6</v>
      </c>
      <c r="S33" s="45">
        <f>IF($B33-'[4]29'!R33&lt;0,0,$B33-'[4]29'!R33)</f>
        <v>6</v>
      </c>
      <c r="T33" s="45">
        <f>IF($B33-'[4]29'!S33&lt;0,0,$B33-'[4]29'!S33)</f>
        <v>6</v>
      </c>
      <c r="U33" s="45">
        <f>IF($B33-'[4]29'!T33&lt;0,0,$B33-'[4]29'!T33)</f>
        <v>6</v>
      </c>
      <c r="V33" s="45">
        <f>IF($B33-'[4]29'!U33&lt;0,0,$B33-'[4]29'!U33)</f>
        <v>6</v>
      </c>
      <c r="W33" s="45">
        <f>IF($B33-'[4]29'!V33&lt;0,0,$B33-'[4]29'!V33)</f>
        <v>6</v>
      </c>
      <c r="X33" s="45">
        <f>IF($B33-'[4]29'!W33&lt;0,0,$B33-'[4]29'!W33)</f>
        <v>6</v>
      </c>
      <c r="Y33" s="45">
        <f>IF($B33-'[4]29'!X33&lt;0,0,$B33-'[4]29'!X33)</f>
        <v>4</v>
      </c>
      <c r="Z33" s="45">
        <f>IF($B33-'[4]29'!Y33&lt;0,0,$B33-'[4]29'!Y33)</f>
        <v>4</v>
      </c>
      <c r="AA33" s="45">
        <f>IF($B33-'[4]29'!Z33&lt;0,0,$B33-'[4]29'!Z33)</f>
        <v>4</v>
      </c>
      <c r="AB33" s="45">
        <f>IF($B33-'[4]29'!AA33&lt;0,0,$B33-'[4]29'!AA33)</f>
        <v>4</v>
      </c>
      <c r="AC33" s="45">
        <f>IF($B33-'[4]29'!AB33&lt;0,0,$B33-'[4]29'!AB33)</f>
        <v>9</v>
      </c>
      <c r="AD33" s="45">
        <f>IF($B33-'[4]29'!AC33&lt;0,0,$B33-'[4]29'!AC33)</f>
        <v>9</v>
      </c>
      <c r="AE33" s="45">
        <f>IF($B33-'[4]29'!AD33&lt;0,0,$B33-'[4]29'!AD33)</f>
        <v>9</v>
      </c>
      <c r="AF33" s="45">
        <f>IF($B33-'[4]29'!AE33&lt;0,0,$B33-'[4]29'!AE33)</f>
        <v>14</v>
      </c>
      <c r="AG33" s="45">
        <f>IF($B33-'[4]29'!AF33&lt;0,0,$B33-'[4]29'!AF33)</f>
        <v>14</v>
      </c>
      <c r="AH33" s="51">
        <v>20</v>
      </c>
      <c r="AI33" s="48">
        <f t="shared" si="2"/>
        <v>14</v>
      </c>
      <c r="AJ33" s="49">
        <f t="shared" si="3"/>
        <v>2</v>
      </c>
      <c r="AL33" s="170"/>
      <c r="AM33" s="28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</row>
    <row r="34" spans="1:89" x14ac:dyDescent="0.25">
      <c r="A34" s="44" t="s">
        <v>259</v>
      </c>
      <c r="B34" s="45">
        <v>9</v>
      </c>
      <c r="C34" s="45">
        <f>IF($B34-'[4]29'!B34&lt;0,0,$B34-'[4]29'!B34)</f>
        <v>9</v>
      </c>
      <c r="D34" s="45">
        <f>IF($B34-'[4]29'!C34&lt;0,0,$B34-'[4]29'!C34)</f>
        <v>9</v>
      </c>
      <c r="E34" s="45">
        <f>IF($B34-'[4]29'!D34&lt;0,0,$B34-'[4]29'!D34)</f>
        <v>9</v>
      </c>
      <c r="F34" s="45">
        <f>IF($B34-'[4]29'!E34&lt;0,0,$B34-'[4]29'!E34)</f>
        <v>9</v>
      </c>
      <c r="G34" s="45">
        <f>IF($B34-'[4]29'!F34&lt;0,0,$B34-'[4]29'!F34)</f>
        <v>9</v>
      </c>
      <c r="H34" s="45">
        <f>IF($B34-'[4]29'!G34&lt;0,0,$B34-'[4]29'!G34)</f>
        <v>9</v>
      </c>
      <c r="I34" s="45">
        <f>IF($B34-'[4]29'!H34&lt;0,0,$B34-'[4]29'!H34)</f>
        <v>5.5</v>
      </c>
      <c r="J34" s="45">
        <f>IF($B34-'[4]29'!I34&lt;0,0,$B34-'[4]29'!I34)</f>
        <v>2</v>
      </c>
      <c r="K34" s="45">
        <f>IF($B34-'[4]29'!J34&lt;0,0,$B34-'[4]29'!J34)</f>
        <v>0</v>
      </c>
      <c r="L34" s="45">
        <f>IF($B34-'[4]29'!K34&lt;0,0,$B34-'[4]29'!K34)</f>
        <v>0</v>
      </c>
      <c r="M34" s="45">
        <f>IF($B34-'[4]29'!L34&lt;0,0,$B34-'[4]29'!L34)</f>
        <v>0</v>
      </c>
      <c r="N34" s="45">
        <f>IF($B34-'[4]29'!M34&lt;0,0,$B34-'[4]29'!M34)</f>
        <v>0</v>
      </c>
      <c r="O34" s="45">
        <f>IF($B34-'[4]29'!N34&lt;0,0,$B34-'[4]29'!N34)</f>
        <v>0</v>
      </c>
      <c r="P34" s="45">
        <f>IF($B34-'[4]29'!O34&lt;0,0,$B34-'[4]29'!O34)</f>
        <v>0</v>
      </c>
      <c r="Q34" s="45">
        <f>IF($B34-'[4]29'!P34&lt;0,0,$B34-'[4]29'!P34)</f>
        <v>4</v>
      </c>
      <c r="R34" s="45">
        <f>IF($B34-'[4]29'!Q34&lt;0,0,$B34-'[4]29'!Q34)</f>
        <v>4</v>
      </c>
      <c r="S34" s="45">
        <f>IF($B34-'[4]29'!R34&lt;0,0,$B34-'[4]29'!R34)</f>
        <v>4</v>
      </c>
      <c r="T34" s="45">
        <f>IF($B34-'[4]29'!S34&lt;0,0,$B34-'[4]29'!S34)</f>
        <v>4</v>
      </c>
      <c r="U34" s="45">
        <f>IF($B34-'[4]29'!T34&lt;0,0,$B34-'[4]29'!T34)</f>
        <v>4</v>
      </c>
      <c r="V34" s="45">
        <f>IF($B34-'[4]29'!U34&lt;0,0,$B34-'[4]29'!U34)</f>
        <v>4</v>
      </c>
      <c r="W34" s="45">
        <f>IF($B34-'[4]29'!V34&lt;0,0,$B34-'[4]29'!V34)</f>
        <v>4</v>
      </c>
      <c r="X34" s="45">
        <f>IF($B34-'[4]29'!W34&lt;0,0,$B34-'[4]29'!W34)</f>
        <v>4</v>
      </c>
      <c r="Y34" s="45">
        <f>IF($B34-'[4]29'!X34&lt;0,0,$B34-'[4]29'!X34)</f>
        <v>0</v>
      </c>
      <c r="Z34" s="45">
        <f>IF($B34-'[4]29'!Y34&lt;0,0,$B34-'[4]29'!Y34)</f>
        <v>0</v>
      </c>
      <c r="AA34" s="45">
        <f>IF($B34-'[4]29'!Z34&lt;0,0,$B34-'[4]29'!Z34)</f>
        <v>0</v>
      </c>
      <c r="AB34" s="45">
        <f>IF($B34-'[4]29'!AA34&lt;0,0,$B34-'[4]29'!AA34)</f>
        <v>0</v>
      </c>
      <c r="AC34" s="45">
        <f>IF($B34-'[4]29'!AB34&lt;0,0,$B34-'[4]29'!AB34)</f>
        <v>5</v>
      </c>
      <c r="AD34" s="45">
        <f>IF($B34-'[4]29'!AC34&lt;0,0,$B34-'[4]29'!AC34)</f>
        <v>5</v>
      </c>
      <c r="AE34" s="45">
        <f>IF($B34-'[4]29'!AD34&lt;0,0,$B34-'[4]29'!AD34)</f>
        <v>5</v>
      </c>
      <c r="AF34" s="45">
        <f>IF($B34-'[4]29'!AE34&lt;0,0,$B34-'[4]29'!AE34)</f>
        <v>9</v>
      </c>
      <c r="AG34" s="45">
        <f>IF($B34-'[4]29'!AF34&lt;0,0,$B34-'[4]29'!AF34)</f>
        <v>9</v>
      </c>
      <c r="AH34" s="51">
        <v>18</v>
      </c>
      <c r="AI34" s="48">
        <f t="shared" si="2"/>
        <v>9</v>
      </c>
      <c r="AJ34" s="49">
        <f t="shared" si="3"/>
        <v>0</v>
      </c>
      <c r="AL34" s="170"/>
      <c r="AM34" s="28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</row>
    <row r="35" spans="1:89" x14ac:dyDescent="0.25">
      <c r="A35" s="44" t="s">
        <v>260</v>
      </c>
      <c r="B35" s="45">
        <v>5</v>
      </c>
      <c r="C35" s="45">
        <f>IF($B35-'[4]29'!B35&lt;0,0,$B35-'[4]29'!B35)</f>
        <v>0</v>
      </c>
      <c r="D35" s="45">
        <f>IF($B35-'[4]29'!C35&lt;0,0,$B35-'[4]29'!C35)</f>
        <v>0</v>
      </c>
      <c r="E35" s="45">
        <f>IF($B35-'[4]29'!D35&lt;0,0,$B35-'[4]29'!D35)</f>
        <v>0</v>
      </c>
      <c r="F35" s="45">
        <f>IF($B35-'[4]29'!E35&lt;0,0,$B35-'[4]29'!E35)</f>
        <v>0</v>
      </c>
      <c r="G35" s="45">
        <f>IF($B35-'[4]29'!F35&lt;0,0,$B35-'[4]29'!F35)</f>
        <v>0</v>
      </c>
      <c r="H35" s="45">
        <f>IF($B35-'[4]29'!G35&lt;0,0,$B35-'[4]29'!G35)</f>
        <v>0</v>
      </c>
      <c r="I35" s="45">
        <f>IF($B35-'[4]29'!H35&lt;0,0,$B35-'[4]29'!H35)</f>
        <v>0</v>
      </c>
      <c r="J35" s="45">
        <f>IF($B35-'[4]29'!I35&lt;0,0,$B35-'[4]29'!I35)</f>
        <v>0</v>
      </c>
      <c r="K35" s="45">
        <f>IF($B35-'[4]29'!J35&lt;0,0,$B35-'[4]29'!J35)</f>
        <v>0</v>
      </c>
      <c r="L35" s="45">
        <f>IF($B35-'[4]29'!K35&lt;0,0,$B35-'[4]29'!K35)</f>
        <v>0</v>
      </c>
      <c r="M35" s="45">
        <f>IF($B35-'[4]29'!L35&lt;0,0,$B35-'[4]29'!L35)</f>
        <v>0</v>
      </c>
      <c r="N35" s="45">
        <f>IF($B35-'[4]29'!M35&lt;0,0,$B35-'[4]29'!M35)</f>
        <v>0</v>
      </c>
      <c r="O35" s="45">
        <f>IF($B35-'[4]29'!N35&lt;0,0,$B35-'[4]29'!N35)</f>
        <v>0</v>
      </c>
      <c r="P35" s="45">
        <f>IF($B35-'[4]29'!O35&lt;0,0,$B35-'[4]29'!O35)</f>
        <v>0</v>
      </c>
      <c r="Q35" s="45">
        <f>IF($B35-'[4]29'!P35&lt;0,0,$B35-'[4]29'!P35)</f>
        <v>0</v>
      </c>
      <c r="R35" s="45">
        <f>IF($B35-'[4]29'!Q35&lt;0,0,$B35-'[4]29'!Q35)</f>
        <v>0</v>
      </c>
      <c r="S35" s="45">
        <f>IF($B35-'[4]29'!R35&lt;0,0,$B35-'[4]29'!R35)</f>
        <v>0</v>
      </c>
      <c r="T35" s="45">
        <f>IF($B35-'[4]29'!S35&lt;0,0,$B35-'[4]29'!S35)</f>
        <v>0</v>
      </c>
      <c r="U35" s="45">
        <f>IF($B35-'[4]29'!T35&lt;0,0,$B35-'[4]29'!T35)</f>
        <v>0</v>
      </c>
      <c r="V35" s="45">
        <f>IF($B35-'[4]29'!U35&lt;0,0,$B35-'[4]29'!U35)</f>
        <v>0</v>
      </c>
      <c r="W35" s="45">
        <f>IF($B35-'[4]29'!V35&lt;0,0,$B35-'[4]29'!V35)</f>
        <v>0</v>
      </c>
      <c r="X35" s="45">
        <f>IF($B35-'[4]29'!W35&lt;0,0,$B35-'[4]29'!W35)</f>
        <v>0</v>
      </c>
      <c r="Y35" s="45">
        <f>IF($B35-'[4]29'!X35&lt;0,0,$B35-'[4]29'!X35)</f>
        <v>0</v>
      </c>
      <c r="Z35" s="45">
        <f>IF($B35-'[4]29'!Y35&lt;0,0,$B35-'[4]29'!Y35)</f>
        <v>0</v>
      </c>
      <c r="AA35" s="45">
        <f>IF($B35-'[4]29'!Z35&lt;0,0,$B35-'[4]29'!Z35)</f>
        <v>0</v>
      </c>
      <c r="AB35" s="45">
        <f>IF($B35-'[4]29'!AA35&lt;0,0,$B35-'[4]29'!AA35)</f>
        <v>0</v>
      </c>
      <c r="AC35" s="45">
        <f>IF($B35-'[4]29'!AB35&lt;0,0,$B35-'[4]29'!AB35)</f>
        <v>0</v>
      </c>
      <c r="AD35" s="45">
        <f>IF($B35-'[4]29'!AC35&lt;0,0,$B35-'[4]29'!AC35)</f>
        <v>0</v>
      </c>
      <c r="AE35" s="45">
        <f>IF($B35-'[4]29'!AD35&lt;0,0,$B35-'[4]29'!AD35)</f>
        <v>0</v>
      </c>
      <c r="AF35" s="45">
        <f>IF($B35-'[4]29'!AE35&lt;0,0,$B35-'[4]29'!AE35)</f>
        <v>0</v>
      </c>
      <c r="AG35" s="45">
        <f>IF($B35-'[4]29'!AF35&lt;0,0,$B35-'[4]29'!AF35)</f>
        <v>0</v>
      </c>
      <c r="AH35" s="51">
        <v>14.9</v>
      </c>
      <c r="AI35" s="48">
        <f t="shared" si="2"/>
        <v>0</v>
      </c>
      <c r="AJ35" s="49">
        <f t="shared" si="3"/>
        <v>0</v>
      </c>
      <c r="AL35" s="170"/>
      <c r="AM35" s="28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</row>
    <row r="36" spans="1:89" x14ac:dyDescent="0.25">
      <c r="A36" s="44" t="s">
        <v>35</v>
      </c>
      <c r="B36" s="45">
        <v>0</v>
      </c>
      <c r="C36" s="45">
        <f>IF($B36-'[4]29'!B36&lt;0,0,$B36-'[4]29'!B36)</f>
        <v>0</v>
      </c>
      <c r="D36" s="45">
        <f>IF($B36-'[4]29'!C36&lt;0,0,$B36-'[4]29'!C36)</f>
        <v>0</v>
      </c>
      <c r="E36" s="45">
        <f>IF($B36-'[4]29'!D36&lt;0,0,$B36-'[4]29'!D36)</f>
        <v>0</v>
      </c>
      <c r="F36" s="45">
        <f>IF($B36-'[4]29'!E36&lt;0,0,$B36-'[4]29'!E36)</f>
        <v>0</v>
      </c>
      <c r="G36" s="45">
        <f>IF($B36-'[4]29'!F36&lt;0,0,$B36-'[4]29'!F36)</f>
        <v>0</v>
      </c>
      <c r="H36" s="45">
        <f>IF($B36-'[4]29'!G36&lt;0,0,$B36-'[4]29'!G36)</f>
        <v>0</v>
      </c>
      <c r="I36" s="45">
        <f>IF($B36-'[4]29'!H36&lt;0,0,$B36-'[4]29'!H36)</f>
        <v>0</v>
      </c>
      <c r="J36" s="45">
        <f>IF($B36-'[4]29'!I36&lt;0,0,$B36-'[4]29'!I36)</f>
        <v>0</v>
      </c>
      <c r="K36" s="45">
        <f>IF($B36-'[4]29'!J36&lt;0,0,$B36-'[4]29'!J36)</f>
        <v>0</v>
      </c>
      <c r="L36" s="45">
        <f>IF($B36-'[4]29'!K36&lt;0,0,$B36-'[4]29'!K36)</f>
        <v>0</v>
      </c>
      <c r="M36" s="45">
        <f>IF($B36-'[4]29'!L36&lt;0,0,$B36-'[4]29'!L36)</f>
        <v>0</v>
      </c>
      <c r="N36" s="45">
        <f>IF($B36-'[4]29'!M36&lt;0,0,$B36-'[4]29'!M36)</f>
        <v>0</v>
      </c>
      <c r="O36" s="45">
        <f>IF($B36-'[4]29'!N36&lt;0,0,$B36-'[4]29'!N36)</f>
        <v>0</v>
      </c>
      <c r="P36" s="45">
        <f>IF($B36-'[4]29'!O36&lt;0,0,$B36-'[4]29'!O36)</f>
        <v>0</v>
      </c>
      <c r="Q36" s="45">
        <f>IF($B36-'[4]29'!P36&lt;0,0,$B36-'[4]29'!P36)</f>
        <v>0</v>
      </c>
      <c r="R36" s="45">
        <f>IF($B36-'[4]29'!Q36&lt;0,0,$B36-'[4]29'!Q36)</f>
        <v>0</v>
      </c>
      <c r="S36" s="45">
        <f>IF($B36-'[4]29'!R36&lt;0,0,$B36-'[4]29'!R36)</f>
        <v>0</v>
      </c>
      <c r="T36" s="45">
        <f>IF($B36-'[4]29'!S36&lt;0,0,$B36-'[4]29'!S36)</f>
        <v>0</v>
      </c>
      <c r="U36" s="45">
        <f>IF($B36-'[4]29'!T36&lt;0,0,$B36-'[4]29'!T36)</f>
        <v>0</v>
      </c>
      <c r="V36" s="45">
        <f>IF($B36-'[4]29'!U36&lt;0,0,$B36-'[4]29'!U36)</f>
        <v>0</v>
      </c>
      <c r="W36" s="45">
        <f>IF($B36-'[4]29'!V36&lt;0,0,$B36-'[4]29'!V36)</f>
        <v>0</v>
      </c>
      <c r="X36" s="45">
        <f>IF($B36-'[4]29'!W36&lt;0,0,$B36-'[4]29'!W36)</f>
        <v>0</v>
      </c>
      <c r="Y36" s="45">
        <f>IF($B36-'[4]29'!X36&lt;0,0,$B36-'[4]29'!X36)</f>
        <v>0</v>
      </c>
      <c r="Z36" s="45">
        <f>IF($B36-'[4]29'!Y36&lt;0,0,$B36-'[4]29'!Y36)</f>
        <v>0</v>
      </c>
      <c r="AA36" s="45">
        <f>IF($B36-'[4]29'!Z36&lt;0,0,$B36-'[4]29'!Z36)</f>
        <v>0</v>
      </c>
      <c r="AB36" s="45">
        <f>IF($B36-'[4]29'!AA36&lt;0,0,$B36-'[4]29'!AA36)</f>
        <v>0</v>
      </c>
      <c r="AC36" s="45">
        <f>IF($B36-'[4]29'!AB36&lt;0,0,$B36-'[4]29'!AB36)</f>
        <v>0</v>
      </c>
      <c r="AD36" s="45">
        <f>IF($B36-'[4]29'!AC36&lt;0,0,$B36-'[4]29'!AC36)</f>
        <v>0</v>
      </c>
      <c r="AE36" s="45">
        <f>IF($B36-'[4]29'!AD36&lt;0,0,$B36-'[4]29'!AD36)</f>
        <v>0</v>
      </c>
      <c r="AF36" s="45">
        <f>IF($B36-'[4]29'!AE36&lt;0,0,$B36-'[4]29'!AE36)</f>
        <v>0</v>
      </c>
      <c r="AG36" s="45">
        <f>IF($B36-'[4]29'!AF36&lt;0,0,$B36-'[4]29'!AF36)</f>
        <v>0</v>
      </c>
      <c r="AH36" s="51">
        <v>14.9</v>
      </c>
      <c r="AI36" s="48">
        <f t="shared" si="2"/>
        <v>0</v>
      </c>
      <c r="AJ36" s="49">
        <f t="shared" si="3"/>
        <v>0</v>
      </c>
      <c r="AL36" s="170"/>
      <c r="AM36" s="28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</row>
    <row r="37" spans="1:89" x14ac:dyDescent="0.25">
      <c r="A37" s="44" t="s">
        <v>36</v>
      </c>
      <c r="B37" s="45">
        <v>6.5</v>
      </c>
      <c r="C37" s="45">
        <f>IF($B37-'[4]29'!B37&lt;0,0,$B37-'[4]29'!B37)</f>
        <v>0</v>
      </c>
      <c r="D37" s="45">
        <f>IF($B37-'[4]29'!C37&lt;0,0,$B37-'[4]29'!C37)</f>
        <v>0</v>
      </c>
      <c r="E37" s="45">
        <f>IF($B37-'[4]29'!D37&lt;0,0,$B37-'[4]29'!D37)</f>
        <v>0</v>
      </c>
      <c r="F37" s="45">
        <f>IF($B37-'[4]29'!E37&lt;0,0,$B37-'[4]29'!E37)</f>
        <v>0</v>
      </c>
      <c r="G37" s="45">
        <f>IF($B37-'[4]29'!F37&lt;0,0,$B37-'[4]29'!F37)</f>
        <v>0</v>
      </c>
      <c r="H37" s="45">
        <f>IF($B37-'[4]29'!G37&lt;0,0,$B37-'[4]29'!G37)</f>
        <v>0</v>
      </c>
      <c r="I37" s="45">
        <f>IF($B37-'[4]29'!H37&lt;0,0,$B37-'[4]29'!H37)</f>
        <v>0</v>
      </c>
      <c r="J37" s="45">
        <f>IF($B37-'[4]29'!I37&lt;0,0,$B37-'[4]29'!I37)</f>
        <v>0</v>
      </c>
      <c r="K37" s="45">
        <f>IF($B37-'[4]29'!J37&lt;0,0,$B37-'[4]29'!J37)</f>
        <v>0</v>
      </c>
      <c r="L37" s="45">
        <f>IF($B37-'[4]29'!K37&lt;0,0,$B37-'[4]29'!K37)</f>
        <v>0</v>
      </c>
      <c r="M37" s="45">
        <f>IF($B37-'[4]29'!L37&lt;0,0,$B37-'[4]29'!L37)</f>
        <v>0</v>
      </c>
      <c r="N37" s="45">
        <f>IF($B37-'[4]29'!M37&lt;0,0,$B37-'[4]29'!M37)</f>
        <v>0</v>
      </c>
      <c r="O37" s="45">
        <f>IF($B37-'[4]29'!N37&lt;0,0,$B37-'[4]29'!N37)</f>
        <v>0</v>
      </c>
      <c r="P37" s="45">
        <f>IF($B37-'[4]29'!O37&lt;0,0,$B37-'[4]29'!O37)</f>
        <v>0</v>
      </c>
      <c r="Q37" s="45">
        <f>IF($B37-'[4]29'!P37&lt;0,0,$B37-'[4]29'!P37)</f>
        <v>0</v>
      </c>
      <c r="R37" s="45">
        <f>IF($B37-'[4]29'!Q37&lt;0,0,$B37-'[4]29'!Q37)</f>
        <v>0</v>
      </c>
      <c r="S37" s="45">
        <f>IF($B37-'[4]29'!R37&lt;0,0,$B37-'[4]29'!R37)</f>
        <v>0</v>
      </c>
      <c r="T37" s="45">
        <f>IF($B37-'[4]29'!S37&lt;0,0,$B37-'[4]29'!S37)</f>
        <v>0</v>
      </c>
      <c r="U37" s="45">
        <f>IF($B37-'[4]29'!T37&lt;0,0,$B37-'[4]29'!T37)</f>
        <v>0</v>
      </c>
      <c r="V37" s="45">
        <f>IF($B37-'[4]29'!U37&lt;0,0,$B37-'[4]29'!U37)</f>
        <v>0</v>
      </c>
      <c r="W37" s="45">
        <f>IF($B37-'[4]29'!V37&lt;0,0,$B37-'[4]29'!V37)</f>
        <v>0</v>
      </c>
      <c r="X37" s="45">
        <f>IF($B37-'[4]29'!W37&lt;0,0,$B37-'[4]29'!W37)</f>
        <v>0</v>
      </c>
      <c r="Y37" s="45">
        <f>IF($B37-'[4]29'!X37&lt;0,0,$B37-'[4]29'!X37)</f>
        <v>0</v>
      </c>
      <c r="Z37" s="45">
        <f>IF($B37-'[4]29'!Y37&lt;0,0,$B37-'[4]29'!Y37)</f>
        <v>0</v>
      </c>
      <c r="AA37" s="45">
        <f>IF($B37-'[4]29'!Z37&lt;0,0,$B37-'[4]29'!Z37)</f>
        <v>0</v>
      </c>
      <c r="AB37" s="45">
        <f>IF($B37-'[4]29'!AA37&lt;0,0,$B37-'[4]29'!AA37)</f>
        <v>0</v>
      </c>
      <c r="AC37" s="45">
        <f>IF($B37-'[4]29'!AB37&lt;0,0,$B37-'[4]29'!AB37)</f>
        <v>0</v>
      </c>
      <c r="AD37" s="45">
        <f>IF($B37-'[4]29'!AC37&lt;0,0,$B37-'[4]29'!AC37)</f>
        <v>0</v>
      </c>
      <c r="AE37" s="45">
        <f>IF($B37-'[4]29'!AD37&lt;0,0,$B37-'[4]29'!AD37)</f>
        <v>0</v>
      </c>
      <c r="AF37" s="45">
        <f>IF($B37-'[4]29'!AE37&lt;0,0,$B37-'[4]29'!AE37)</f>
        <v>0</v>
      </c>
      <c r="AG37" s="45">
        <f>IF($B37-'[4]29'!AF37&lt;0,0,$B37-'[4]29'!AF37)</f>
        <v>0</v>
      </c>
      <c r="AH37" s="51">
        <v>13.6</v>
      </c>
      <c r="AI37" s="48">
        <f t="shared" si="2"/>
        <v>0</v>
      </c>
      <c r="AJ37" s="49">
        <f t="shared" si="3"/>
        <v>0</v>
      </c>
      <c r="AL37" s="170"/>
      <c r="AM37" s="28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</row>
    <row r="38" spans="1:89" x14ac:dyDescent="0.25">
      <c r="A38" s="44" t="s">
        <v>37</v>
      </c>
      <c r="B38" s="45">
        <v>5</v>
      </c>
      <c r="C38" s="45">
        <f>IF($B38-'[4]29'!B38&lt;0,0,$B38-'[4]29'!B38)</f>
        <v>0</v>
      </c>
      <c r="D38" s="45">
        <f>IF($B38-'[4]29'!C38&lt;0,0,$B38-'[4]29'!C38)</f>
        <v>0</v>
      </c>
      <c r="E38" s="45">
        <f>IF($B38-'[4]29'!D38&lt;0,0,$B38-'[4]29'!D38)</f>
        <v>0</v>
      </c>
      <c r="F38" s="45">
        <f>IF($B38-'[4]29'!E38&lt;0,0,$B38-'[4]29'!E38)</f>
        <v>0</v>
      </c>
      <c r="G38" s="45">
        <f>IF($B38-'[4]29'!F38&lt;0,0,$B38-'[4]29'!F38)</f>
        <v>0</v>
      </c>
      <c r="H38" s="45">
        <f>IF($B38-'[4]29'!G38&lt;0,0,$B38-'[4]29'!G38)</f>
        <v>0</v>
      </c>
      <c r="I38" s="45">
        <f>IF($B38-'[4]29'!H38&lt;0,0,$B38-'[4]29'!H38)</f>
        <v>0</v>
      </c>
      <c r="J38" s="45">
        <f>IF($B38-'[4]29'!I38&lt;0,0,$B38-'[4]29'!I38)</f>
        <v>0</v>
      </c>
      <c r="K38" s="45">
        <f>IF($B38-'[4]29'!J38&lt;0,0,$B38-'[4]29'!J38)</f>
        <v>0</v>
      </c>
      <c r="L38" s="45">
        <f>IF($B38-'[4]29'!K38&lt;0,0,$B38-'[4]29'!K38)</f>
        <v>0</v>
      </c>
      <c r="M38" s="45">
        <f>IF($B38-'[4]29'!L38&lt;0,0,$B38-'[4]29'!L38)</f>
        <v>0</v>
      </c>
      <c r="N38" s="45">
        <f>IF($B38-'[4]29'!M38&lt;0,0,$B38-'[4]29'!M38)</f>
        <v>0</v>
      </c>
      <c r="O38" s="45">
        <f>IF($B38-'[4]29'!N38&lt;0,0,$B38-'[4]29'!N38)</f>
        <v>0</v>
      </c>
      <c r="P38" s="45">
        <f>IF($B38-'[4]29'!O38&lt;0,0,$B38-'[4]29'!O38)</f>
        <v>0</v>
      </c>
      <c r="Q38" s="45">
        <f>IF($B38-'[4]29'!P38&lt;0,0,$B38-'[4]29'!P38)</f>
        <v>0</v>
      </c>
      <c r="R38" s="45">
        <f>IF($B38-'[4]29'!Q38&lt;0,0,$B38-'[4]29'!Q38)</f>
        <v>0</v>
      </c>
      <c r="S38" s="45">
        <f>IF($B38-'[4]29'!R38&lt;0,0,$B38-'[4]29'!R38)</f>
        <v>0</v>
      </c>
      <c r="T38" s="45">
        <f>IF($B38-'[4]29'!S38&lt;0,0,$B38-'[4]29'!S38)</f>
        <v>0</v>
      </c>
      <c r="U38" s="45">
        <f>IF($B38-'[4]29'!T38&lt;0,0,$B38-'[4]29'!T38)</f>
        <v>0</v>
      </c>
      <c r="V38" s="45">
        <f>IF($B38-'[4]29'!U38&lt;0,0,$B38-'[4]29'!U38)</f>
        <v>0</v>
      </c>
      <c r="W38" s="45">
        <f>IF($B38-'[4]29'!V38&lt;0,0,$B38-'[4]29'!V38)</f>
        <v>0</v>
      </c>
      <c r="X38" s="45">
        <f>IF($B38-'[4]29'!W38&lt;0,0,$B38-'[4]29'!W38)</f>
        <v>0</v>
      </c>
      <c r="Y38" s="45">
        <f>IF($B38-'[4]29'!X38&lt;0,0,$B38-'[4]29'!X38)</f>
        <v>0</v>
      </c>
      <c r="Z38" s="45">
        <f>IF($B38-'[4]29'!Y38&lt;0,0,$B38-'[4]29'!Y38)</f>
        <v>0</v>
      </c>
      <c r="AA38" s="45">
        <f>IF($B38-'[4]29'!Z38&lt;0,0,$B38-'[4]29'!Z38)</f>
        <v>0</v>
      </c>
      <c r="AB38" s="45">
        <f>IF($B38-'[4]29'!AA38&lt;0,0,$B38-'[4]29'!AA38)</f>
        <v>0</v>
      </c>
      <c r="AC38" s="45">
        <f>IF($B38-'[4]29'!AB38&lt;0,0,$B38-'[4]29'!AB38)</f>
        <v>0</v>
      </c>
      <c r="AD38" s="45">
        <f>IF($B38-'[4]29'!AC38&lt;0,0,$B38-'[4]29'!AC38)</f>
        <v>0</v>
      </c>
      <c r="AE38" s="45">
        <f>IF($B38-'[4]29'!AD38&lt;0,0,$B38-'[4]29'!AD38)</f>
        <v>0</v>
      </c>
      <c r="AF38" s="45">
        <f>IF($B38-'[4]29'!AE38&lt;0,0,$B38-'[4]29'!AE38)</f>
        <v>0</v>
      </c>
      <c r="AG38" s="45">
        <f>IF($B38-'[4]29'!AF38&lt;0,0,$B38-'[4]29'!AF38)</f>
        <v>0</v>
      </c>
      <c r="AH38" s="51">
        <v>13</v>
      </c>
      <c r="AI38" s="48">
        <f t="shared" si="2"/>
        <v>0</v>
      </c>
      <c r="AJ38" s="49">
        <f t="shared" si="3"/>
        <v>0</v>
      </c>
      <c r="AL38" s="170"/>
      <c r="AM38" s="28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</row>
    <row r="39" spans="1:89" x14ac:dyDescent="0.25">
      <c r="A39" s="44" t="s">
        <v>38</v>
      </c>
      <c r="B39" s="45">
        <v>10</v>
      </c>
      <c r="C39" s="45">
        <f>IF($B39-'[4]29'!B39&lt;0,0,$B39-'[4]29'!B39)</f>
        <v>2.8000000000000007</v>
      </c>
      <c r="D39" s="45">
        <f>IF($B39-'[4]29'!C39&lt;0,0,$B39-'[4]29'!C39)</f>
        <v>6</v>
      </c>
      <c r="E39" s="45">
        <f>IF($B39-'[4]29'!D39&lt;0,0,$B39-'[4]29'!D39)</f>
        <v>6</v>
      </c>
      <c r="F39" s="45">
        <f>IF($B39-'[4]29'!E39&lt;0,0,$B39-'[4]29'!E39)</f>
        <v>10</v>
      </c>
      <c r="G39" s="45">
        <f>IF($B39-'[4]29'!F39&lt;0,0,$B39-'[4]29'!F39)</f>
        <v>10</v>
      </c>
      <c r="H39" s="45">
        <f>IF($B39-'[4]29'!G39&lt;0,0,$B39-'[4]29'!G39)</f>
        <v>8</v>
      </c>
      <c r="I39" s="45">
        <f>IF($B39-'[4]29'!H39&lt;0,0,$B39-'[4]29'!H39)</f>
        <v>4</v>
      </c>
      <c r="J39" s="45">
        <f>IF($B39-'[4]29'!I39&lt;0,0,$B39-'[4]29'!I39)</f>
        <v>0.40000000000000036</v>
      </c>
      <c r="K39" s="45">
        <f>IF($B39-'[4]29'!J39&lt;0,0,$B39-'[4]29'!J39)</f>
        <v>0</v>
      </c>
      <c r="L39" s="45">
        <f>IF($B39-'[4]29'!K39&lt;0,0,$B39-'[4]29'!K39)</f>
        <v>0</v>
      </c>
      <c r="M39" s="45">
        <f>IF($B39-'[4]29'!L39&lt;0,0,$B39-'[4]29'!L39)</f>
        <v>0</v>
      </c>
      <c r="N39" s="45">
        <f>IF($B39-'[4]29'!M39&lt;0,0,$B39-'[4]29'!M39)</f>
        <v>0</v>
      </c>
      <c r="O39" s="45">
        <f>IF($B39-'[4]29'!N39&lt;0,0,$B39-'[4]29'!N39)</f>
        <v>1</v>
      </c>
      <c r="P39" s="45">
        <f>IF($B39-'[4]29'!O39&lt;0,0,$B39-'[4]29'!O39)</f>
        <v>1</v>
      </c>
      <c r="Q39" s="45">
        <f>IF($B39-'[4]29'!P39&lt;0,0,$B39-'[4]29'!P39)</f>
        <v>4</v>
      </c>
      <c r="R39" s="45">
        <f>IF($B39-'[4]29'!Q39&lt;0,0,$B39-'[4]29'!Q39)</f>
        <v>4</v>
      </c>
      <c r="S39" s="45">
        <f>IF($B39-'[4]29'!R39&lt;0,0,$B39-'[4]29'!R39)</f>
        <v>4</v>
      </c>
      <c r="T39" s="45">
        <f>IF($B39-'[4]29'!S39&lt;0,0,$B39-'[4]29'!S39)</f>
        <v>4</v>
      </c>
      <c r="U39" s="45">
        <f>IF($B39-'[4]29'!T39&lt;0,0,$B39-'[4]29'!T39)</f>
        <v>4</v>
      </c>
      <c r="V39" s="45">
        <f>IF($B39-'[4]29'!U39&lt;0,0,$B39-'[4]29'!U39)</f>
        <v>4</v>
      </c>
      <c r="W39" s="45">
        <f>IF($B39-'[4]29'!V39&lt;0,0,$B39-'[4]29'!V39)</f>
        <v>4</v>
      </c>
      <c r="X39" s="45">
        <f>IF($B39-'[4]29'!W39&lt;0,0,$B39-'[4]29'!W39)</f>
        <v>4</v>
      </c>
      <c r="Y39" s="45">
        <f>IF($B39-'[4]29'!X39&lt;0,0,$B39-'[4]29'!X39)</f>
        <v>3.5</v>
      </c>
      <c r="Z39" s="45">
        <f>IF($B39-'[4]29'!Y39&lt;0,0,$B39-'[4]29'!Y39)</f>
        <v>3.5</v>
      </c>
      <c r="AA39" s="45">
        <f>IF($B39-'[4]29'!Z39&lt;0,0,$B39-'[4]29'!Z39)</f>
        <v>3.5</v>
      </c>
      <c r="AB39" s="45">
        <f>IF($B39-'[4]29'!AA39&lt;0,0,$B39-'[4]29'!AA39)</f>
        <v>3.5</v>
      </c>
      <c r="AC39" s="45">
        <f>IF($B39-'[4]29'!AB39&lt;0,0,$B39-'[4]29'!AB39)</f>
        <v>3.5</v>
      </c>
      <c r="AD39" s="45">
        <f>IF($B39-'[4]29'!AC39&lt;0,0,$B39-'[4]29'!AC39)</f>
        <v>3.5</v>
      </c>
      <c r="AE39" s="45">
        <f>IF($B39-'[4]29'!AD39&lt;0,0,$B39-'[4]29'!AD39)</f>
        <v>3.5</v>
      </c>
      <c r="AF39" s="45">
        <f>IF($B39-'[4]29'!AE39&lt;0,0,$B39-'[4]29'!AE39)</f>
        <v>3.5</v>
      </c>
      <c r="AG39" s="45">
        <f>IF($B39-'[4]29'!AF39&lt;0,0,$B39-'[4]29'!AF39)</f>
        <v>8</v>
      </c>
      <c r="AH39" s="51">
        <v>12</v>
      </c>
      <c r="AI39" s="48">
        <f t="shared" si="2"/>
        <v>10</v>
      </c>
      <c r="AJ39" s="49">
        <f t="shared" si="3"/>
        <v>0</v>
      </c>
      <c r="AL39" s="170"/>
      <c r="AM39" s="28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</row>
    <row r="40" spans="1:89" x14ac:dyDescent="0.25">
      <c r="A40" s="44" t="s">
        <v>39</v>
      </c>
      <c r="B40" s="45">
        <v>12</v>
      </c>
      <c r="C40" s="45">
        <f>IF($B40-'[4]29'!B40&lt;0,0,$B40-'[4]29'!B40)</f>
        <v>0</v>
      </c>
      <c r="D40" s="45">
        <f>IF($B40-'[4]29'!C40&lt;0,0,$B40-'[4]29'!C40)</f>
        <v>0</v>
      </c>
      <c r="E40" s="45">
        <f>IF($B40-'[4]29'!D40&lt;0,0,$B40-'[4]29'!D40)</f>
        <v>0</v>
      </c>
      <c r="F40" s="45">
        <f>IF($B40-'[4]29'!E40&lt;0,0,$B40-'[4]29'!E40)</f>
        <v>0</v>
      </c>
      <c r="G40" s="45">
        <f>IF($B40-'[4]29'!F40&lt;0,0,$B40-'[4]29'!F40)</f>
        <v>0</v>
      </c>
      <c r="H40" s="45">
        <f>IF($B40-'[4]29'!G40&lt;0,0,$B40-'[4]29'!G40)</f>
        <v>0</v>
      </c>
      <c r="I40" s="45">
        <f>IF($B40-'[4]29'!H40&lt;0,0,$B40-'[4]29'!H40)</f>
        <v>0</v>
      </c>
      <c r="J40" s="45">
        <f>IF($B40-'[4]29'!I40&lt;0,0,$B40-'[4]29'!I40)</f>
        <v>0</v>
      </c>
      <c r="K40" s="45">
        <f>IF($B40-'[4]29'!J40&lt;0,0,$B40-'[4]29'!J40)</f>
        <v>0</v>
      </c>
      <c r="L40" s="45">
        <f>IF($B40-'[4]29'!K40&lt;0,0,$B40-'[4]29'!K40)</f>
        <v>0</v>
      </c>
      <c r="M40" s="45">
        <f>IF($B40-'[4]29'!L40&lt;0,0,$B40-'[4]29'!L40)</f>
        <v>0</v>
      </c>
      <c r="N40" s="45">
        <f>IF($B40-'[4]29'!M40&lt;0,0,$B40-'[4]29'!M40)</f>
        <v>0</v>
      </c>
      <c r="O40" s="45">
        <f>IF($B40-'[4]29'!N40&lt;0,0,$B40-'[4]29'!N40)</f>
        <v>0</v>
      </c>
      <c r="P40" s="45">
        <f>IF($B40-'[4]29'!O40&lt;0,0,$B40-'[4]29'!O40)</f>
        <v>0</v>
      </c>
      <c r="Q40" s="45">
        <f>IF($B40-'[4]29'!P40&lt;0,0,$B40-'[4]29'!P40)</f>
        <v>0</v>
      </c>
      <c r="R40" s="45">
        <f>IF($B40-'[4]29'!Q40&lt;0,0,$B40-'[4]29'!Q40)</f>
        <v>0</v>
      </c>
      <c r="S40" s="45">
        <f>IF($B40-'[4]29'!R40&lt;0,0,$B40-'[4]29'!R40)</f>
        <v>0</v>
      </c>
      <c r="T40" s="45">
        <f>IF($B40-'[4]29'!S40&lt;0,0,$B40-'[4]29'!S40)</f>
        <v>0</v>
      </c>
      <c r="U40" s="45">
        <f>IF($B40-'[4]29'!T40&lt;0,0,$B40-'[4]29'!T40)</f>
        <v>0</v>
      </c>
      <c r="V40" s="45">
        <f>IF($B40-'[4]29'!U40&lt;0,0,$B40-'[4]29'!U40)</f>
        <v>0</v>
      </c>
      <c r="W40" s="45">
        <f>IF($B40-'[4]29'!V40&lt;0,0,$B40-'[4]29'!V40)</f>
        <v>0</v>
      </c>
      <c r="X40" s="45">
        <f>IF($B40-'[4]29'!W40&lt;0,0,$B40-'[4]29'!W40)</f>
        <v>0</v>
      </c>
      <c r="Y40" s="45">
        <f>IF($B40-'[4]29'!X40&lt;0,0,$B40-'[4]29'!X40)</f>
        <v>0</v>
      </c>
      <c r="Z40" s="45">
        <f>IF($B40-'[4]29'!Y40&lt;0,0,$B40-'[4]29'!Y40)</f>
        <v>0</v>
      </c>
      <c r="AA40" s="45">
        <f>IF($B40-'[4]29'!Z40&lt;0,0,$B40-'[4]29'!Z40)</f>
        <v>0</v>
      </c>
      <c r="AB40" s="45">
        <f>IF($B40-'[4]29'!AA40&lt;0,0,$B40-'[4]29'!AA40)</f>
        <v>0</v>
      </c>
      <c r="AC40" s="45">
        <f>IF($B40-'[4]29'!AB40&lt;0,0,$B40-'[4]29'!AB40)</f>
        <v>0</v>
      </c>
      <c r="AD40" s="45">
        <f>IF($B40-'[4]29'!AC40&lt;0,0,$B40-'[4]29'!AC40)</f>
        <v>0</v>
      </c>
      <c r="AE40" s="45">
        <f>IF($B40-'[4]29'!AD40&lt;0,0,$B40-'[4]29'!AD40)</f>
        <v>0</v>
      </c>
      <c r="AF40" s="45">
        <f>IF($B40-'[4]29'!AE40&lt;0,0,$B40-'[4]29'!AE40)</f>
        <v>0</v>
      </c>
      <c r="AG40" s="45">
        <f>IF($B40-'[4]29'!AF40&lt;0,0,$B40-'[4]29'!AF40)</f>
        <v>0</v>
      </c>
      <c r="AH40" s="51">
        <v>12</v>
      </c>
      <c r="AI40" s="48">
        <f t="shared" si="2"/>
        <v>0</v>
      </c>
      <c r="AJ40" s="49">
        <f t="shared" si="3"/>
        <v>0</v>
      </c>
      <c r="AL40" s="170"/>
      <c r="AM40" s="28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</row>
    <row r="41" spans="1:89" x14ac:dyDescent="0.25">
      <c r="A41" s="44" t="s">
        <v>261</v>
      </c>
      <c r="B41" s="45">
        <v>6.9</v>
      </c>
      <c r="C41" s="45">
        <f>IF($B41-'[4]29'!B41&lt;0,0,$B41-'[4]29'!B41)</f>
        <v>0</v>
      </c>
      <c r="D41" s="45">
        <f>IF($B41-'[4]29'!C41&lt;0,0,$B41-'[4]29'!C41)</f>
        <v>0</v>
      </c>
      <c r="E41" s="45">
        <f>IF($B41-'[4]29'!D41&lt;0,0,$B41-'[4]29'!D41)</f>
        <v>0</v>
      </c>
      <c r="F41" s="45">
        <f>IF($B41-'[4]29'!E41&lt;0,0,$B41-'[4]29'!E41)</f>
        <v>0</v>
      </c>
      <c r="G41" s="45">
        <f>IF($B41-'[4]29'!F41&lt;0,0,$B41-'[4]29'!F41)</f>
        <v>0</v>
      </c>
      <c r="H41" s="45">
        <f>IF($B41-'[4]29'!G41&lt;0,0,$B41-'[4]29'!G41)</f>
        <v>0</v>
      </c>
      <c r="I41" s="45">
        <f>IF($B41-'[4]29'!H41&lt;0,0,$B41-'[4]29'!H41)</f>
        <v>0</v>
      </c>
      <c r="J41" s="45">
        <f>IF($B41-'[4]29'!I41&lt;0,0,$B41-'[4]29'!I41)</f>
        <v>0</v>
      </c>
      <c r="K41" s="45">
        <f>IF($B41-'[4]29'!J41&lt;0,0,$B41-'[4]29'!J41)</f>
        <v>0</v>
      </c>
      <c r="L41" s="45">
        <f>IF($B41-'[4]29'!K41&lt;0,0,$B41-'[4]29'!K41)</f>
        <v>0</v>
      </c>
      <c r="M41" s="45">
        <f>IF($B41-'[4]29'!L41&lt;0,0,$B41-'[4]29'!L41)</f>
        <v>0</v>
      </c>
      <c r="N41" s="45">
        <f>IF($B41-'[4]29'!M41&lt;0,0,$B41-'[4]29'!M41)</f>
        <v>0</v>
      </c>
      <c r="O41" s="45">
        <f>IF($B41-'[4]29'!N41&lt;0,0,$B41-'[4]29'!N41)</f>
        <v>0</v>
      </c>
      <c r="P41" s="45">
        <f>IF($B41-'[4]29'!O41&lt;0,0,$B41-'[4]29'!O41)</f>
        <v>0</v>
      </c>
      <c r="Q41" s="45">
        <f>IF($B41-'[4]29'!P41&lt;0,0,$B41-'[4]29'!P41)</f>
        <v>0</v>
      </c>
      <c r="R41" s="45">
        <f>IF($B41-'[4]29'!Q41&lt;0,0,$B41-'[4]29'!Q41)</f>
        <v>0</v>
      </c>
      <c r="S41" s="45">
        <f>IF($B41-'[4]29'!R41&lt;0,0,$B41-'[4]29'!R41)</f>
        <v>0</v>
      </c>
      <c r="T41" s="45">
        <f>IF($B41-'[4]29'!S41&lt;0,0,$B41-'[4]29'!S41)</f>
        <v>0</v>
      </c>
      <c r="U41" s="45">
        <f>IF($B41-'[4]29'!T41&lt;0,0,$B41-'[4]29'!T41)</f>
        <v>0</v>
      </c>
      <c r="V41" s="45">
        <f>IF($B41-'[4]29'!U41&lt;0,0,$B41-'[4]29'!U41)</f>
        <v>0</v>
      </c>
      <c r="W41" s="45">
        <f>IF($B41-'[4]29'!V41&lt;0,0,$B41-'[4]29'!V41)</f>
        <v>0</v>
      </c>
      <c r="X41" s="45">
        <f>IF($B41-'[4]29'!W41&lt;0,0,$B41-'[4]29'!W41)</f>
        <v>0</v>
      </c>
      <c r="Y41" s="45">
        <f>IF($B41-'[4]29'!X41&lt;0,0,$B41-'[4]29'!X41)</f>
        <v>0</v>
      </c>
      <c r="Z41" s="45">
        <f>IF($B41-'[4]29'!Y41&lt;0,0,$B41-'[4]29'!Y41)</f>
        <v>0</v>
      </c>
      <c r="AA41" s="45">
        <f>IF($B41-'[4]29'!Z41&lt;0,0,$B41-'[4]29'!Z41)</f>
        <v>0</v>
      </c>
      <c r="AB41" s="45">
        <f>IF($B41-'[4]29'!AA41&lt;0,0,$B41-'[4]29'!AA41)</f>
        <v>0</v>
      </c>
      <c r="AC41" s="45">
        <f>IF($B41-'[4]29'!AB41&lt;0,0,$B41-'[4]29'!AB41)</f>
        <v>0</v>
      </c>
      <c r="AD41" s="45">
        <f>IF($B41-'[4]29'!AC41&lt;0,0,$B41-'[4]29'!AC41)</f>
        <v>0</v>
      </c>
      <c r="AE41" s="45">
        <f>IF($B41-'[4]29'!AD41&lt;0,0,$B41-'[4]29'!AD41)</f>
        <v>0</v>
      </c>
      <c r="AF41" s="45">
        <f>IF($B41-'[4]29'!AE41&lt;0,0,$B41-'[4]29'!AE41)</f>
        <v>0</v>
      </c>
      <c r="AG41" s="45">
        <f>IF($B41-'[4]29'!AF41&lt;0,0,$B41-'[4]29'!AF41)</f>
        <v>0</v>
      </c>
      <c r="AH41" s="51">
        <v>12</v>
      </c>
      <c r="AI41" s="48">
        <f t="shared" si="2"/>
        <v>0</v>
      </c>
      <c r="AJ41" s="49">
        <f t="shared" si="3"/>
        <v>0</v>
      </c>
      <c r="AL41" s="170"/>
      <c r="AM41" s="28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</row>
    <row r="42" spans="1:89" ht="14.25" customHeight="1" x14ac:dyDescent="0.25">
      <c r="A42" s="44" t="s">
        <v>41</v>
      </c>
      <c r="B42" s="45">
        <v>8</v>
      </c>
      <c r="C42" s="45">
        <f>IF($B42-'[4]29'!B42&lt;0,0,$B42-'[4]29'!B42)</f>
        <v>0</v>
      </c>
      <c r="D42" s="45">
        <f>IF($B42-'[4]29'!C42&lt;0,0,$B42-'[4]29'!C42)</f>
        <v>0</v>
      </c>
      <c r="E42" s="45">
        <f>IF($B42-'[4]29'!D42&lt;0,0,$B42-'[4]29'!D42)</f>
        <v>0</v>
      </c>
      <c r="F42" s="45">
        <f>IF($B42-'[4]29'!E42&lt;0,0,$B42-'[4]29'!E42)</f>
        <v>0</v>
      </c>
      <c r="G42" s="45">
        <f>IF($B42-'[4]29'!F42&lt;0,0,$B42-'[4]29'!F42)</f>
        <v>0</v>
      </c>
      <c r="H42" s="45">
        <f>IF($B42-'[4]29'!G42&lt;0,0,$B42-'[4]29'!G42)</f>
        <v>0</v>
      </c>
      <c r="I42" s="45">
        <f>IF($B42-'[4]29'!H42&lt;0,0,$B42-'[4]29'!H42)</f>
        <v>0</v>
      </c>
      <c r="J42" s="45">
        <f>IF($B42-'[4]29'!I42&lt;0,0,$B42-'[4]29'!I42)</f>
        <v>0</v>
      </c>
      <c r="K42" s="45">
        <f>IF($B42-'[4]29'!J42&lt;0,0,$B42-'[4]29'!J42)</f>
        <v>0</v>
      </c>
      <c r="L42" s="45">
        <f>IF($B42-'[4]29'!K42&lt;0,0,$B42-'[4]29'!K42)</f>
        <v>0</v>
      </c>
      <c r="M42" s="45">
        <f>IF($B42-'[4]29'!L42&lt;0,0,$B42-'[4]29'!L42)</f>
        <v>0</v>
      </c>
      <c r="N42" s="45">
        <f>IF($B42-'[4]29'!M42&lt;0,0,$B42-'[4]29'!M42)</f>
        <v>0</v>
      </c>
      <c r="O42" s="45">
        <f>IF($B42-'[4]29'!N42&lt;0,0,$B42-'[4]29'!N42)</f>
        <v>0</v>
      </c>
      <c r="P42" s="45">
        <f>IF($B42-'[4]29'!O42&lt;0,0,$B42-'[4]29'!O42)</f>
        <v>0</v>
      </c>
      <c r="Q42" s="45">
        <f>IF($B42-'[4]29'!P42&lt;0,0,$B42-'[4]29'!P42)</f>
        <v>0</v>
      </c>
      <c r="R42" s="45">
        <f>IF($B42-'[4]29'!Q42&lt;0,0,$B42-'[4]29'!Q42)</f>
        <v>0</v>
      </c>
      <c r="S42" s="45">
        <f>IF($B42-'[4]29'!R42&lt;0,0,$B42-'[4]29'!R42)</f>
        <v>0</v>
      </c>
      <c r="T42" s="45">
        <f>IF($B42-'[4]29'!S42&lt;0,0,$B42-'[4]29'!S42)</f>
        <v>0</v>
      </c>
      <c r="U42" s="45">
        <f>IF($B42-'[4]29'!T42&lt;0,0,$B42-'[4]29'!T42)</f>
        <v>0</v>
      </c>
      <c r="V42" s="45">
        <f>IF($B42-'[4]29'!U42&lt;0,0,$B42-'[4]29'!U42)</f>
        <v>0</v>
      </c>
      <c r="W42" s="45">
        <f>IF($B42-'[4]29'!V42&lt;0,0,$B42-'[4]29'!V42)</f>
        <v>0</v>
      </c>
      <c r="X42" s="45">
        <f>IF($B42-'[4]29'!W42&lt;0,0,$B42-'[4]29'!W42)</f>
        <v>0</v>
      </c>
      <c r="Y42" s="45">
        <f>IF($B42-'[4]29'!X42&lt;0,0,$B42-'[4]29'!X42)</f>
        <v>0</v>
      </c>
      <c r="Z42" s="45">
        <f>IF($B42-'[4]29'!Y42&lt;0,0,$B42-'[4]29'!Y42)</f>
        <v>0</v>
      </c>
      <c r="AA42" s="45">
        <f>IF($B42-'[4]29'!Z42&lt;0,0,$B42-'[4]29'!Z42)</f>
        <v>0</v>
      </c>
      <c r="AB42" s="45">
        <f>IF($B42-'[4]29'!AA42&lt;0,0,$B42-'[4]29'!AA42)</f>
        <v>0</v>
      </c>
      <c r="AC42" s="45">
        <f>IF($B42-'[4]29'!AB42&lt;0,0,$B42-'[4]29'!AB42)</f>
        <v>0</v>
      </c>
      <c r="AD42" s="45">
        <f>IF($B42-'[4]29'!AC42&lt;0,0,$B42-'[4]29'!AC42)</f>
        <v>0</v>
      </c>
      <c r="AE42" s="45">
        <f>IF($B42-'[4]29'!AD42&lt;0,0,$B42-'[4]29'!AD42)</f>
        <v>0</v>
      </c>
      <c r="AF42" s="45">
        <f>IF($B42-'[4]29'!AE42&lt;0,0,$B42-'[4]29'!AE42)</f>
        <v>0</v>
      </c>
      <c r="AG42" s="45">
        <f>IF($B42-'[4]29'!AF42&lt;0,0,$B42-'[4]29'!AF42)</f>
        <v>0</v>
      </c>
      <c r="AH42" s="53">
        <v>22</v>
      </c>
      <c r="AI42" s="48">
        <f t="shared" si="2"/>
        <v>0</v>
      </c>
      <c r="AJ42" s="49">
        <f t="shared" si="3"/>
        <v>0</v>
      </c>
      <c r="AL42" s="170"/>
      <c r="AM42" s="28"/>
      <c r="AN42" s="24"/>
      <c r="AO42" s="24"/>
      <c r="AP42" s="24"/>
      <c r="AQ42" s="24"/>
      <c r="AR42" s="15"/>
      <c r="AS42" s="21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</row>
    <row r="43" spans="1:89" ht="14.25" customHeight="1" x14ac:dyDescent="0.25">
      <c r="A43" s="44" t="s">
        <v>42</v>
      </c>
      <c r="B43" s="45">
        <v>8</v>
      </c>
      <c r="C43" s="45">
        <f>IF($B43-'[4]29'!B43&lt;0,0,$B43-'[4]29'!B43)</f>
        <v>0</v>
      </c>
      <c r="D43" s="45">
        <f>IF($B43-'[4]29'!C43&lt;0,0,$B43-'[4]29'!C43)</f>
        <v>0</v>
      </c>
      <c r="E43" s="45">
        <f>IF($B43-'[4]29'!D43&lt;0,0,$B43-'[4]29'!D43)</f>
        <v>0</v>
      </c>
      <c r="F43" s="45">
        <f>IF($B43-'[4]29'!E43&lt;0,0,$B43-'[4]29'!E43)</f>
        <v>0</v>
      </c>
      <c r="G43" s="45">
        <f>IF($B43-'[4]29'!F43&lt;0,0,$B43-'[4]29'!F43)</f>
        <v>0</v>
      </c>
      <c r="H43" s="45">
        <f>IF($B43-'[4]29'!G43&lt;0,0,$B43-'[4]29'!G43)</f>
        <v>0</v>
      </c>
      <c r="I43" s="45">
        <f>IF($B43-'[4]29'!H43&lt;0,0,$B43-'[4]29'!H43)</f>
        <v>0</v>
      </c>
      <c r="J43" s="45">
        <f>IF($B43-'[4]29'!I43&lt;0,0,$B43-'[4]29'!I43)</f>
        <v>0</v>
      </c>
      <c r="K43" s="45">
        <f>IF($B43-'[4]29'!J43&lt;0,0,$B43-'[4]29'!J43)</f>
        <v>0</v>
      </c>
      <c r="L43" s="45">
        <f>IF($B43-'[4]29'!K43&lt;0,0,$B43-'[4]29'!K43)</f>
        <v>0</v>
      </c>
      <c r="M43" s="45">
        <f>IF($B43-'[4]29'!L43&lt;0,0,$B43-'[4]29'!L43)</f>
        <v>0</v>
      </c>
      <c r="N43" s="45">
        <f>IF($B43-'[4]29'!M43&lt;0,0,$B43-'[4]29'!M43)</f>
        <v>0</v>
      </c>
      <c r="O43" s="45">
        <f>IF($B43-'[4]29'!N43&lt;0,0,$B43-'[4]29'!N43)</f>
        <v>0</v>
      </c>
      <c r="P43" s="45">
        <f>IF($B43-'[4]29'!O43&lt;0,0,$B43-'[4]29'!O43)</f>
        <v>0</v>
      </c>
      <c r="Q43" s="45">
        <f>IF($B43-'[4]29'!P43&lt;0,0,$B43-'[4]29'!P43)</f>
        <v>0</v>
      </c>
      <c r="R43" s="45">
        <f>IF($B43-'[4]29'!Q43&lt;0,0,$B43-'[4]29'!Q43)</f>
        <v>0</v>
      </c>
      <c r="S43" s="45">
        <f>IF($B43-'[4]29'!R43&lt;0,0,$B43-'[4]29'!R43)</f>
        <v>0</v>
      </c>
      <c r="T43" s="45">
        <f>IF($B43-'[4]29'!S43&lt;0,0,$B43-'[4]29'!S43)</f>
        <v>0</v>
      </c>
      <c r="U43" s="45">
        <f>IF($B43-'[4]29'!T43&lt;0,0,$B43-'[4]29'!T43)</f>
        <v>0</v>
      </c>
      <c r="V43" s="45">
        <f>IF($B43-'[4]29'!U43&lt;0,0,$B43-'[4]29'!U43)</f>
        <v>0</v>
      </c>
      <c r="W43" s="45">
        <f>IF($B43-'[4]29'!V43&lt;0,0,$B43-'[4]29'!V43)</f>
        <v>0</v>
      </c>
      <c r="X43" s="45">
        <f>IF($B43-'[4]29'!W43&lt;0,0,$B43-'[4]29'!W43)</f>
        <v>0</v>
      </c>
      <c r="Y43" s="45">
        <f>IF($B43-'[4]29'!X43&lt;0,0,$B43-'[4]29'!X43)</f>
        <v>0</v>
      </c>
      <c r="Z43" s="45">
        <f>IF($B43-'[4]29'!Y43&lt;0,0,$B43-'[4]29'!Y43)</f>
        <v>0</v>
      </c>
      <c r="AA43" s="45">
        <f>IF($B43-'[4]29'!Z43&lt;0,0,$B43-'[4]29'!Z43)</f>
        <v>0</v>
      </c>
      <c r="AB43" s="45">
        <f>IF($B43-'[4]29'!AA43&lt;0,0,$B43-'[4]29'!AA43)</f>
        <v>0</v>
      </c>
      <c r="AC43" s="45">
        <f>IF($B43-'[4]29'!AB43&lt;0,0,$B43-'[4]29'!AB43)</f>
        <v>0</v>
      </c>
      <c r="AD43" s="45">
        <f>IF($B43-'[4]29'!AC43&lt;0,0,$B43-'[4]29'!AC43)</f>
        <v>0</v>
      </c>
      <c r="AE43" s="45">
        <f>IF($B43-'[4]29'!AD43&lt;0,0,$B43-'[4]29'!AD43)</f>
        <v>0</v>
      </c>
      <c r="AF43" s="45">
        <f>IF($B43-'[4]29'!AE43&lt;0,0,$B43-'[4]29'!AE43)</f>
        <v>0</v>
      </c>
      <c r="AG43" s="45">
        <f>IF($B43-'[4]29'!AF43&lt;0,0,$B43-'[4]29'!AF43)</f>
        <v>0</v>
      </c>
      <c r="AH43" s="52">
        <v>11.88</v>
      </c>
      <c r="AI43" s="48">
        <f t="shared" si="2"/>
        <v>0</v>
      </c>
      <c r="AJ43" s="49">
        <f t="shared" si="3"/>
        <v>0</v>
      </c>
      <c r="AL43" s="170"/>
      <c r="AM43" s="28"/>
      <c r="AN43" s="24"/>
      <c r="AO43" s="24"/>
      <c r="AP43" s="24"/>
      <c r="AQ43" s="24"/>
      <c r="AR43" s="15"/>
      <c r="AS43" s="21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</row>
    <row r="44" spans="1:89" ht="14.25" customHeight="1" x14ac:dyDescent="0.25">
      <c r="A44" s="54" t="s">
        <v>43</v>
      </c>
      <c r="B44" s="45">
        <v>11</v>
      </c>
      <c r="C44" s="45">
        <f>IF($B44-'[4]29'!B44&lt;0,0,$B44-'[4]29'!B44)</f>
        <v>0</v>
      </c>
      <c r="D44" s="45">
        <f>IF($B44-'[4]29'!C44&lt;0,0,$B44-'[4]29'!C44)</f>
        <v>0</v>
      </c>
      <c r="E44" s="45">
        <f>IF($B44-'[4]29'!D44&lt;0,0,$B44-'[4]29'!D44)</f>
        <v>0</v>
      </c>
      <c r="F44" s="45">
        <f>IF($B44-'[4]29'!E44&lt;0,0,$B44-'[4]29'!E44)</f>
        <v>0</v>
      </c>
      <c r="G44" s="45">
        <f>IF($B44-'[4]29'!F44&lt;0,0,$B44-'[4]29'!F44)</f>
        <v>0</v>
      </c>
      <c r="H44" s="45">
        <f>IF($B44-'[4]29'!G44&lt;0,0,$B44-'[4]29'!G44)</f>
        <v>0</v>
      </c>
      <c r="I44" s="45">
        <f>IF($B44-'[4]29'!H44&lt;0,0,$B44-'[4]29'!H44)</f>
        <v>0</v>
      </c>
      <c r="J44" s="45">
        <f>IF($B44-'[4]29'!I44&lt;0,0,$B44-'[4]29'!I44)</f>
        <v>0</v>
      </c>
      <c r="K44" s="45">
        <f>IF($B44-'[4]29'!J44&lt;0,0,$B44-'[4]29'!J44)</f>
        <v>0</v>
      </c>
      <c r="L44" s="45">
        <f>IF($B44-'[4]29'!K44&lt;0,0,$B44-'[4]29'!K44)</f>
        <v>0</v>
      </c>
      <c r="M44" s="45">
        <f>IF($B44-'[4]29'!L44&lt;0,0,$B44-'[4]29'!L44)</f>
        <v>0</v>
      </c>
      <c r="N44" s="45">
        <f>IF($B44-'[4]29'!M44&lt;0,0,$B44-'[4]29'!M44)</f>
        <v>0</v>
      </c>
      <c r="O44" s="45">
        <f>IF($B44-'[4]29'!N44&lt;0,0,$B44-'[4]29'!N44)</f>
        <v>0</v>
      </c>
      <c r="P44" s="45">
        <f>IF($B44-'[4]29'!O44&lt;0,0,$B44-'[4]29'!O44)</f>
        <v>0</v>
      </c>
      <c r="Q44" s="45">
        <f>IF($B44-'[4]29'!P44&lt;0,0,$B44-'[4]29'!P44)</f>
        <v>0</v>
      </c>
      <c r="R44" s="45">
        <f>IF($B44-'[4]29'!Q44&lt;0,0,$B44-'[4]29'!Q44)</f>
        <v>0</v>
      </c>
      <c r="S44" s="45">
        <f>IF($B44-'[4]29'!R44&lt;0,0,$B44-'[4]29'!R44)</f>
        <v>0</v>
      </c>
      <c r="T44" s="45">
        <f>IF($B44-'[4]29'!S44&lt;0,0,$B44-'[4]29'!S44)</f>
        <v>0</v>
      </c>
      <c r="U44" s="45">
        <f>IF($B44-'[4]29'!T44&lt;0,0,$B44-'[4]29'!T44)</f>
        <v>0</v>
      </c>
      <c r="V44" s="45">
        <f>IF($B44-'[4]29'!U44&lt;0,0,$B44-'[4]29'!U44)</f>
        <v>0</v>
      </c>
      <c r="W44" s="45">
        <f>IF($B44-'[4]29'!V44&lt;0,0,$B44-'[4]29'!V44)</f>
        <v>0</v>
      </c>
      <c r="X44" s="45">
        <f>IF($B44-'[4]29'!W44&lt;0,0,$B44-'[4]29'!W44)</f>
        <v>0</v>
      </c>
      <c r="Y44" s="45">
        <f>IF($B44-'[4]29'!X44&lt;0,0,$B44-'[4]29'!X44)</f>
        <v>0</v>
      </c>
      <c r="Z44" s="45">
        <f>IF($B44-'[4]29'!Y44&lt;0,0,$B44-'[4]29'!Y44)</f>
        <v>0</v>
      </c>
      <c r="AA44" s="45">
        <f>IF($B44-'[4]29'!Z44&lt;0,0,$B44-'[4]29'!Z44)</f>
        <v>0</v>
      </c>
      <c r="AB44" s="45">
        <f>IF($B44-'[4]29'!AA44&lt;0,0,$B44-'[4]29'!AA44)</f>
        <v>0</v>
      </c>
      <c r="AC44" s="45">
        <f>IF($B44-'[4]29'!AB44&lt;0,0,$B44-'[4]29'!AB44)</f>
        <v>0</v>
      </c>
      <c r="AD44" s="45">
        <f>IF($B44-'[4]29'!AC44&lt;0,0,$B44-'[4]29'!AC44)</f>
        <v>0</v>
      </c>
      <c r="AE44" s="45">
        <f>IF($B44-'[4]29'!AD44&lt;0,0,$B44-'[4]29'!AD44)</f>
        <v>0</v>
      </c>
      <c r="AF44" s="45">
        <f>IF($B44-'[4]29'!AE44&lt;0,0,$B44-'[4]29'!AE44)</f>
        <v>0</v>
      </c>
      <c r="AG44" s="45">
        <f>IF($B44-'[4]29'!AF44&lt;0,0,$B44-'[4]29'!AF44)</f>
        <v>0</v>
      </c>
      <c r="AH44" s="55">
        <v>11</v>
      </c>
      <c r="AI44" s="48">
        <f t="shared" si="2"/>
        <v>0</v>
      </c>
      <c r="AJ44" s="49">
        <f t="shared" si="3"/>
        <v>0</v>
      </c>
      <c r="AL44" s="170"/>
      <c r="AM44" s="28"/>
      <c r="AN44" s="24"/>
      <c r="AO44" s="24"/>
      <c r="AP44" s="24"/>
      <c r="AQ44" s="24"/>
      <c r="AR44" s="15"/>
      <c r="AS44" s="21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</row>
    <row r="45" spans="1:89" ht="14.25" customHeight="1" x14ac:dyDescent="0.25">
      <c r="A45" s="54" t="s">
        <v>44</v>
      </c>
      <c r="B45" s="45">
        <v>8</v>
      </c>
      <c r="C45" s="45">
        <f>IF($B45-'[4]29'!B45&lt;0,0,$B45-'[4]29'!B45)</f>
        <v>0</v>
      </c>
      <c r="D45" s="45">
        <f>IF($B45-'[4]29'!C45&lt;0,0,$B45-'[4]29'!C45)</f>
        <v>0</v>
      </c>
      <c r="E45" s="45">
        <f>IF($B45-'[4]29'!D45&lt;0,0,$B45-'[4]29'!D45)</f>
        <v>0</v>
      </c>
      <c r="F45" s="45">
        <f>IF($B45-'[4]29'!E45&lt;0,0,$B45-'[4]29'!E45)</f>
        <v>0</v>
      </c>
      <c r="G45" s="45">
        <f>IF($B45-'[4]29'!F45&lt;0,0,$B45-'[4]29'!F45)</f>
        <v>0</v>
      </c>
      <c r="H45" s="45">
        <f>IF($B45-'[4]29'!G45&lt;0,0,$B45-'[4]29'!G45)</f>
        <v>0</v>
      </c>
      <c r="I45" s="45">
        <f>IF($B45-'[4]29'!H45&lt;0,0,$B45-'[4]29'!H45)</f>
        <v>0</v>
      </c>
      <c r="J45" s="45">
        <f>IF($B45-'[4]29'!I45&lt;0,0,$B45-'[4]29'!I45)</f>
        <v>0</v>
      </c>
      <c r="K45" s="45">
        <f>IF($B45-'[4]29'!J45&lt;0,0,$B45-'[4]29'!J45)</f>
        <v>0</v>
      </c>
      <c r="L45" s="45">
        <f>IF($B45-'[4]29'!K45&lt;0,0,$B45-'[4]29'!K45)</f>
        <v>0</v>
      </c>
      <c r="M45" s="45">
        <f>IF($B45-'[4]29'!L45&lt;0,0,$B45-'[4]29'!L45)</f>
        <v>0</v>
      </c>
      <c r="N45" s="45">
        <f>IF($B45-'[4]29'!M45&lt;0,0,$B45-'[4]29'!M45)</f>
        <v>0</v>
      </c>
      <c r="O45" s="45">
        <f>IF($B45-'[4]29'!N45&lt;0,0,$B45-'[4]29'!N45)</f>
        <v>0</v>
      </c>
      <c r="P45" s="45">
        <f>IF($B45-'[4]29'!O45&lt;0,0,$B45-'[4]29'!O45)</f>
        <v>0</v>
      </c>
      <c r="Q45" s="45">
        <f>IF($B45-'[4]29'!P45&lt;0,0,$B45-'[4]29'!P45)</f>
        <v>0</v>
      </c>
      <c r="R45" s="45">
        <f>IF($B45-'[4]29'!Q45&lt;0,0,$B45-'[4]29'!Q45)</f>
        <v>0</v>
      </c>
      <c r="S45" s="45">
        <f>IF($B45-'[4]29'!R45&lt;0,0,$B45-'[4]29'!R45)</f>
        <v>0</v>
      </c>
      <c r="T45" s="45">
        <f>IF($B45-'[4]29'!S45&lt;0,0,$B45-'[4]29'!S45)</f>
        <v>0</v>
      </c>
      <c r="U45" s="45">
        <f>IF($B45-'[4]29'!T45&lt;0,0,$B45-'[4]29'!T45)</f>
        <v>0</v>
      </c>
      <c r="V45" s="45">
        <f>IF($B45-'[4]29'!U45&lt;0,0,$B45-'[4]29'!U45)</f>
        <v>0</v>
      </c>
      <c r="W45" s="45">
        <f>IF($B45-'[4]29'!V45&lt;0,0,$B45-'[4]29'!V45)</f>
        <v>0</v>
      </c>
      <c r="X45" s="45">
        <f>IF($B45-'[4]29'!W45&lt;0,0,$B45-'[4]29'!W45)</f>
        <v>0</v>
      </c>
      <c r="Y45" s="45">
        <f>IF($B45-'[4]29'!X45&lt;0,0,$B45-'[4]29'!X45)</f>
        <v>0</v>
      </c>
      <c r="Z45" s="45">
        <f>IF($B45-'[4]29'!Y45&lt;0,0,$B45-'[4]29'!Y45)</f>
        <v>0</v>
      </c>
      <c r="AA45" s="45">
        <f>IF($B45-'[4]29'!Z45&lt;0,0,$B45-'[4]29'!Z45)</f>
        <v>0</v>
      </c>
      <c r="AB45" s="45">
        <f>IF($B45-'[4]29'!AA45&lt;0,0,$B45-'[4]29'!AA45)</f>
        <v>0</v>
      </c>
      <c r="AC45" s="45">
        <f>IF($B45-'[4]29'!AB45&lt;0,0,$B45-'[4]29'!AB45)</f>
        <v>0</v>
      </c>
      <c r="AD45" s="45">
        <f>IF($B45-'[4]29'!AC45&lt;0,0,$B45-'[4]29'!AC45)</f>
        <v>0</v>
      </c>
      <c r="AE45" s="45">
        <f>IF($B45-'[4]29'!AD45&lt;0,0,$B45-'[4]29'!AD45)</f>
        <v>0</v>
      </c>
      <c r="AF45" s="45">
        <f>IF($B45-'[4]29'!AE45&lt;0,0,$B45-'[4]29'!AE45)</f>
        <v>0</v>
      </c>
      <c r="AG45" s="45">
        <f>IF($B45-'[4]29'!AF45&lt;0,0,$B45-'[4]29'!AF45)</f>
        <v>0</v>
      </c>
      <c r="AH45" s="55">
        <v>10</v>
      </c>
      <c r="AI45" s="48">
        <f t="shared" si="2"/>
        <v>0</v>
      </c>
      <c r="AJ45" s="49">
        <f t="shared" si="3"/>
        <v>0</v>
      </c>
      <c r="AL45" s="170"/>
      <c r="AM45" s="28"/>
      <c r="AN45" s="24"/>
      <c r="AO45" s="24"/>
      <c r="AP45" s="24"/>
      <c r="AQ45" s="24"/>
      <c r="AR45" s="15"/>
      <c r="AS45" s="21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</row>
    <row r="46" spans="1:89" x14ac:dyDescent="0.25">
      <c r="A46" s="54" t="s">
        <v>262</v>
      </c>
      <c r="B46" s="45">
        <v>10</v>
      </c>
      <c r="C46" s="45">
        <f>IF($B46-'[4]29'!B46&lt;0,0,$B46-'[4]29'!B46)</f>
        <v>0</v>
      </c>
      <c r="D46" s="45">
        <f>IF($B46-'[4]29'!C46&lt;0,0,$B46-'[4]29'!C46)</f>
        <v>0</v>
      </c>
      <c r="E46" s="45">
        <f>IF($B46-'[4]29'!D46&lt;0,0,$B46-'[4]29'!D46)</f>
        <v>0</v>
      </c>
      <c r="F46" s="45">
        <f>IF($B46-'[4]29'!E46&lt;0,0,$B46-'[4]29'!E46)</f>
        <v>0</v>
      </c>
      <c r="G46" s="45">
        <f>IF($B46-'[4]29'!F46&lt;0,0,$B46-'[4]29'!F46)</f>
        <v>0</v>
      </c>
      <c r="H46" s="45">
        <f>IF($B46-'[4]29'!G46&lt;0,0,$B46-'[4]29'!G46)</f>
        <v>0</v>
      </c>
      <c r="I46" s="45">
        <f>IF($B46-'[4]29'!H46&lt;0,0,$B46-'[4]29'!H46)</f>
        <v>0</v>
      </c>
      <c r="J46" s="45">
        <f>IF($B46-'[4]29'!I46&lt;0,0,$B46-'[4]29'!I46)</f>
        <v>0</v>
      </c>
      <c r="K46" s="45">
        <f>IF($B46-'[4]29'!J46&lt;0,0,$B46-'[4]29'!J46)</f>
        <v>0</v>
      </c>
      <c r="L46" s="45">
        <f>IF($B46-'[4]29'!K46&lt;0,0,$B46-'[4]29'!K46)</f>
        <v>0</v>
      </c>
      <c r="M46" s="45">
        <f>IF($B46-'[4]29'!L46&lt;0,0,$B46-'[4]29'!L46)</f>
        <v>0</v>
      </c>
      <c r="N46" s="45">
        <f>IF($B46-'[4]29'!M46&lt;0,0,$B46-'[4]29'!M46)</f>
        <v>0</v>
      </c>
      <c r="O46" s="45">
        <f>IF($B46-'[4]29'!N46&lt;0,0,$B46-'[4]29'!N46)</f>
        <v>0</v>
      </c>
      <c r="P46" s="45">
        <f>IF($B46-'[4]29'!O46&lt;0,0,$B46-'[4]29'!O46)</f>
        <v>0</v>
      </c>
      <c r="Q46" s="45">
        <f>IF($B46-'[4]29'!P46&lt;0,0,$B46-'[4]29'!P46)</f>
        <v>0</v>
      </c>
      <c r="R46" s="45">
        <f>IF($B46-'[4]29'!Q46&lt;0,0,$B46-'[4]29'!Q46)</f>
        <v>0</v>
      </c>
      <c r="S46" s="45">
        <f>IF($B46-'[4]29'!R46&lt;0,0,$B46-'[4]29'!R46)</f>
        <v>0</v>
      </c>
      <c r="T46" s="45">
        <f>IF($B46-'[4]29'!S46&lt;0,0,$B46-'[4]29'!S46)</f>
        <v>0</v>
      </c>
      <c r="U46" s="45">
        <f>IF($B46-'[4]29'!T46&lt;0,0,$B46-'[4]29'!T46)</f>
        <v>0</v>
      </c>
      <c r="V46" s="45">
        <f>IF($B46-'[4]29'!U46&lt;0,0,$B46-'[4]29'!U46)</f>
        <v>0</v>
      </c>
      <c r="W46" s="45">
        <f>IF($B46-'[4]29'!V46&lt;0,0,$B46-'[4]29'!V46)</f>
        <v>0</v>
      </c>
      <c r="X46" s="45">
        <f>IF($B46-'[4]29'!W46&lt;0,0,$B46-'[4]29'!W46)</f>
        <v>0</v>
      </c>
      <c r="Y46" s="45">
        <f>IF($B46-'[4]29'!X46&lt;0,0,$B46-'[4]29'!X46)</f>
        <v>0</v>
      </c>
      <c r="Z46" s="45">
        <f>IF($B46-'[4]29'!Y46&lt;0,0,$B46-'[4]29'!Y46)</f>
        <v>0</v>
      </c>
      <c r="AA46" s="45">
        <f>IF($B46-'[4]29'!Z46&lt;0,0,$B46-'[4]29'!Z46)</f>
        <v>0</v>
      </c>
      <c r="AB46" s="45">
        <f>IF($B46-'[4]29'!AA46&lt;0,0,$B46-'[4]29'!AA46)</f>
        <v>0</v>
      </c>
      <c r="AC46" s="45">
        <f>IF($B46-'[4]29'!AB46&lt;0,0,$B46-'[4]29'!AB46)</f>
        <v>0</v>
      </c>
      <c r="AD46" s="45">
        <f>IF($B46-'[4]29'!AC46&lt;0,0,$B46-'[4]29'!AC46)</f>
        <v>0</v>
      </c>
      <c r="AE46" s="45">
        <f>IF($B46-'[4]29'!AD46&lt;0,0,$B46-'[4]29'!AD46)</f>
        <v>0</v>
      </c>
      <c r="AF46" s="45">
        <f>IF($B46-'[4]29'!AE46&lt;0,0,$B46-'[4]29'!AE46)</f>
        <v>0</v>
      </c>
      <c r="AG46" s="45">
        <f>IF($B46-'[4]29'!AF46&lt;0,0,$B46-'[4]29'!AF46)</f>
        <v>0</v>
      </c>
      <c r="AH46" s="55">
        <v>10</v>
      </c>
      <c r="AI46" s="48">
        <f t="shared" si="2"/>
        <v>0</v>
      </c>
      <c r="AJ46" s="49">
        <f t="shared" si="3"/>
        <v>0</v>
      </c>
      <c r="AL46" s="170"/>
      <c r="AM46" s="28"/>
      <c r="AP46" s="24"/>
      <c r="AQ46" s="24"/>
      <c r="AR46" s="15"/>
      <c r="AS46" s="21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</row>
    <row r="47" spans="1:89" x14ac:dyDescent="0.25">
      <c r="A47" s="54" t="s">
        <v>45</v>
      </c>
      <c r="B47" s="45">
        <v>0</v>
      </c>
      <c r="C47" s="45">
        <f>IF($B47-'[4]29'!B47&lt;0,0,$B47-'[4]29'!B47)</f>
        <v>0</v>
      </c>
      <c r="D47" s="45">
        <f>IF($B47-'[4]29'!C47&lt;0,0,$B47-'[4]29'!C47)</f>
        <v>0</v>
      </c>
      <c r="E47" s="45">
        <f>IF($B47-'[4]29'!D47&lt;0,0,$B47-'[4]29'!D47)</f>
        <v>0</v>
      </c>
      <c r="F47" s="45">
        <f>IF($B47-'[4]29'!E47&lt;0,0,$B47-'[4]29'!E47)</f>
        <v>0</v>
      </c>
      <c r="G47" s="45">
        <f>IF($B47-'[4]29'!F47&lt;0,0,$B47-'[4]29'!F47)</f>
        <v>0</v>
      </c>
      <c r="H47" s="45">
        <f>IF($B47-'[4]29'!G47&lt;0,0,$B47-'[4]29'!G47)</f>
        <v>0</v>
      </c>
      <c r="I47" s="45">
        <f>IF($B47-'[4]29'!H47&lt;0,0,$B47-'[4]29'!H47)</f>
        <v>0</v>
      </c>
      <c r="J47" s="45">
        <f>IF($B47-'[4]29'!I47&lt;0,0,$B47-'[4]29'!I47)</f>
        <v>0</v>
      </c>
      <c r="K47" s="45">
        <f>IF($B47-'[4]29'!J47&lt;0,0,$B47-'[4]29'!J47)</f>
        <v>0</v>
      </c>
      <c r="L47" s="45">
        <f>IF($B47-'[4]29'!K47&lt;0,0,$B47-'[4]29'!K47)</f>
        <v>0</v>
      </c>
      <c r="M47" s="45">
        <f>IF($B47-'[4]29'!L47&lt;0,0,$B47-'[4]29'!L47)</f>
        <v>0</v>
      </c>
      <c r="N47" s="45">
        <f>IF($B47-'[4]29'!M47&lt;0,0,$B47-'[4]29'!M47)</f>
        <v>0</v>
      </c>
      <c r="O47" s="45">
        <f>IF($B47-'[4]29'!N47&lt;0,0,$B47-'[4]29'!N47)</f>
        <v>0</v>
      </c>
      <c r="P47" s="45">
        <f>IF($B47-'[4]29'!O47&lt;0,0,$B47-'[4]29'!O47)</f>
        <v>0</v>
      </c>
      <c r="Q47" s="45">
        <f>IF($B47-'[4]29'!P47&lt;0,0,$B47-'[4]29'!P47)</f>
        <v>0</v>
      </c>
      <c r="R47" s="45">
        <f>IF($B47-'[4]29'!Q47&lt;0,0,$B47-'[4]29'!Q47)</f>
        <v>0</v>
      </c>
      <c r="S47" s="45">
        <f>IF($B47-'[4]29'!R47&lt;0,0,$B47-'[4]29'!R47)</f>
        <v>0</v>
      </c>
      <c r="T47" s="45">
        <f>IF($B47-'[4]29'!S47&lt;0,0,$B47-'[4]29'!S47)</f>
        <v>0</v>
      </c>
      <c r="U47" s="45">
        <f>IF($B47-'[4]29'!T47&lt;0,0,$B47-'[4]29'!T47)</f>
        <v>0</v>
      </c>
      <c r="V47" s="45">
        <f>IF($B47-'[4]29'!U47&lt;0,0,$B47-'[4]29'!U47)</f>
        <v>0</v>
      </c>
      <c r="W47" s="45">
        <f>IF($B47-'[4]29'!V47&lt;0,0,$B47-'[4]29'!V47)</f>
        <v>0</v>
      </c>
      <c r="X47" s="45">
        <f>IF($B47-'[4]29'!W47&lt;0,0,$B47-'[4]29'!W47)</f>
        <v>0</v>
      </c>
      <c r="Y47" s="45">
        <f>IF($B47-'[4]29'!X47&lt;0,0,$B47-'[4]29'!X47)</f>
        <v>0</v>
      </c>
      <c r="Z47" s="45">
        <f>IF($B47-'[4]29'!Y47&lt;0,0,$B47-'[4]29'!Y47)</f>
        <v>0</v>
      </c>
      <c r="AA47" s="45">
        <f>IF($B47-'[4]29'!Z47&lt;0,0,$B47-'[4]29'!Z47)</f>
        <v>0</v>
      </c>
      <c r="AB47" s="45">
        <f>IF($B47-'[4]29'!AA47&lt;0,0,$B47-'[4]29'!AA47)</f>
        <v>0</v>
      </c>
      <c r="AC47" s="45">
        <f>IF($B47-'[4]29'!AB47&lt;0,0,$B47-'[4]29'!AB47)</f>
        <v>0</v>
      </c>
      <c r="AD47" s="45">
        <f>IF($B47-'[4]29'!AC47&lt;0,0,$B47-'[4]29'!AC47)</f>
        <v>0</v>
      </c>
      <c r="AE47" s="45">
        <f>IF($B47-'[4]29'!AD47&lt;0,0,$B47-'[4]29'!AD47)</f>
        <v>0</v>
      </c>
      <c r="AF47" s="45">
        <f>IF($B47-'[4]29'!AE47&lt;0,0,$B47-'[4]29'!AE47)</f>
        <v>0</v>
      </c>
      <c r="AG47" s="45">
        <f>IF($B47-'[4]29'!AF47&lt;0,0,$B47-'[4]29'!AF47)</f>
        <v>0</v>
      </c>
      <c r="AH47" s="55">
        <v>10</v>
      </c>
      <c r="AI47" s="48">
        <f t="shared" si="2"/>
        <v>0</v>
      </c>
      <c r="AJ47" s="49">
        <f t="shared" si="3"/>
        <v>0</v>
      </c>
      <c r="AL47" s="170"/>
      <c r="AM47" s="28"/>
      <c r="AP47" s="24"/>
      <c r="AQ47" s="24"/>
      <c r="AR47" s="15"/>
      <c r="AS47" s="21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</row>
    <row r="48" spans="1:89" x14ac:dyDescent="0.25">
      <c r="A48" s="56" t="s">
        <v>46</v>
      </c>
      <c r="B48" s="57">
        <v>360</v>
      </c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55">
        <v>85</v>
      </c>
      <c r="AI48" s="48">
        <f t="shared" si="2"/>
        <v>0</v>
      </c>
      <c r="AJ48" s="49">
        <f t="shared" si="3"/>
        <v>0</v>
      </c>
      <c r="AK48" s="208"/>
      <c r="AL48" s="208"/>
      <c r="AM48" s="208"/>
    </row>
    <row r="49" spans="1:42" ht="15.75" thickBot="1" x14ac:dyDescent="0.3">
      <c r="A49" s="58" t="s">
        <v>47</v>
      </c>
      <c r="B49" s="57">
        <f>17.7+48.2</f>
        <v>65.900000000000006</v>
      </c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55">
        <v>240</v>
      </c>
      <c r="AI49" s="48">
        <f t="shared" si="2"/>
        <v>0</v>
      </c>
      <c r="AJ49" s="49">
        <f t="shared" si="3"/>
        <v>0</v>
      </c>
      <c r="AL49" s="50"/>
    </row>
    <row r="50" spans="1:42" ht="21" thickBot="1" x14ac:dyDescent="0.3">
      <c r="A50" s="60" t="s">
        <v>48</v>
      </c>
      <c r="B50" s="209">
        <f t="shared" ref="B50" si="4">SUM(B11:B48)</f>
        <v>978.30000000000007</v>
      </c>
      <c r="C50" s="209">
        <f t="shared" ref="C50:AG50" si="5">SUM(C11:C48)</f>
        <v>73.099999999999994</v>
      </c>
      <c r="D50" s="209">
        <f t="shared" si="5"/>
        <v>90.8</v>
      </c>
      <c r="E50" s="209">
        <f t="shared" si="5"/>
        <v>90.8</v>
      </c>
      <c r="F50" s="209">
        <f t="shared" si="5"/>
        <v>119.2</v>
      </c>
      <c r="G50" s="209">
        <f t="shared" si="5"/>
        <v>117.7</v>
      </c>
      <c r="H50" s="209">
        <f t="shared" si="5"/>
        <v>93.699999999999989</v>
      </c>
      <c r="I50" s="209">
        <f t="shared" si="5"/>
        <v>50.2</v>
      </c>
      <c r="J50" s="209">
        <f t="shared" si="5"/>
        <v>20.100000000000001</v>
      </c>
      <c r="K50" s="209">
        <f t="shared" si="5"/>
        <v>6.6999999999999993</v>
      </c>
      <c r="L50" s="209">
        <f t="shared" si="5"/>
        <v>6.6999999999999993</v>
      </c>
      <c r="M50" s="209">
        <f t="shared" si="5"/>
        <v>7.6999999999999993</v>
      </c>
      <c r="N50" s="209">
        <f t="shared" si="5"/>
        <v>9.6999999999999993</v>
      </c>
      <c r="O50" s="209">
        <f t="shared" si="5"/>
        <v>30.799999999999997</v>
      </c>
      <c r="P50" s="209">
        <f t="shared" si="5"/>
        <v>26.5</v>
      </c>
      <c r="Q50" s="209">
        <f t="shared" si="5"/>
        <v>65.3</v>
      </c>
      <c r="R50" s="209">
        <f t="shared" si="5"/>
        <v>99.899999999999991</v>
      </c>
      <c r="S50" s="209">
        <f t="shared" si="5"/>
        <v>98.899999999999991</v>
      </c>
      <c r="T50" s="209">
        <f t="shared" si="5"/>
        <v>98.899999999999991</v>
      </c>
      <c r="U50" s="209">
        <f t="shared" si="5"/>
        <v>99.600000000000009</v>
      </c>
      <c r="V50" s="209">
        <f t="shared" si="5"/>
        <v>98.3</v>
      </c>
      <c r="W50" s="209">
        <f t="shared" si="5"/>
        <v>89.100000000000009</v>
      </c>
      <c r="X50" s="209">
        <f t="shared" si="5"/>
        <v>89.100000000000009</v>
      </c>
      <c r="Y50" s="209">
        <f t="shared" si="5"/>
        <v>40.799999999999997</v>
      </c>
      <c r="Z50" s="209">
        <f t="shared" si="5"/>
        <v>40.799999999999997</v>
      </c>
      <c r="AA50" s="209">
        <f t="shared" si="5"/>
        <v>40.799999999999997</v>
      </c>
      <c r="AB50" s="209">
        <f t="shared" si="5"/>
        <v>40.799999999999997</v>
      </c>
      <c r="AC50" s="209">
        <f t="shared" si="5"/>
        <v>45</v>
      </c>
      <c r="AD50" s="209">
        <f t="shared" si="5"/>
        <v>55.6</v>
      </c>
      <c r="AE50" s="209">
        <f t="shared" si="5"/>
        <v>63.70000000000001</v>
      </c>
      <c r="AF50" s="209">
        <f t="shared" si="5"/>
        <v>72.700000000000017</v>
      </c>
      <c r="AG50" s="209">
        <f t="shared" si="5"/>
        <v>97.6</v>
      </c>
      <c r="AH50" s="210">
        <f>SUM(C50:AG50)</f>
        <v>1980.5999999999995</v>
      </c>
      <c r="AI50" s="48">
        <f t="shared" si="2"/>
        <v>119.2</v>
      </c>
      <c r="AJ50" s="49">
        <f t="shared" si="3"/>
        <v>6.6999999999999993</v>
      </c>
      <c r="AK50" s="1" t="s">
        <v>263</v>
      </c>
      <c r="AL50" s="210">
        <f>SUM(C50:G50,AE50:AG50)</f>
        <v>725.6</v>
      </c>
    </row>
    <row r="51" spans="1:42" x14ac:dyDescent="0.25">
      <c r="A51" s="63" t="s">
        <v>49</v>
      </c>
      <c r="B51" s="206">
        <v>217</v>
      </c>
      <c r="C51" s="45">
        <v>0</v>
      </c>
      <c r="D51" s="45">
        <v>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v>0</v>
      </c>
      <c r="Q51" s="45">
        <v>0</v>
      </c>
      <c r="R51" s="45">
        <v>0</v>
      </c>
      <c r="S51" s="45">
        <v>0</v>
      </c>
      <c r="T51" s="45">
        <v>0</v>
      </c>
      <c r="U51" s="45">
        <v>0</v>
      </c>
      <c r="V51" s="45">
        <v>0</v>
      </c>
      <c r="W51" s="45">
        <v>0</v>
      </c>
      <c r="X51" s="45">
        <v>0</v>
      </c>
      <c r="Y51" s="45">
        <v>0</v>
      </c>
      <c r="Z51" s="45">
        <v>0</v>
      </c>
      <c r="AA51" s="45">
        <v>0</v>
      </c>
      <c r="AB51" s="45">
        <v>0</v>
      </c>
      <c r="AC51" s="45">
        <v>0</v>
      </c>
      <c r="AD51" s="45">
        <v>0</v>
      </c>
      <c r="AE51" s="45">
        <v>0</v>
      </c>
      <c r="AF51" s="45">
        <v>0</v>
      </c>
      <c r="AG51" s="45">
        <v>0</v>
      </c>
      <c r="AH51" s="52">
        <v>456</v>
      </c>
      <c r="AI51" s="48">
        <f t="shared" si="2"/>
        <v>0</v>
      </c>
      <c r="AJ51" s="49">
        <f t="shared" si="3"/>
        <v>0</v>
      </c>
      <c r="AL51" s="50"/>
    </row>
    <row r="52" spans="1:42" x14ac:dyDescent="0.25">
      <c r="A52" s="64" t="s">
        <v>50</v>
      </c>
      <c r="B52" s="211">
        <v>60</v>
      </c>
      <c r="C52" s="45" t="e">
        <f>$B52-#REF!</f>
        <v>#REF!</v>
      </c>
      <c r="D52" s="45" t="e">
        <f>$B52-#REF!</f>
        <v>#REF!</v>
      </c>
      <c r="E52" s="45" t="e">
        <f>$B52-#REF!</f>
        <v>#REF!</v>
      </c>
      <c r="F52" s="45" t="e">
        <f>$B52-#REF!</f>
        <v>#REF!</v>
      </c>
      <c r="G52" s="45" t="e">
        <f>$B52-#REF!</f>
        <v>#REF!</v>
      </c>
      <c r="H52" s="45" t="e">
        <f>$B52-#REF!</f>
        <v>#REF!</v>
      </c>
      <c r="I52" s="45" t="e">
        <f>$B52-#REF!</f>
        <v>#REF!</v>
      </c>
      <c r="J52" s="45" t="e">
        <f>$B52-#REF!</f>
        <v>#REF!</v>
      </c>
      <c r="K52" s="45" t="e">
        <f>$B52-#REF!</f>
        <v>#REF!</v>
      </c>
      <c r="L52" s="45" t="e">
        <f>$B52-#REF!</f>
        <v>#REF!</v>
      </c>
      <c r="M52" s="45" t="e">
        <f>$B52-#REF!</f>
        <v>#REF!</v>
      </c>
      <c r="N52" s="45" t="e">
        <f>$B52-#REF!</f>
        <v>#REF!</v>
      </c>
      <c r="O52" s="45" t="e">
        <f>$B52-#REF!</f>
        <v>#REF!</v>
      </c>
      <c r="P52" s="45" t="e">
        <f>$B52-#REF!</f>
        <v>#REF!</v>
      </c>
      <c r="Q52" s="45" t="e">
        <f>$B52-#REF!</f>
        <v>#REF!</v>
      </c>
      <c r="R52" s="45" t="e">
        <f>$B52-#REF!</f>
        <v>#REF!</v>
      </c>
      <c r="S52" s="45" t="e">
        <f>$B52-#REF!</f>
        <v>#REF!</v>
      </c>
      <c r="T52" s="45" t="e">
        <f>$B52-#REF!</f>
        <v>#REF!</v>
      </c>
      <c r="U52" s="45" t="e">
        <f>$B52-#REF!</f>
        <v>#REF!</v>
      </c>
      <c r="V52" s="45" t="e">
        <f>$B52-#REF!</f>
        <v>#REF!</v>
      </c>
      <c r="W52" s="45" t="e">
        <f>$B52-#REF!</f>
        <v>#REF!</v>
      </c>
      <c r="X52" s="45" t="e">
        <f>$B52-#REF!</f>
        <v>#REF!</v>
      </c>
      <c r="Y52" s="45" t="e">
        <f>$B52-#REF!</f>
        <v>#REF!</v>
      </c>
      <c r="Z52" s="45" t="e">
        <f>$B52-#REF!</f>
        <v>#REF!</v>
      </c>
      <c r="AA52" s="45" t="e">
        <f>$B52-#REF!</f>
        <v>#REF!</v>
      </c>
      <c r="AB52" s="45" t="e">
        <f>$B52-#REF!</f>
        <v>#REF!</v>
      </c>
      <c r="AC52" s="45" t="e">
        <f>$B52-#REF!</f>
        <v>#REF!</v>
      </c>
      <c r="AD52" s="45" t="e">
        <f>$B52-#REF!</f>
        <v>#REF!</v>
      </c>
      <c r="AE52" s="45" t="e">
        <f>$B52-#REF!</f>
        <v>#REF!</v>
      </c>
      <c r="AF52" s="45" t="e">
        <f>$B52-#REF!</f>
        <v>#REF!</v>
      </c>
      <c r="AG52" s="45" t="e">
        <f>$B52-#REF!</f>
        <v>#REF!</v>
      </c>
      <c r="AH52" s="55">
        <v>60</v>
      </c>
      <c r="AI52" s="48" t="e">
        <f t="shared" si="2"/>
        <v>#REF!</v>
      </c>
      <c r="AJ52" s="49" t="e">
        <f t="shared" si="3"/>
        <v>#REF!</v>
      </c>
      <c r="AK52" s="1" t="s">
        <v>264</v>
      </c>
      <c r="AL52" s="212">
        <f>AL50/8</f>
        <v>90.7</v>
      </c>
    </row>
    <row r="53" spans="1:42" ht="15.75" thickBot="1" x14ac:dyDescent="0.3">
      <c r="A53" s="66" t="s">
        <v>51</v>
      </c>
      <c r="B53" s="213">
        <v>22.5</v>
      </c>
      <c r="C53" s="45">
        <v>0</v>
      </c>
      <c r="D53" s="45">
        <v>0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v>0</v>
      </c>
      <c r="O53" s="45">
        <v>0</v>
      </c>
      <c r="P53" s="45">
        <v>0</v>
      </c>
      <c r="Q53" s="45">
        <v>0</v>
      </c>
      <c r="R53" s="45">
        <v>0</v>
      </c>
      <c r="S53" s="45">
        <v>0</v>
      </c>
      <c r="T53" s="45">
        <v>0</v>
      </c>
      <c r="U53" s="45">
        <v>0</v>
      </c>
      <c r="V53" s="45">
        <v>0</v>
      </c>
      <c r="W53" s="45">
        <v>0</v>
      </c>
      <c r="X53" s="45">
        <v>0</v>
      </c>
      <c r="Y53" s="45">
        <v>0</v>
      </c>
      <c r="Z53" s="45">
        <v>0</v>
      </c>
      <c r="AA53" s="45">
        <v>0</v>
      </c>
      <c r="AB53" s="45">
        <v>0</v>
      </c>
      <c r="AC53" s="45">
        <v>0</v>
      </c>
      <c r="AD53" s="45">
        <v>0</v>
      </c>
      <c r="AE53" s="45">
        <v>0</v>
      </c>
      <c r="AF53" s="45">
        <v>0</v>
      </c>
      <c r="AG53" s="45">
        <v>0</v>
      </c>
      <c r="AH53" s="68">
        <v>22.1</v>
      </c>
      <c r="AI53" s="48">
        <f t="shared" si="2"/>
        <v>0</v>
      </c>
      <c r="AJ53" s="49">
        <f t="shared" si="3"/>
        <v>0</v>
      </c>
      <c r="AL53" s="50"/>
    </row>
    <row r="54" spans="1:42" ht="15.75" thickBot="1" x14ac:dyDescent="0.3">
      <c r="A54" s="69" t="s">
        <v>52</v>
      </c>
      <c r="B54" s="214">
        <f t="shared" ref="B54" si="6">SUM(B51:B53)</f>
        <v>299.5</v>
      </c>
      <c r="C54" s="85" t="e">
        <f>SUM(C51:C53)</f>
        <v>#REF!</v>
      </c>
      <c r="D54" s="85" t="e">
        <f t="shared" ref="D54:AH54" si="7">SUM(D51:D53)</f>
        <v>#REF!</v>
      </c>
      <c r="E54" s="85" t="e">
        <f t="shared" si="7"/>
        <v>#REF!</v>
      </c>
      <c r="F54" s="85" t="e">
        <f t="shared" si="7"/>
        <v>#REF!</v>
      </c>
      <c r="G54" s="85" t="e">
        <f t="shared" si="7"/>
        <v>#REF!</v>
      </c>
      <c r="H54" s="85" t="e">
        <f t="shared" si="7"/>
        <v>#REF!</v>
      </c>
      <c r="I54" s="85" t="e">
        <f t="shared" si="7"/>
        <v>#REF!</v>
      </c>
      <c r="J54" s="85" t="e">
        <f t="shared" si="7"/>
        <v>#REF!</v>
      </c>
      <c r="K54" s="85" t="e">
        <f t="shared" si="7"/>
        <v>#REF!</v>
      </c>
      <c r="L54" s="85" t="e">
        <f t="shared" si="7"/>
        <v>#REF!</v>
      </c>
      <c r="M54" s="85" t="e">
        <f t="shared" si="7"/>
        <v>#REF!</v>
      </c>
      <c r="N54" s="85" t="e">
        <f t="shared" si="7"/>
        <v>#REF!</v>
      </c>
      <c r="O54" s="85" t="e">
        <f t="shared" si="7"/>
        <v>#REF!</v>
      </c>
      <c r="P54" s="85" t="e">
        <f t="shared" si="7"/>
        <v>#REF!</v>
      </c>
      <c r="Q54" s="85" t="e">
        <f t="shared" si="7"/>
        <v>#REF!</v>
      </c>
      <c r="R54" s="85" t="e">
        <f t="shared" si="7"/>
        <v>#REF!</v>
      </c>
      <c r="S54" s="85" t="e">
        <f t="shared" si="7"/>
        <v>#REF!</v>
      </c>
      <c r="T54" s="85" t="e">
        <f t="shared" si="7"/>
        <v>#REF!</v>
      </c>
      <c r="U54" s="85" t="e">
        <f t="shared" si="7"/>
        <v>#REF!</v>
      </c>
      <c r="V54" s="85" t="e">
        <f t="shared" si="7"/>
        <v>#REF!</v>
      </c>
      <c r="W54" s="85" t="e">
        <f t="shared" si="7"/>
        <v>#REF!</v>
      </c>
      <c r="X54" s="85" t="e">
        <f t="shared" si="7"/>
        <v>#REF!</v>
      </c>
      <c r="Y54" s="85" t="e">
        <f t="shared" si="7"/>
        <v>#REF!</v>
      </c>
      <c r="Z54" s="85" t="e">
        <f t="shared" si="7"/>
        <v>#REF!</v>
      </c>
      <c r="AA54" s="85" t="e">
        <f t="shared" si="7"/>
        <v>#REF!</v>
      </c>
      <c r="AB54" s="85" t="e">
        <f t="shared" si="7"/>
        <v>#REF!</v>
      </c>
      <c r="AC54" s="85" t="e">
        <f t="shared" si="7"/>
        <v>#REF!</v>
      </c>
      <c r="AD54" s="85" t="e">
        <f t="shared" si="7"/>
        <v>#REF!</v>
      </c>
      <c r="AE54" s="85" t="e">
        <f t="shared" si="7"/>
        <v>#REF!</v>
      </c>
      <c r="AF54" s="85" t="e">
        <f t="shared" si="7"/>
        <v>#REF!</v>
      </c>
      <c r="AG54" s="85" t="e">
        <f t="shared" si="7"/>
        <v>#REF!</v>
      </c>
      <c r="AH54" s="215">
        <f t="shared" si="7"/>
        <v>538.1</v>
      </c>
      <c r="AI54" s="48" t="e">
        <f t="shared" si="2"/>
        <v>#REF!</v>
      </c>
      <c r="AJ54" s="49" t="e">
        <f t="shared" si="3"/>
        <v>#REF!</v>
      </c>
      <c r="AL54" s="50"/>
    </row>
    <row r="55" spans="1:42" x14ac:dyDescent="0.25">
      <c r="A55" s="44" t="s">
        <v>53</v>
      </c>
      <c r="B55" s="206">
        <v>144</v>
      </c>
      <c r="C55" s="45">
        <f>IF($B55-'[4]29'!B55&lt;0,0,$B55-'[4]29'!B55)</f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45">
        <v>0</v>
      </c>
      <c r="AH55" s="52">
        <v>144</v>
      </c>
      <c r="AI55" s="48">
        <f t="shared" si="2"/>
        <v>0</v>
      </c>
      <c r="AJ55" s="49">
        <f t="shared" si="3"/>
        <v>0</v>
      </c>
      <c r="AK55" s="48">
        <f>45*19</f>
        <v>855</v>
      </c>
      <c r="AL55" s="50"/>
    </row>
    <row r="56" spans="1:42" x14ac:dyDescent="0.25">
      <c r="A56" s="54" t="s">
        <v>54</v>
      </c>
      <c r="B56" s="211">
        <v>70</v>
      </c>
      <c r="C56" s="45">
        <f>IF($B56-'[4]29'!B56&lt;0,0,$B56-'[4]29'!B56)</f>
        <v>0.20000000000000284</v>
      </c>
      <c r="D56" s="45">
        <v>0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v>0</v>
      </c>
      <c r="O56" s="45">
        <v>0</v>
      </c>
      <c r="P56" s="45">
        <v>0</v>
      </c>
      <c r="Q56" s="45">
        <v>0</v>
      </c>
      <c r="R56" s="45">
        <v>0</v>
      </c>
      <c r="S56" s="45">
        <v>0</v>
      </c>
      <c r="T56" s="45">
        <v>0</v>
      </c>
      <c r="U56" s="45">
        <v>0</v>
      </c>
      <c r="V56" s="45">
        <v>0</v>
      </c>
      <c r="W56" s="45">
        <v>0</v>
      </c>
      <c r="X56" s="45">
        <v>0</v>
      </c>
      <c r="Y56" s="45">
        <v>0</v>
      </c>
      <c r="Z56" s="45">
        <v>0</v>
      </c>
      <c r="AA56" s="45">
        <v>0</v>
      </c>
      <c r="AB56" s="45">
        <v>0</v>
      </c>
      <c r="AC56" s="45">
        <v>0</v>
      </c>
      <c r="AD56" s="45">
        <v>0</v>
      </c>
      <c r="AE56" s="45">
        <v>0</v>
      </c>
      <c r="AF56" s="45">
        <v>0</v>
      </c>
      <c r="AG56" s="45">
        <v>0</v>
      </c>
      <c r="AH56" s="55">
        <v>70</v>
      </c>
      <c r="AI56" s="48">
        <f t="shared" si="2"/>
        <v>0.20000000000000284</v>
      </c>
      <c r="AJ56" s="49">
        <f t="shared" si="3"/>
        <v>0</v>
      </c>
      <c r="AL56" s="50"/>
    </row>
    <row r="57" spans="1:42" x14ac:dyDescent="0.25">
      <c r="A57" s="54" t="s">
        <v>55</v>
      </c>
      <c r="B57" s="211">
        <v>69</v>
      </c>
      <c r="C57" s="45">
        <f>IF($B57-'[4]29'!B57&lt;0,0,$B57-'[4]29'!B57)</f>
        <v>0</v>
      </c>
      <c r="D57" s="45">
        <f>IF($B57-'[4]29'!C57&lt;0,0,$B57-'[4]29'!C57)</f>
        <v>0</v>
      </c>
      <c r="E57" s="45">
        <f>IF($B57-'[4]29'!D57&lt;0,0,$B57-'[4]29'!D57)</f>
        <v>0</v>
      </c>
      <c r="F57" s="45">
        <f>IF($B57-'[4]29'!E57&lt;0,0,$B57-'[4]29'!E57)</f>
        <v>0</v>
      </c>
      <c r="G57" s="45">
        <f>IF($B57-'[4]29'!F57&lt;0,0,$B57-'[4]29'!F57)</f>
        <v>0</v>
      </c>
      <c r="H57" s="45">
        <f>IF($B57-'[4]29'!G57&lt;0,0,$B57-'[4]29'!G57)</f>
        <v>0</v>
      </c>
      <c r="I57" s="45">
        <f>IF($B57-'[4]29'!H57&lt;0,0,$B57-'[4]29'!H57)</f>
        <v>0</v>
      </c>
      <c r="J57" s="45">
        <f>IF($B57-'[4]29'!I57&lt;0,0,$B57-'[4]29'!I57)</f>
        <v>0</v>
      </c>
      <c r="K57" s="45">
        <f>IF($B57-'[4]29'!J57&lt;0,0,$B57-'[4]29'!J57)</f>
        <v>4.9000000000000057</v>
      </c>
      <c r="L57" s="45">
        <f>IF($B57-'[4]29'!K57&lt;0,0,$B57-'[4]29'!K57)</f>
        <v>0</v>
      </c>
      <c r="M57" s="45">
        <f>IF($B57-'[4]29'!L57&lt;0,0,$B57-'[4]29'!L57)</f>
        <v>0</v>
      </c>
      <c r="N57" s="45">
        <f>IF($B57-'[4]29'!M57&lt;0,0,$B57-'[4]29'!M57)</f>
        <v>0</v>
      </c>
      <c r="O57" s="45">
        <f>IF($B57-'[4]29'!N57&lt;0,0,$B57-'[4]29'!N57)</f>
        <v>0</v>
      </c>
      <c r="P57" s="45">
        <f>IF($B57-'[4]29'!O57&lt;0,0,$B57-'[4]29'!O57)</f>
        <v>0</v>
      </c>
      <c r="Q57" s="45">
        <f>IF($B57-'[4]29'!P57&lt;0,0,$B57-'[4]29'!P57)</f>
        <v>4</v>
      </c>
      <c r="R57" s="45">
        <f>IF($B57-'[4]29'!Q57&lt;0,0,$B57-'[4]29'!Q57)</f>
        <v>2.9000000000000057</v>
      </c>
      <c r="S57" s="45">
        <f>IF($B57-'[4]29'!R57&lt;0,0,$B57-'[4]29'!R57)</f>
        <v>18.799999999999997</v>
      </c>
      <c r="T57" s="45">
        <f>IF($B57-'[4]29'!S57&lt;0,0,$B57-'[4]29'!S57)</f>
        <v>18.799999999999997</v>
      </c>
      <c r="U57" s="45">
        <f>IF($B57-'[4]29'!T57&lt;0,0,$B57-'[4]29'!T57)</f>
        <v>18.700000000000003</v>
      </c>
      <c r="V57" s="45">
        <f>IF($B57-'[4]29'!U57&lt;0,0,$B57-'[4]29'!U57)</f>
        <v>20</v>
      </c>
      <c r="W57" s="45">
        <f>IF($B57-'[4]29'!V57&lt;0,0,$B57-'[4]29'!V57)</f>
        <v>20</v>
      </c>
      <c r="X57" s="45">
        <f>IF($B57-'[4]29'!W57&lt;0,0,$B57-'[4]29'!W57)</f>
        <v>0</v>
      </c>
      <c r="Y57" s="45">
        <f>IF($B57-'[4]29'!X57&lt;0,0,$B57-'[4]29'!X57)</f>
        <v>0</v>
      </c>
      <c r="Z57" s="45">
        <f>IF($B57-'[4]29'!Y57&lt;0,0,$B57-'[4]29'!Y57)</f>
        <v>0</v>
      </c>
      <c r="AA57" s="45">
        <f>IF($B57-'[4]29'!Z57&lt;0,0,$B57-'[4]29'!Z57)</f>
        <v>0</v>
      </c>
      <c r="AB57" s="45">
        <f>IF($B57-'[4]29'!AA57&lt;0,0,$B57-'[4]29'!AA57)</f>
        <v>0</v>
      </c>
      <c r="AC57" s="45">
        <f>IF($B57-'[4]29'!AB57&lt;0,0,$B57-'[4]29'!AB57)</f>
        <v>0</v>
      </c>
      <c r="AD57" s="45">
        <f>IF($B57-'[4]29'!AC57&lt;0,0,$B57-'[4]29'!AC57)</f>
        <v>0</v>
      </c>
      <c r="AE57" s="45">
        <f>IF($B57-'[4]29'!AD57&lt;0,0,$B57-'[4]29'!AD57)</f>
        <v>0</v>
      </c>
      <c r="AF57" s="45">
        <f>IF($B57-'[4]29'!AE57&lt;0,0,$B57-'[4]29'!AE57)</f>
        <v>0</v>
      </c>
      <c r="AG57" s="45">
        <f>IF($B57-'[4]29'!AF57&lt;0,0,$B57-'[4]29'!AF57)</f>
        <v>0</v>
      </c>
      <c r="AH57" s="55">
        <v>69</v>
      </c>
      <c r="AI57" s="48">
        <f t="shared" si="2"/>
        <v>20</v>
      </c>
      <c r="AJ57" s="49">
        <f t="shared" si="3"/>
        <v>0</v>
      </c>
      <c r="AK57" s="48">
        <f>20*24</f>
        <v>480</v>
      </c>
      <c r="AL57" s="50"/>
    </row>
    <row r="58" spans="1:42" x14ac:dyDescent="0.25">
      <c r="A58" s="54" t="s">
        <v>56</v>
      </c>
      <c r="B58" s="211">
        <v>60</v>
      </c>
      <c r="C58" s="45">
        <f>IF($B58-'[4]29'!B58&lt;0,0,$B58-'[4]29'!B58)</f>
        <v>0</v>
      </c>
      <c r="D58" s="45">
        <f>IF($B58-'[4]29'!C58&lt;0,0,$B58-'[4]29'!C58)</f>
        <v>0</v>
      </c>
      <c r="E58" s="45">
        <f>IF($B58-'[4]29'!D58&lt;0,0,$B58-'[4]29'!D58)</f>
        <v>8.6000000000000014</v>
      </c>
      <c r="F58" s="45">
        <f>IF($B58-'[4]29'!E58&lt;0,0,$B58-'[4]29'!E58)</f>
        <v>0</v>
      </c>
      <c r="G58" s="45">
        <f>IF($B58-'[4]29'!F58&lt;0,0,$B58-'[4]29'!F58)</f>
        <v>0</v>
      </c>
      <c r="H58" s="45">
        <f>IF($B58-'[4]29'!G58&lt;0,0,$B58-'[4]29'!G58)</f>
        <v>0</v>
      </c>
      <c r="I58" s="45">
        <f>IF($B58-'[4]29'!H58&lt;0,0,$B58-'[4]29'!H58)</f>
        <v>0</v>
      </c>
      <c r="J58" s="45">
        <f>IF($B58-'[4]29'!I58&lt;0,0,$B58-'[4]29'!I58)</f>
        <v>0</v>
      </c>
      <c r="K58" s="45">
        <f>IF($B58-'[4]29'!J58&lt;0,0,$B58-'[4]29'!J58)</f>
        <v>0</v>
      </c>
      <c r="L58" s="45">
        <f>IF($B58-'[4]29'!K58&lt;0,0,$B58-'[4]29'!K58)</f>
        <v>0</v>
      </c>
      <c r="M58" s="45">
        <f>IF($B58-'[4]29'!L58&lt;0,0,$B58-'[4]29'!L58)</f>
        <v>0</v>
      </c>
      <c r="N58" s="45">
        <f>IF($B58-'[4]29'!M58&lt;0,0,$B58-'[4]29'!M58)</f>
        <v>0</v>
      </c>
      <c r="O58" s="45">
        <f>IF($B58-'[4]29'!N58&lt;0,0,$B58-'[4]29'!N58)</f>
        <v>0</v>
      </c>
      <c r="P58" s="45">
        <f>IF($B58-'[4]29'!O58&lt;0,0,$B58-'[4]29'!O58)</f>
        <v>0</v>
      </c>
      <c r="Q58" s="45">
        <f>IF($B58-'[4]29'!P58&lt;0,0,$B58-'[4]29'!P58)</f>
        <v>10</v>
      </c>
      <c r="R58" s="45">
        <f>IF($B58-'[4]29'!Q58&lt;0,0,$B58-'[4]29'!Q58)</f>
        <v>0</v>
      </c>
      <c r="S58" s="45">
        <f>IF($B58-'[4]29'!R58&lt;0,0,$B58-'[4]29'!R58)</f>
        <v>0</v>
      </c>
      <c r="T58" s="45">
        <f>IF($B58-'[4]29'!S58&lt;0,0,$B58-'[4]29'!S58)</f>
        <v>0</v>
      </c>
      <c r="U58" s="45">
        <f>IF($B58-'[4]29'!T58&lt;0,0,$B58-'[4]29'!T58)</f>
        <v>0</v>
      </c>
      <c r="V58" s="45">
        <f>IF($B58-'[4]29'!U58&lt;0,0,$B58-'[4]29'!U58)</f>
        <v>0</v>
      </c>
      <c r="W58" s="45">
        <f>IF($B58-'[4]29'!V58&lt;0,0,$B58-'[4]29'!V58)</f>
        <v>0</v>
      </c>
      <c r="X58" s="45">
        <f>IF($B58-'[4]29'!W58&lt;0,0,$B58-'[4]29'!W58)</f>
        <v>0</v>
      </c>
      <c r="Y58" s="45">
        <f>IF($B58-'[4]29'!X58&lt;0,0,$B58-'[4]29'!X58)</f>
        <v>0</v>
      </c>
      <c r="Z58" s="45">
        <f>IF($B58-'[4]29'!Y58&lt;0,0,$B58-'[4]29'!Y58)</f>
        <v>0</v>
      </c>
      <c r="AA58" s="45">
        <f>IF($B58-'[4]29'!Z58&lt;0,0,$B58-'[4]29'!Z58)</f>
        <v>0</v>
      </c>
      <c r="AB58" s="45">
        <f>IF($B58-'[4]29'!AA58&lt;0,0,$B58-'[4]29'!AA58)</f>
        <v>0</v>
      </c>
      <c r="AC58" s="45">
        <f>IF($B58-'[4]29'!AB58&lt;0,0,$B58-'[4]29'!AB58)</f>
        <v>0</v>
      </c>
      <c r="AD58" s="45">
        <f>IF($B58-'[4]29'!AC58&lt;0,0,$B58-'[4]29'!AC58)</f>
        <v>0</v>
      </c>
      <c r="AE58" s="45">
        <f>IF($B58-'[4]29'!AD58&lt;0,0,$B58-'[4]29'!AD58)</f>
        <v>0</v>
      </c>
      <c r="AF58" s="45">
        <f>IF($B58-'[4]29'!AE58&lt;0,0,$B58-'[4]29'!AE58)</f>
        <v>0</v>
      </c>
      <c r="AG58" s="45">
        <f>IF($B58-'[4]29'!AF58&lt;0,0,$B58-'[4]29'!AF58)</f>
        <v>0</v>
      </c>
      <c r="AH58" s="55">
        <v>60</v>
      </c>
      <c r="AI58" s="48">
        <f t="shared" si="2"/>
        <v>10</v>
      </c>
      <c r="AJ58" s="49">
        <f t="shared" si="3"/>
        <v>0</v>
      </c>
      <c r="AL58" s="50"/>
    </row>
    <row r="59" spans="1:42" x14ac:dyDescent="0.25">
      <c r="A59" s="54" t="s">
        <v>57</v>
      </c>
      <c r="B59" s="211">
        <v>15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f>IF($B59-'[4]29'!P59&lt;0,0,$B59-'[4]29'!P59)</f>
        <v>5</v>
      </c>
      <c r="R59" s="45">
        <f>IF($B59-'[4]29'!Q59&lt;0,0,$B59-'[4]29'!Q59)</f>
        <v>5</v>
      </c>
      <c r="S59" s="45">
        <f>IF($B59-'[4]29'!R59&lt;0,0,$B59-'[4]29'!R59)</f>
        <v>3</v>
      </c>
      <c r="T59" s="45">
        <f>IF($B59-'[4]29'!S59&lt;0,0,$B59-'[4]29'!S59)</f>
        <v>2</v>
      </c>
      <c r="U59" s="45">
        <v>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45">
        <v>0</v>
      </c>
      <c r="AH59" s="55">
        <v>30</v>
      </c>
      <c r="AI59" s="48">
        <f t="shared" si="2"/>
        <v>5</v>
      </c>
      <c r="AJ59" s="49">
        <f t="shared" si="3"/>
        <v>0</v>
      </c>
      <c r="AL59" s="50"/>
    </row>
    <row r="60" spans="1:42" x14ac:dyDescent="0.25">
      <c r="A60" s="54" t="s">
        <v>58</v>
      </c>
      <c r="B60" s="211"/>
      <c r="C60" s="45">
        <f>IF($B60-'[4]29'!B60&lt;0,0,$B60-'[4]29'!B60)</f>
        <v>0</v>
      </c>
      <c r="D60" s="45">
        <f>IF($B60-'[4]29'!C60&lt;0,0,$B60-'[4]29'!C60)</f>
        <v>0</v>
      </c>
      <c r="E60" s="45">
        <f>IF($B60-'[4]29'!D60&lt;0,0,$B60-'[4]29'!D60)</f>
        <v>0</v>
      </c>
      <c r="F60" s="45">
        <f>IF($B60-'[4]29'!E60&lt;0,0,$B60-'[4]29'!E60)</f>
        <v>0</v>
      </c>
      <c r="G60" s="45">
        <f>IF($B60-'[4]29'!F60&lt;0,0,$B60-'[4]29'!F60)</f>
        <v>0</v>
      </c>
      <c r="H60" s="45">
        <f>IF($B60-'[4]29'!G60&lt;0,0,$B60-'[4]29'!G60)</f>
        <v>0</v>
      </c>
      <c r="I60" s="45">
        <f>IF($B60-'[4]29'!H60&lt;0,0,$B60-'[4]29'!H60)</f>
        <v>0</v>
      </c>
      <c r="J60" s="45">
        <f>IF($B60-'[4]29'!I60&lt;0,0,$B60-'[4]29'!I60)</f>
        <v>0</v>
      </c>
      <c r="K60" s="45">
        <f>IF($B60-'[4]29'!J60&lt;0,0,$B60-'[4]29'!J60)</f>
        <v>0</v>
      </c>
      <c r="L60" s="45">
        <f>IF($B60-'[4]29'!K60&lt;0,0,$B60-'[4]29'!K60)</f>
        <v>0</v>
      </c>
      <c r="M60" s="45">
        <f>IF($B60-'[4]29'!L60&lt;0,0,$B60-'[4]29'!L60)</f>
        <v>0</v>
      </c>
      <c r="N60" s="45">
        <f>IF($B60-'[4]29'!M60&lt;0,0,$B60-'[4]29'!M60)</f>
        <v>0</v>
      </c>
      <c r="O60" s="45">
        <f>IF($B60-'[4]29'!N60&lt;0,0,$B60-'[4]29'!N60)</f>
        <v>0</v>
      </c>
      <c r="P60" s="45">
        <f>IF($B60-'[4]29'!O60&lt;0,0,$B60-'[4]29'!O60)</f>
        <v>0</v>
      </c>
      <c r="Q60" s="45">
        <f>IF($B60-'[4]29'!P60&lt;0,0,$B60-'[4]29'!P60)</f>
        <v>0</v>
      </c>
      <c r="R60" s="45">
        <f>IF($B60-'[4]29'!Q60&lt;0,0,$B60-'[4]29'!Q60)</f>
        <v>0</v>
      </c>
      <c r="S60" s="45">
        <f>IF($B60-'[4]29'!R60&lt;0,0,$B60-'[4]29'!R60)</f>
        <v>0</v>
      </c>
      <c r="T60" s="45">
        <f>IF($B60-'[4]29'!S60&lt;0,0,$B60-'[4]29'!S60)</f>
        <v>0</v>
      </c>
      <c r="U60" s="45">
        <f>IF($B60-'[4]29'!T60&lt;0,0,$B60-'[4]29'!T60)</f>
        <v>0</v>
      </c>
      <c r="V60" s="45">
        <f>IF($B60-'[4]29'!U60&lt;0,0,$B60-'[4]29'!U60)</f>
        <v>0</v>
      </c>
      <c r="W60" s="45">
        <f>IF($B60-'[4]29'!V60&lt;0,0,$B60-'[4]29'!V60)</f>
        <v>0</v>
      </c>
      <c r="X60" s="45">
        <f>IF($B60-'[4]29'!W60&lt;0,0,$B60-'[4]29'!W60)</f>
        <v>0</v>
      </c>
      <c r="Y60" s="45">
        <f>IF($B60-'[4]29'!X60&lt;0,0,$B60-'[4]29'!X60)</f>
        <v>0</v>
      </c>
      <c r="Z60" s="45">
        <f>IF($B60-'[4]29'!Y60&lt;0,0,$B60-'[4]29'!Y60)</f>
        <v>0</v>
      </c>
      <c r="AA60" s="45">
        <f>IF($B60-'[4]29'!Z60&lt;0,0,$B60-'[4]29'!Z60)</f>
        <v>0</v>
      </c>
      <c r="AB60" s="45">
        <f>IF($B60-'[4]29'!AA60&lt;0,0,$B60-'[4]29'!AA60)</f>
        <v>0</v>
      </c>
      <c r="AC60" s="45">
        <f>IF($B60-'[4]29'!AB60&lt;0,0,$B60-'[4]29'!AB60)</f>
        <v>0</v>
      </c>
      <c r="AD60" s="45">
        <f>IF($B60-'[4]29'!AC60&lt;0,0,$B60-'[4]29'!AC60)</f>
        <v>0</v>
      </c>
      <c r="AE60" s="45">
        <f>IF($B60-'[4]29'!AD60&lt;0,0,$B60-'[4]29'!AD60)</f>
        <v>0</v>
      </c>
      <c r="AF60" s="45">
        <f>IF($B60-'[4]29'!AE60&lt;0,0,$B60-'[4]29'!AE60)</f>
        <v>0</v>
      </c>
      <c r="AG60" s="45">
        <f>IF($B60-'[4]29'!AF60&lt;0,0,$B60-'[4]29'!AF60)</f>
        <v>0</v>
      </c>
      <c r="AH60" s="55">
        <v>25</v>
      </c>
      <c r="AI60" s="48">
        <f t="shared" si="2"/>
        <v>0</v>
      </c>
      <c r="AJ60" s="49">
        <f t="shared" si="3"/>
        <v>0</v>
      </c>
      <c r="AL60" s="50"/>
    </row>
    <row r="61" spans="1:42" x14ac:dyDescent="0.25">
      <c r="A61" s="54" t="s">
        <v>59</v>
      </c>
      <c r="B61" s="211">
        <v>15</v>
      </c>
      <c r="C61" s="45">
        <f>IF($B61-'[4]29'!B61&lt;0,0,$B61-'[4]29'!B61)</f>
        <v>0</v>
      </c>
      <c r="D61" s="45">
        <f>IF($B61-'[4]29'!C61&lt;0,0,$B61-'[4]29'!C61)</f>
        <v>0</v>
      </c>
      <c r="E61" s="45">
        <f>IF($B61-'[4]29'!D61&lt;0,0,$B61-'[4]29'!D61)</f>
        <v>0</v>
      </c>
      <c r="F61" s="45">
        <f>IF($B61-'[4]29'!E61&lt;0,0,$B61-'[4]29'!E61)</f>
        <v>0</v>
      </c>
      <c r="G61" s="45">
        <f>IF($B61-'[4]29'!F61&lt;0,0,$B61-'[4]29'!F61)</f>
        <v>0</v>
      </c>
      <c r="H61" s="45">
        <f>IF($B61-'[4]29'!G61&lt;0,0,$B61-'[4]29'!G61)</f>
        <v>0</v>
      </c>
      <c r="I61" s="45">
        <f>IF($B61-'[4]29'!H61&lt;0,0,$B61-'[4]29'!H61)</f>
        <v>0</v>
      </c>
      <c r="J61" s="45">
        <f>IF($B61-'[4]29'!I61&lt;0,0,$B61-'[4]29'!I61)</f>
        <v>0</v>
      </c>
      <c r="K61" s="45">
        <f>IF($B61-'[4]29'!J61&lt;0,0,$B61-'[4]29'!J61)</f>
        <v>0</v>
      </c>
      <c r="L61" s="45">
        <f>IF($B61-'[4]29'!K61&lt;0,0,$B61-'[4]29'!K61)</f>
        <v>0</v>
      </c>
      <c r="M61" s="45">
        <f>IF($B61-'[4]29'!L61&lt;0,0,$B61-'[4]29'!L61)</f>
        <v>0</v>
      </c>
      <c r="N61" s="45">
        <f>IF($B61-'[4]29'!M61&lt;0,0,$B61-'[4]29'!M61)</f>
        <v>0</v>
      </c>
      <c r="O61" s="45">
        <f>IF($B61-'[4]29'!N61&lt;0,0,$B61-'[4]29'!N61)</f>
        <v>0</v>
      </c>
      <c r="P61" s="45">
        <f>IF($B61-'[4]29'!O61&lt;0,0,$B61-'[4]29'!O61)</f>
        <v>0</v>
      </c>
      <c r="Q61" s="45">
        <f>IF($B61-'[4]29'!P61&lt;0,0,$B61-'[4]29'!P61)</f>
        <v>0</v>
      </c>
      <c r="R61" s="45">
        <f>IF($B61-'[4]29'!Q61&lt;0,0,$B61-'[4]29'!Q61)</f>
        <v>0</v>
      </c>
      <c r="S61" s="45">
        <f>IF($B61-'[4]29'!R61&lt;0,0,$B61-'[4]29'!R61)</f>
        <v>0</v>
      </c>
      <c r="T61" s="45">
        <f>IF($B61-'[4]29'!S61&lt;0,0,$B61-'[4]29'!S61)</f>
        <v>0</v>
      </c>
      <c r="U61" s="45">
        <f>IF($B61-'[4]29'!T61&lt;0,0,$B61-'[4]29'!T61)</f>
        <v>0</v>
      </c>
      <c r="V61" s="45">
        <f>IF($B61-'[4]29'!U61&lt;0,0,$B61-'[4]29'!U61)</f>
        <v>0</v>
      </c>
      <c r="W61" s="45">
        <f>IF($B61-'[4]29'!V61&lt;0,0,$B61-'[4]29'!V61)</f>
        <v>0</v>
      </c>
      <c r="X61" s="45">
        <f>IF($B61-'[4]29'!W61&lt;0,0,$B61-'[4]29'!W61)</f>
        <v>0</v>
      </c>
      <c r="Y61" s="45">
        <f>IF($B61-'[4]29'!X61&lt;0,0,$B61-'[4]29'!X61)</f>
        <v>0</v>
      </c>
      <c r="Z61" s="45">
        <f>IF($B61-'[4]29'!Y61&lt;0,0,$B61-'[4]29'!Y61)</f>
        <v>0</v>
      </c>
      <c r="AA61" s="45">
        <f>IF($B61-'[4]29'!Z61&lt;0,0,$B61-'[4]29'!Z61)</f>
        <v>0</v>
      </c>
      <c r="AB61" s="45">
        <f>IF($B61-'[4]29'!AA61&lt;0,0,$B61-'[4]29'!AA61)</f>
        <v>0</v>
      </c>
      <c r="AC61" s="45">
        <f>IF($B61-'[4]29'!AB61&lt;0,0,$B61-'[4]29'!AB61)</f>
        <v>0</v>
      </c>
      <c r="AD61" s="45">
        <f>IF($B61-'[4]29'!AC61&lt;0,0,$B61-'[4]29'!AC61)</f>
        <v>0</v>
      </c>
      <c r="AE61" s="45">
        <f>IF($B61-'[4]29'!AD61&lt;0,0,$B61-'[4]29'!AD61)</f>
        <v>0</v>
      </c>
      <c r="AF61" s="45">
        <f>IF($B61-'[4]29'!AE61&lt;0,0,$B61-'[4]29'!AE61)</f>
        <v>0</v>
      </c>
      <c r="AG61" s="45">
        <f>IF($B61-'[4]29'!AF61&lt;0,0,$B61-'[4]29'!AF61)</f>
        <v>0</v>
      </c>
      <c r="AH61" s="55">
        <v>24</v>
      </c>
      <c r="AI61" s="48">
        <f t="shared" si="2"/>
        <v>0</v>
      </c>
      <c r="AJ61" s="49">
        <f t="shared" si="3"/>
        <v>0</v>
      </c>
      <c r="AL61" s="50"/>
    </row>
    <row r="62" spans="1:42" x14ac:dyDescent="0.25">
      <c r="A62" s="54" t="s">
        <v>60</v>
      </c>
      <c r="B62" s="211">
        <v>0</v>
      </c>
      <c r="C62" s="45">
        <f>IF($B62-'[4]29'!B62&lt;0,0,$B62-'[4]29'!B62)</f>
        <v>0</v>
      </c>
      <c r="D62" s="45">
        <f>IF($B62-'[4]29'!C62&lt;0,0,$B62-'[4]29'!C62)</f>
        <v>0</v>
      </c>
      <c r="E62" s="45">
        <f>IF($B62-'[4]29'!D62&lt;0,0,$B62-'[4]29'!D62)</f>
        <v>0</v>
      </c>
      <c r="F62" s="45">
        <f>IF($B62-'[4]29'!E62&lt;0,0,$B62-'[4]29'!E62)</f>
        <v>0</v>
      </c>
      <c r="G62" s="45">
        <f>IF($B62-'[4]29'!F62&lt;0,0,$B62-'[4]29'!F62)</f>
        <v>0</v>
      </c>
      <c r="H62" s="45">
        <f>IF($B62-'[4]29'!G62&lt;0,0,$B62-'[4]29'!G62)</f>
        <v>0</v>
      </c>
      <c r="I62" s="45">
        <f>IF($B62-'[4]29'!H62&lt;0,0,$B62-'[4]29'!H62)</f>
        <v>0</v>
      </c>
      <c r="J62" s="45">
        <f>IF($B62-'[4]29'!I62&lt;0,0,$B62-'[4]29'!I62)</f>
        <v>0</v>
      </c>
      <c r="K62" s="45">
        <f>IF($B62-'[4]29'!J62&lt;0,0,$B62-'[4]29'!J62)</f>
        <v>0</v>
      </c>
      <c r="L62" s="45">
        <f>IF($B62-'[4]29'!K62&lt;0,0,$B62-'[4]29'!K62)</f>
        <v>0</v>
      </c>
      <c r="M62" s="45">
        <f>IF($B62-'[4]29'!L62&lt;0,0,$B62-'[4]29'!L62)</f>
        <v>0</v>
      </c>
      <c r="N62" s="45">
        <f>IF($B62-'[4]29'!M62&lt;0,0,$B62-'[4]29'!M62)</f>
        <v>0</v>
      </c>
      <c r="O62" s="45">
        <f>IF($B62-'[4]29'!N62&lt;0,0,$B62-'[4]29'!N62)</f>
        <v>0</v>
      </c>
      <c r="P62" s="45">
        <f>IF($B62-'[4]29'!O62&lt;0,0,$B62-'[4]29'!O62)</f>
        <v>0</v>
      </c>
      <c r="Q62" s="45">
        <f>IF($B62-'[4]29'!P62&lt;0,0,$B62-'[4]29'!P62)</f>
        <v>0</v>
      </c>
      <c r="R62" s="45">
        <f>IF($B62-'[4]29'!Q62&lt;0,0,$B62-'[4]29'!Q62)</f>
        <v>0</v>
      </c>
      <c r="S62" s="45">
        <f>IF($B62-'[4]29'!R62&lt;0,0,$B62-'[4]29'!R62)</f>
        <v>0</v>
      </c>
      <c r="T62" s="45">
        <f>IF($B62-'[4]29'!S62&lt;0,0,$B62-'[4]29'!S62)</f>
        <v>0</v>
      </c>
      <c r="U62" s="45">
        <f>IF($B62-'[4]29'!T62&lt;0,0,$B62-'[4]29'!T62)</f>
        <v>0</v>
      </c>
      <c r="V62" s="45">
        <f>IF($B62-'[4]29'!U62&lt;0,0,$B62-'[4]29'!U62)</f>
        <v>0</v>
      </c>
      <c r="W62" s="45">
        <f>IF($B62-'[4]29'!V62&lt;0,0,$B62-'[4]29'!V62)</f>
        <v>0</v>
      </c>
      <c r="X62" s="45">
        <f>IF($B62-'[4]29'!W62&lt;0,0,$B62-'[4]29'!W62)</f>
        <v>0</v>
      </c>
      <c r="Y62" s="45">
        <f>IF($B62-'[4]29'!X62&lt;0,0,$B62-'[4]29'!X62)</f>
        <v>0</v>
      </c>
      <c r="Z62" s="45">
        <f>IF($B62-'[4]29'!Y62&lt;0,0,$B62-'[4]29'!Y62)</f>
        <v>0</v>
      </c>
      <c r="AA62" s="45">
        <f>IF($B62-'[4]29'!Z62&lt;0,0,$B62-'[4]29'!Z62)</f>
        <v>0</v>
      </c>
      <c r="AB62" s="45">
        <f>IF($B62-'[4]29'!AA62&lt;0,0,$B62-'[4]29'!AA62)</f>
        <v>0</v>
      </c>
      <c r="AC62" s="45">
        <f>IF($B62-'[4]29'!AB62&lt;0,0,$B62-'[4]29'!AB62)</f>
        <v>0</v>
      </c>
      <c r="AD62" s="45">
        <f>IF($B62-'[4]29'!AC62&lt;0,0,$B62-'[4]29'!AC62)</f>
        <v>0</v>
      </c>
      <c r="AE62" s="45">
        <f>IF($B62-'[4]29'!AD62&lt;0,0,$B62-'[4]29'!AD62)</f>
        <v>0</v>
      </c>
      <c r="AF62" s="45">
        <f>IF($B62-'[4]29'!AE62&lt;0,0,$B62-'[4]29'!AE62)</f>
        <v>0</v>
      </c>
      <c r="AG62" s="45">
        <f>IF($B62-'[4]29'!AF62&lt;0,0,$B62-'[4]29'!AF62)</f>
        <v>0</v>
      </c>
      <c r="AH62" s="55">
        <v>15</v>
      </c>
      <c r="AI62" s="48">
        <f t="shared" si="2"/>
        <v>0</v>
      </c>
      <c r="AJ62" s="49">
        <f t="shared" si="3"/>
        <v>0</v>
      </c>
      <c r="AL62" s="50"/>
      <c r="AM62" s="70"/>
      <c r="AP62" s="70"/>
    </row>
    <row r="63" spans="1:42" s="70" customFormat="1" x14ac:dyDescent="0.25">
      <c r="A63" s="54" t="s">
        <v>61</v>
      </c>
      <c r="B63" s="211">
        <v>11</v>
      </c>
      <c r="C63" s="45">
        <f>IF($B63-'[4]29'!B63&lt;0,0,$B63-'[4]29'!B63)</f>
        <v>0</v>
      </c>
      <c r="D63" s="45">
        <f>IF($B63-'[4]29'!C63&lt;0,0,$B63-'[4]29'!C63)</f>
        <v>0</v>
      </c>
      <c r="E63" s="45">
        <f>IF($B63-'[4]29'!D63&lt;0,0,$B63-'[4]29'!D63)</f>
        <v>0</v>
      </c>
      <c r="F63" s="45">
        <f>IF($B63-'[4]29'!E63&lt;0,0,$B63-'[4]29'!E63)</f>
        <v>0</v>
      </c>
      <c r="G63" s="45">
        <f>IF($B63-'[4]29'!F63&lt;0,0,$B63-'[4]29'!F63)</f>
        <v>0</v>
      </c>
      <c r="H63" s="45">
        <f>IF($B63-'[4]29'!G63&lt;0,0,$B63-'[4]29'!G63)</f>
        <v>0</v>
      </c>
      <c r="I63" s="45">
        <f>IF($B63-'[4]29'!H63&lt;0,0,$B63-'[4]29'!H63)</f>
        <v>0</v>
      </c>
      <c r="J63" s="45">
        <f>IF($B63-'[4]29'!I63&lt;0,0,$B63-'[4]29'!I63)</f>
        <v>0</v>
      </c>
      <c r="K63" s="45">
        <f>IF($B63-'[4]29'!J63&lt;0,0,$B63-'[4]29'!J63)</f>
        <v>0</v>
      </c>
      <c r="L63" s="45">
        <f>IF($B63-'[4]29'!K63&lt;0,0,$B63-'[4]29'!K63)</f>
        <v>0</v>
      </c>
      <c r="M63" s="45">
        <f>IF($B63-'[4]29'!L63&lt;0,0,$B63-'[4]29'!L63)</f>
        <v>0</v>
      </c>
      <c r="N63" s="45">
        <f>IF($B63-'[4]29'!M63&lt;0,0,$B63-'[4]29'!M63)</f>
        <v>0</v>
      </c>
      <c r="O63" s="45">
        <f>IF($B63-'[4]29'!N63&lt;0,0,$B63-'[4]29'!N63)</f>
        <v>0</v>
      </c>
      <c r="P63" s="45">
        <f>IF($B63-'[4]29'!O63&lt;0,0,$B63-'[4]29'!O63)</f>
        <v>0</v>
      </c>
      <c r="Q63" s="45">
        <f>IF($B63-'[4]29'!P63&lt;0,0,$B63-'[4]29'!P63)</f>
        <v>0</v>
      </c>
      <c r="R63" s="45">
        <f>IF($B63-'[4]29'!Q63&lt;0,0,$B63-'[4]29'!Q63)</f>
        <v>0</v>
      </c>
      <c r="S63" s="45">
        <f>IF($B63-'[4]29'!R63&lt;0,0,$B63-'[4]29'!R63)</f>
        <v>0</v>
      </c>
      <c r="T63" s="45">
        <f>IF($B63-'[4]29'!S63&lt;0,0,$B63-'[4]29'!S63)</f>
        <v>0</v>
      </c>
      <c r="U63" s="45">
        <f>IF($B63-'[4]29'!T63&lt;0,0,$B63-'[4]29'!T63)</f>
        <v>0</v>
      </c>
      <c r="V63" s="45">
        <f>IF($B63-'[4]29'!U63&lt;0,0,$B63-'[4]29'!U63)</f>
        <v>0</v>
      </c>
      <c r="W63" s="45">
        <f>IF($B63-'[4]29'!V63&lt;0,0,$B63-'[4]29'!V63)</f>
        <v>0</v>
      </c>
      <c r="X63" s="45">
        <f>IF($B63-'[4]29'!W63&lt;0,0,$B63-'[4]29'!W63)</f>
        <v>0</v>
      </c>
      <c r="Y63" s="45">
        <f>IF($B63-'[4]29'!X63&lt;0,0,$B63-'[4]29'!X63)</f>
        <v>0</v>
      </c>
      <c r="Z63" s="45">
        <f>IF($B63-'[4]29'!Y63&lt;0,0,$B63-'[4]29'!Y63)</f>
        <v>0</v>
      </c>
      <c r="AA63" s="45">
        <f>IF($B63-'[4]29'!Z63&lt;0,0,$B63-'[4]29'!Z63)</f>
        <v>0</v>
      </c>
      <c r="AB63" s="45">
        <f>IF($B63-'[4]29'!AA63&lt;0,0,$B63-'[4]29'!AA63)</f>
        <v>0</v>
      </c>
      <c r="AC63" s="45">
        <f>IF($B63-'[4]29'!AB63&lt;0,0,$B63-'[4]29'!AB63)</f>
        <v>0</v>
      </c>
      <c r="AD63" s="45">
        <f>IF($B63-'[4]29'!AC63&lt;0,0,$B63-'[4]29'!AC63)</f>
        <v>0</v>
      </c>
      <c r="AE63" s="45">
        <f>IF($B63-'[4]29'!AD63&lt;0,0,$B63-'[4]29'!AD63)</f>
        <v>0</v>
      </c>
      <c r="AF63" s="45">
        <f>IF($B63-'[4]29'!AE63&lt;0,0,$B63-'[4]29'!AE63)</f>
        <v>0</v>
      </c>
      <c r="AG63" s="45">
        <f>IF($B63-'[4]29'!AF63&lt;0,0,$B63-'[4]29'!AF63)</f>
        <v>0</v>
      </c>
      <c r="AH63" s="55">
        <v>14.1</v>
      </c>
      <c r="AI63" s="48">
        <f t="shared" si="2"/>
        <v>0</v>
      </c>
      <c r="AJ63" s="49">
        <f t="shared" si="3"/>
        <v>0</v>
      </c>
      <c r="AK63" s="1"/>
      <c r="AL63" s="50"/>
      <c r="AM63" s="1"/>
      <c r="AN63" s="1"/>
      <c r="AO63" s="1"/>
      <c r="AP63" s="1"/>
    </row>
    <row r="64" spans="1:42" x14ac:dyDescent="0.25">
      <c r="A64" s="71" t="s">
        <v>62</v>
      </c>
      <c r="B64" s="211">
        <v>9</v>
      </c>
      <c r="C64" s="45">
        <f>IF($B64-'[4]29'!B64&lt;0,0,$B64-'[4]29'!B64)</f>
        <v>0</v>
      </c>
      <c r="D64" s="45">
        <f>IF($B64-'[4]29'!C64&lt;0,0,$B64-'[4]29'!C64)</f>
        <v>0</v>
      </c>
      <c r="E64" s="45">
        <f>IF($B64-'[4]29'!D64&lt;0,0,$B64-'[4]29'!D64)</f>
        <v>0</v>
      </c>
      <c r="F64" s="45">
        <f>IF($B64-'[4]29'!E64&lt;0,0,$B64-'[4]29'!E64)</f>
        <v>0</v>
      </c>
      <c r="G64" s="45">
        <f>IF($B64-'[4]29'!F64&lt;0,0,$B64-'[4]29'!F64)</f>
        <v>0</v>
      </c>
      <c r="H64" s="45">
        <f>IF($B64-'[4]29'!G64&lt;0,0,$B64-'[4]29'!G64)</f>
        <v>0</v>
      </c>
      <c r="I64" s="45">
        <f>IF($B64-'[4]29'!H64&lt;0,0,$B64-'[4]29'!H64)</f>
        <v>0</v>
      </c>
      <c r="J64" s="45">
        <f>IF($B64-'[4]29'!I64&lt;0,0,$B64-'[4]29'!I64)</f>
        <v>0</v>
      </c>
      <c r="K64" s="45">
        <f>IF($B64-'[4]29'!J64&lt;0,0,$B64-'[4]29'!J64)</f>
        <v>0</v>
      </c>
      <c r="L64" s="45">
        <f>IF($B64-'[4]29'!K64&lt;0,0,$B64-'[4]29'!K64)</f>
        <v>0</v>
      </c>
      <c r="M64" s="45">
        <f>IF($B64-'[4]29'!L64&lt;0,0,$B64-'[4]29'!L64)</f>
        <v>0</v>
      </c>
      <c r="N64" s="45">
        <f>IF($B64-'[4]29'!M64&lt;0,0,$B64-'[4]29'!M64)</f>
        <v>0</v>
      </c>
      <c r="O64" s="45">
        <f>IF($B64-'[4]29'!N64&lt;0,0,$B64-'[4]29'!N64)</f>
        <v>0</v>
      </c>
      <c r="P64" s="45">
        <f>IF($B64-'[4]29'!O64&lt;0,0,$B64-'[4]29'!O64)</f>
        <v>0</v>
      </c>
      <c r="Q64" s="45">
        <f>IF($B64-'[4]29'!P64&lt;0,0,$B64-'[4]29'!P64)</f>
        <v>0</v>
      </c>
      <c r="R64" s="45">
        <f>IF($B64-'[4]29'!Q64&lt;0,0,$B64-'[4]29'!Q64)</f>
        <v>0</v>
      </c>
      <c r="S64" s="45">
        <f>IF($B64-'[4]29'!R64&lt;0,0,$B64-'[4]29'!R64)</f>
        <v>1</v>
      </c>
      <c r="T64" s="45">
        <f>IF($B64-'[4]29'!S64&lt;0,0,$B64-'[4]29'!S64)</f>
        <v>1</v>
      </c>
      <c r="U64" s="45">
        <f>IF($B64-'[4]29'!T64&lt;0,0,$B64-'[4]29'!T64)</f>
        <v>1</v>
      </c>
      <c r="V64" s="45">
        <f>IF($B64-'[4]29'!U64&lt;0,0,$B64-'[4]29'!U64)</f>
        <v>1</v>
      </c>
      <c r="W64" s="45">
        <f>IF($B64-'[4]29'!V64&lt;0,0,$B64-'[4]29'!V64)</f>
        <v>0</v>
      </c>
      <c r="X64" s="45">
        <f>IF($B64-'[4]29'!W64&lt;0,0,$B64-'[4]29'!W64)</f>
        <v>0</v>
      </c>
      <c r="Y64" s="45">
        <f>IF($B64-'[4]29'!X64&lt;0,0,$B64-'[4]29'!X64)</f>
        <v>0</v>
      </c>
      <c r="Z64" s="45">
        <f>IF($B64-'[4]29'!Y64&lt;0,0,$B64-'[4]29'!Y64)</f>
        <v>0</v>
      </c>
      <c r="AA64" s="45">
        <f>IF($B64-'[4]29'!Z64&lt;0,0,$B64-'[4]29'!Z64)</f>
        <v>0</v>
      </c>
      <c r="AB64" s="45">
        <f>IF($B64-'[4]29'!AA64&lt;0,0,$B64-'[4]29'!AA64)</f>
        <v>0</v>
      </c>
      <c r="AC64" s="45">
        <f>IF($B64-'[4]29'!AB64&lt;0,0,$B64-'[4]29'!AB64)</f>
        <v>0</v>
      </c>
      <c r="AD64" s="45">
        <f>IF($B64-'[4]29'!AC64&lt;0,0,$B64-'[4]29'!AC64)</f>
        <v>0</v>
      </c>
      <c r="AE64" s="45">
        <f>IF($B64-'[4]29'!AD64&lt;0,0,$B64-'[4]29'!AD64)</f>
        <v>0</v>
      </c>
      <c r="AF64" s="45">
        <f>IF($B64-'[4]29'!AE64&lt;0,0,$B64-'[4]29'!AE64)</f>
        <v>0</v>
      </c>
      <c r="AG64" s="45">
        <f>IF($B64-'[4]29'!AF64&lt;0,0,$B64-'[4]29'!AF64)</f>
        <v>0</v>
      </c>
      <c r="AH64" s="55">
        <v>14</v>
      </c>
      <c r="AI64" s="48">
        <f t="shared" si="2"/>
        <v>1</v>
      </c>
      <c r="AJ64" s="49">
        <f t="shared" si="3"/>
        <v>0</v>
      </c>
      <c r="AL64" s="50"/>
    </row>
    <row r="65" spans="1:46" x14ac:dyDescent="0.25">
      <c r="A65" s="54" t="s">
        <v>63</v>
      </c>
      <c r="B65" s="211">
        <v>9</v>
      </c>
      <c r="C65" s="45">
        <v>0</v>
      </c>
      <c r="D65" s="45">
        <v>0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v>0</v>
      </c>
      <c r="O65" s="45">
        <v>0</v>
      </c>
      <c r="P65" s="45">
        <v>0</v>
      </c>
      <c r="Q65" s="45">
        <v>0</v>
      </c>
      <c r="R65" s="45">
        <v>0</v>
      </c>
      <c r="S65" s="45">
        <v>0</v>
      </c>
      <c r="T65" s="45">
        <v>0</v>
      </c>
      <c r="U65" s="45">
        <v>0</v>
      </c>
      <c r="V65" s="45">
        <v>0</v>
      </c>
      <c r="W65" s="45">
        <v>0</v>
      </c>
      <c r="X65" s="45">
        <v>0</v>
      </c>
      <c r="Y65" s="45">
        <v>0</v>
      </c>
      <c r="Z65" s="45">
        <v>0</v>
      </c>
      <c r="AA65" s="45">
        <v>0</v>
      </c>
      <c r="AB65" s="45">
        <v>0</v>
      </c>
      <c r="AC65" s="45">
        <v>0</v>
      </c>
      <c r="AD65" s="45">
        <v>0</v>
      </c>
      <c r="AE65" s="45">
        <v>0</v>
      </c>
      <c r="AF65" s="45">
        <v>0</v>
      </c>
      <c r="AG65" s="45">
        <v>0</v>
      </c>
      <c r="AH65" s="55">
        <v>10.050000000000001</v>
      </c>
      <c r="AI65" s="48">
        <f t="shared" si="2"/>
        <v>0</v>
      </c>
      <c r="AJ65" s="49">
        <f t="shared" si="3"/>
        <v>0</v>
      </c>
      <c r="AL65" s="50"/>
    </row>
    <row r="66" spans="1:46" x14ac:dyDescent="0.25">
      <c r="A66" s="54" t="s">
        <v>64</v>
      </c>
      <c r="B66" s="211">
        <v>6.2</v>
      </c>
      <c r="C66" s="45">
        <f>IF($B66-'[4]29'!B66&lt;0,0,$B66-'[4]29'!B66)</f>
        <v>0</v>
      </c>
      <c r="D66" s="45">
        <f>IF($B66-'[4]29'!C66&lt;0,0,$B66-'[4]29'!C66)</f>
        <v>0</v>
      </c>
      <c r="E66" s="45">
        <f>IF($B66-'[4]29'!D66&lt;0,0,$B66-'[4]29'!D66)</f>
        <v>0</v>
      </c>
      <c r="F66" s="45">
        <f>IF($B66-'[4]29'!E66&lt;0,0,$B66-'[4]29'!E66)</f>
        <v>0</v>
      </c>
      <c r="G66" s="45">
        <f>IF($B66-'[4]29'!F66&lt;0,0,$B66-'[4]29'!F66)</f>
        <v>0</v>
      </c>
      <c r="H66" s="45">
        <f>IF($B66-'[4]29'!G66&lt;0,0,$B66-'[4]29'!G66)</f>
        <v>0</v>
      </c>
      <c r="I66" s="45">
        <f>IF($B66-'[4]29'!H66&lt;0,0,$B66-'[4]29'!H66)</f>
        <v>0</v>
      </c>
      <c r="J66" s="45">
        <f>IF($B66-'[4]29'!I66&lt;0,0,$B66-'[4]29'!I66)</f>
        <v>0</v>
      </c>
      <c r="K66" s="45">
        <f>IF($B66-'[4]29'!J66&lt;0,0,$B66-'[4]29'!J66)</f>
        <v>0</v>
      </c>
      <c r="L66" s="45">
        <f>IF($B66-'[4]29'!K66&lt;0,0,$B66-'[4]29'!K66)</f>
        <v>0</v>
      </c>
      <c r="M66" s="45">
        <f>IF($B66-'[4]29'!L66&lt;0,0,$B66-'[4]29'!L66)</f>
        <v>0</v>
      </c>
      <c r="N66" s="45">
        <f>IF($B66-'[4]29'!M66&lt;0,0,$B66-'[4]29'!M66)</f>
        <v>0</v>
      </c>
      <c r="O66" s="45">
        <f>IF($B66-'[4]29'!N66&lt;0,0,$B66-'[4]29'!N66)</f>
        <v>0</v>
      </c>
      <c r="P66" s="45">
        <f>IF($B66-'[4]29'!O66&lt;0,0,$B66-'[4]29'!O66)</f>
        <v>0</v>
      </c>
      <c r="Q66" s="45">
        <f>IF($B66-'[4]29'!P66&lt;0,0,$B66-'[4]29'!P66)</f>
        <v>0</v>
      </c>
      <c r="R66" s="45">
        <f>IF($B66-'[4]29'!Q66&lt;0,0,$B66-'[4]29'!Q66)</f>
        <v>0</v>
      </c>
      <c r="S66" s="45">
        <f>IF($B66-'[4]29'!R66&lt;0,0,$B66-'[4]29'!R66)</f>
        <v>0</v>
      </c>
      <c r="T66" s="45">
        <f>IF($B66-'[4]29'!S66&lt;0,0,$B66-'[4]29'!S66)</f>
        <v>0</v>
      </c>
      <c r="U66" s="45">
        <f>IF($B66-'[4]29'!T66&lt;0,0,$B66-'[4]29'!T66)</f>
        <v>0</v>
      </c>
      <c r="V66" s="45">
        <f>IF($B66-'[4]29'!U66&lt;0,0,$B66-'[4]29'!U66)</f>
        <v>0</v>
      </c>
      <c r="W66" s="45">
        <f>IF($B66-'[4]29'!V66&lt;0,0,$B66-'[4]29'!V66)</f>
        <v>0.20000000000000018</v>
      </c>
      <c r="X66" s="45">
        <f>IF($B66-'[4]29'!W66&lt;0,0,$B66-'[4]29'!W66)</f>
        <v>0.20000000000000018</v>
      </c>
      <c r="Y66" s="45">
        <f>IF($B66-'[4]29'!X66&lt;0,0,$B66-'[4]29'!X66)</f>
        <v>0</v>
      </c>
      <c r="Z66" s="45">
        <f>IF($B66-'[4]29'!Y66&lt;0,0,$B66-'[4]29'!Y66)</f>
        <v>0</v>
      </c>
      <c r="AA66" s="45">
        <f>IF($B66-'[4]29'!Z66&lt;0,0,$B66-'[4]29'!Z66)</f>
        <v>0</v>
      </c>
      <c r="AB66" s="45">
        <f>IF($B66-'[4]29'!AA66&lt;0,0,$B66-'[4]29'!AA66)</f>
        <v>0</v>
      </c>
      <c r="AC66" s="45">
        <f>IF($B66-'[4]29'!AB66&lt;0,0,$B66-'[4]29'!AB66)</f>
        <v>0</v>
      </c>
      <c r="AD66" s="45">
        <f>IF($B66-'[4]29'!AC66&lt;0,0,$B66-'[4]29'!AC66)</f>
        <v>0</v>
      </c>
      <c r="AE66" s="45">
        <f>IF($B66-'[4]29'!AD66&lt;0,0,$B66-'[4]29'!AD66)</f>
        <v>0</v>
      </c>
      <c r="AF66" s="45">
        <f>IF($B66-'[4]29'!AE66&lt;0,0,$B66-'[4]29'!AE66)</f>
        <v>0</v>
      </c>
      <c r="AG66" s="45">
        <f>IF($B66-'[4]29'!AF66&lt;0,0,$B66-'[4]29'!AF66)</f>
        <v>0</v>
      </c>
      <c r="AH66" s="55">
        <v>6.2</v>
      </c>
      <c r="AI66" s="48">
        <f t="shared" si="2"/>
        <v>0.20000000000000018</v>
      </c>
      <c r="AJ66" s="49">
        <f t="shared" si="3"/>
        <v>0</v>
      </c>
      <c r="AL66" s="50"/>
    </row>
    <row r="67" spans="1:46" ht="15.75" thickBot="1" x14ac:dyDescent="0.3">
      <c r="A67" s="56" t="s">
        <v>65</v>
      </c>
      <c r="B67" s="216"/>
      <c r="C67" s="216"/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>
        <v>9.5399999999999991</v>
      </c>
      <c r="O67" s="216">
        <v>10.54</v>
      </c>
      <c r="P67" s="216">
        <v>11.54</v>
      </c>
      <c r="Q67" s="216">
        <v>12.54</v>
      </c>
      <c r="R67" s="216">
        <v>13.54</v>
      </c>
      <c r="S67" s="216">
        <v>14.54</v>
      </c>
      <c r="T67" s="216">
        <v>15.54</v>
      </c>
      <c r="U67" s="216">
        <v>16.54</v>
      </c>
      <c r="V67" s="216">
        <v>17.54</v>
      </c>
      <c r="W67" s="216">
        <v>18.54</v>
      </c>
      <c r="X67" s="216">
        <v>19.54</v>
      </c>
      <c r="Y67" s="216">
        <v>20.54</v>
      </c>
      <c r="Z67" s="216">
        <v>21.54</v>
      </c>
      <c r="AA67" s="216">
        <v>22.54</v>
      </c>
      <c r="AB67" s="216">
        <v>3.54</v>
      </c>
      <c r="AC67" s="216">
        <v>3.54</v>
      </c>
      <c r="AD67" s="216">
        <v>3.54</v>
      </c>
      <c r="AE67" s="216">
        <v>3.54</v>
      </c>
      <c r="AF67" s="216">
        <v>3.54</v>
      </c>
      <c r="AG67" s="216">
        <v>3.54</v>
      </c>
      <c r="AH67" s="73">
        <f>AH235</f>
        <v>8.56</v>
      </c>
      <c r="AI67" s="48">
        <f t="shared" si="2"/>
        <v>22.54</v>
      </c>
      <c r="AJ67" s="49">
        <f t="shared" si="3"/>
        <v>3.54</v>
      </c>
      <c r="AL67" s="50"/>
    </row>
    <row r="68" spans="1:46" ht="19.5" thickBot="1" x14ac:dyDescent="0.3">
      <c r="A68" s="74" t="s">
        <v>66</v>
      </c>
      <c r="B68" s="217">
        <f t="shared" ref="B68:Q68" si="8">SUM(B54:B66)</f>
        <v>707.7</v>
      </c>
      <c r="C68" s="217" t="e">
        <f t="shared" si="8"/>
        <v>#REF!</v>
      </c>
      <c r="D68" s="217" t="e">
        <f t="shared" si="8"/>
        <v>#REF!</v>
      </c>
      <c r="E68" s="217" t="e">
        <f t="shared" si="8"/>
        <v>#REF!</v>
      </c>
      <c r="F68" s="217" t="e">
        <f t="shared" si="8"/>
        <v>#REF!</v>
      </c>
      <c r="G68" s="217" t="e">
        <f t="shared" si="8"/>
        <v>#REF!</v>
      </c>
      <c r="H68" s="217" t="e">
        <f t="shared" si="8"/>
        <v>#REF!</v>
      </c>
      <c r="I68" s="217" t="e">
        <f t="shared" si="8"/>
        <v>#REF!</v>
      </c>
      <c r="J68" s="217" t="e">
        <f t="shared" si="8"/>
        <v>#REF!</v>
      </c>
      <c r="K68" s="217" t="e">
        <f t="shared" si="8"/>
        <v>#REF!</v>
      </c>
      <c r="L68" s="217" t="e">
        <f t="shared" si="8"/>
        <v>#REF!</v>
      </c>
      <c r="M68" s="217" t="e">
        <f t="shared" si="8"/>
        <v>#REF!</v>
      </c>
      <c r="N68" s="217" t="e">
        <f t="shared" si="8"/>
        <v>#REF!</v>
      </c>
      <c r="O68" s="217" t="e">
        <f t="shared" si="8"/>
        <v>#REF!</v>
      </c>
      <c r="P68" s="217" t="e">
        <f t="shared" si="8"/>
        <v>#REF!</v>
      </c>
      <c r="Q68" s="217" t="e">
        <f t="shared" si="8"/>
        <v>#REF!</v>
      </c>
      <c r="R68" s="217" t="e">
        <f t="shared" ref="R68:T68" si="9">SUM(R54:R66)</f>
        <v>#REF!</v>
      </c>
      <c r="S68" s="217" t="e">
        <f t="shared" si="9"/>
        <v>#REF!</v>
      </c>
      <c r="T68" s="217" t="e">
        <f t="shared" si="9"/>
        <v>#REF!</v>
      </c>
      <c r="U68" s="217">
        <f t="shared" ref="U68:AG68" si="10">SUM(U55:U67)</f>
        <v>36.24</v>
      </c>
      <c r="V68" s="217">
        <f t="shared" si="10"/>
        <v>38.54</v>
      </c>
      <c r="W68" s="217">
        <f t="shared" si="10"/>
        <v>38.739999999999995</v>
      </c>
      <c r="X68" s="217">
        <f t="shared" si="10"/>
        <v>19.739999999999998</v>
      </c>
      <c r="Y68" s="217">
        <f t="shared" si="10"/>
        <v>20.54</v>
      </c>
      <c r="Z68" s="217">
        <f t="shared" si="10"/>
        <v>21.54</v>
      </c>
      <c r="AA68" s="217">
        <f t="shared" si="10"/>
        <v>22.54</v>
      </c>
      <c r="AB68" s="217">
        <f t="shared" si="10"/>
        <v>3.54</v>
      </c>
      <c r="AC68" s="217">
        <f t="shared" si="10"/>
        <v>3.54</v>
      </c>
      <c r="AD68" s="217">
        <f t="shared" si="10"/>
        <v>3.54</v>
      </c>
      <c r="AE68" s="217">
        <f t="shared" si="10"/>
        <v>3.54</v>
      </c>
      <c r="AF68" s="217">
        <f t="shared" si="10"/>
        <v>3.54</v>
      </c>
      <c r="AG68" s="217">
        <f t="shared" si="10"/>
        <v>3.54</v>
      </c>
      <c r="AH68" s="218" t="e">
        <f>SUM(C68:AG68)</f>
        <v>#REF!</v>
      </c>
      <c r="AI68" s="48" t="e">
        <f t="shared" si="2"/>
        <v>#REF!</v>
      </c>
      <c r="AJ68" s="49" t="e">
        <f t="shared" si="3"/>
        <v>#REF!</v>
      </c>
      <c r="AL68" s="50"/>
    </row>
    <row r="69" spans="1:46" x14ac:dyDescent="0.25">
      <c r="A69" s="44" t="s">
        <v>67</v>
      </c>
      <c r="B69" s="45"/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45">
        <v>0</v>
      </c>
      <c r="AH69" s="52">
        <v>60</v>
      </c>
      <c r="AI69" s="48">
        <f t="shared" si="2"/>
        <v>0</v>
      </c>
      <c r="AJ69" s="49">
        <f t="shared" si="3"/>
        <v>0</v>
      </c>
      <c r="AL69" s="50"/>
    </row>
    <row r="70" spans="1:46" x14ac:dyDescent="0.25">
      <c r="A70" s="54" t="s">
        <v>68</v>
      </c>
      <c r="B70" s="45"/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v>0</v>
      </c>
      <c r="Q70" s="45">
        <v>0</v>
      </c>
      <c r="R70" s="45">
        <v>0</v>
      </c>
      <c r="S70" s="45">
        <v>0</v>
      </c>
      <c r="T70" s="45">
        <v>0</v>
      </c>
      <c r="U70" s="45">
        <v>0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0</v>
      </c>
      <c r="AB70" s="45">
        <v>0</v>
      </c>
      <c r="AC70" s="45">
        <v>0</v>
      </c>
      <c r="AD70" s="45">
        <v>0</v>
      </c>
      <c r="AE70" s="45">
        <v>0</v>
      </c>
      <c r="AF70" s="45">
        <v>0</v>
      </c>
      <c r="AG70" s="45">
        <v>0</v>
      </c>
      <c r="AH70" s="55">
        <v>32</v>
      </c>
      <c r="AI70" s="48">
        <f t="shared" si="2"/>
        <v>0</v>
      </c>
      <c r="AJ70" s="49">
        <f t="shared" si="3"/>
        <v>0</v>
      </c>
      <c r="AL70" s="50"/>
      <c r="AT70" s="48"/>
    </row>
    <row r="71" spans="1:46" ht="15.75" thickBot="1" x14ac:dyDescent="0.3">
      <c r="A71" s="71" t="s">
        <v>69</v>
      </c>
      <c r="B71" s="45"/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0</v>
      </c>
      <c r="AE71" s="45">
        <v>0</v>
      </c>
      <c r="AF71" s="45">
        <v>0</v>
      </c>
      <c r="AG71" s="45">
        <v>0</v>
      </c>
      <c r="AH71" s="68">
        <v>14</v>
      </c>
      <c r="AI71" s="48">
        <f t="shared" si="2"/>
        <v>0</v>
      </c>
      <c r="AJ71" s="49">
        <f t="shared" si="3"/>
        <v>0</v>
      </c>
      <c r="AL71" s="50"/>
    </row>
    <row r="72" spans="1:46" ht="15.75" thickBot="1" x14ac:dyDescent="0.3">
      <c r="A72" s="74" t="s">
        <v>70</v>
      </c>
      <c r="B72" s="61">
        <f>B69+B70+B71</f>
        <v>0</v>
      </c>
      <c r="C72" s="45">
        <v>0</v>
      </c>
      <c r="D72" s="45">
        <v>0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v>0</v>
      </c>
      <c r="O72" s="45">
        <v>0</v>
      </c>
      <c r="P72" s="45">
        <v>0</v>
      </c>
      <c r="Q72" s="45">
        <v>0</v>
      </c>
      <c r="R72" s="45">
        <v>0</v>
      </c>
      <c r="S72" s="45">
        <v>0</v>
      </c>
      <c r="T72" s="45">
        <v>0</v>
      </c>
      <c r="U72" s="45">
        <v>0</v>
      </c>
      <c r="V72" s="45">
        <v>0</v>
      </c>
      <c r="W72" s="45">
        <v>0</v>
      </c>
      <c r="X72" s="45">
        <v>0</v>
      </c>
      <c r="Y72" s="45">
        <v>0</v>
      </c>
      <c r="Z72" s="45">
        <v>0</v>
      </c>
      <c r="AA72" s="45">
        <v>0</v>
      </c>
      <c r="AB72" s="45">
        <v>0</v>
      </c>
      <c r="AC72" s="45">
        <v>0</v>
      </c>
      <c r="AD72" s="45">
        <v>0</v>
      </c>
      <c r="AE72" s="45">
        <v>0</v>
      </c>
      <c r="AF72" s="45">
        <v>0</v>
      </c>
      <c r="AG72" s="45">
        <v>0</v>
      </c>
      <c r="AH72" s="62">
        <f>SUM(AH69:AH71)</f>
        <v>106</v>
      </c>
      <c r="AI72" s="48">
        <f t="shared" si="2"/>
        <v>0</v>
      </c>
      <c r="AJ72" s="49">
        <f t="shared" si="3"/>
        <v>0</v>
      </c>
      <c r="AL72" s="50"/>
      <c r="AM72" s="37" t="s">
        <v>228</v>
      </c>
      <c r="AN72" s="37" t="s">
        <v>230</v>
      </c>
      <c r="AO72" s="219" t="s">
        <v>265</v>
      </c>
      <c r="AP72" s="219"/>
    </row>
    <row r="73" spans="1:46" ht="15.75" hidden="1" thickBot="1" x14ac:dyDescent="0.3">
      <c r="A73" s="44" t="s">
        <v>71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52"/>
      <c r="AI73" s="48">
        <f t="shared" si="2"/>
        <v>0</v>
      </c>
      <c r="AJ73" s="49">
        <f t="shared" si="3"/>
        <v>0</v>
      </c>
      <c r="AL73" s="50"/>
    </row>
    <row r="74" spans="1:46" ht="15.75" hidden="1" thickBot="1" x14ac:dyDescent="0.3">
      <c r="A74" s="54" t="s">
        <v>72</v>
      </c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55"/>
      <c r="AI74" s="48">
        <f t="shared" si="2"/>
        <v>0</v>
      </c>
      <c r="AJ74" s="49">
        <f t="shared" si="3"/>
        <v>0</v>
      </c>
      <c r="AL74" s="50"/>
    </row>
    <row r="75" spans="1:46" ht="15.75" hidden="1" thickBot="1" x14ac:dyDescent="0.3">
      <c r="A75" s="54" t="s">
        <v>73</v>
      </c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75"/>
      <c r="AI75" s="48">
        <f t="shared" si="2"/>
        <v>0</v>
      </c>
      <c r="AJ75" s="49">
        <f t="shared" si="3"/>
        <v>0</v>
      </c>
      <c r="AL75" s="50"/>
    </row>
    <row r="76" spans="1:46" ht="15.75" hidden="1" thickBot="1" x14ac:dyDescent="0.3">
      <c r="A76" s="54" t="s">
        <v>74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65"/>
      <c r="AF76" s="76"/>
      <c r="AG76" s="76"/>
      <c r="AH76" s="75"/>
      <c r="AI76" s="48">
        <f t="shared" si="2"/>
        <v>0</v>
      </c>
      <c r="AJ76" s="49">
        <f t="shared" si="3"/>
        <v>0</v>
      </c>
      <c r="AL76" s="50"/>
    </row>
    <row r="77" spans="1:46" ht="15.75" hidden="1" thickBot="1" x14ac:dyDescent="0.3">
      <c r="A77" s="54" t="s">
        <v>75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65"/>
      <c r="M77" s="65"/>
      <c r="N77" s="65"/>
      <c r="O77" s="65"/>
      <c r="P77" s="65"/>
      <c r="Q77" s="65"/>
      <c r="R77" s="65"/>
      <c r="S77" s="65"/>
      <c r="T77" s="6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75"/>
      <c r="AI77" s="48">
        <f t="shared" ref="AI77:AI120" si="11">MAX(C77:AG77)</f>
        <v>0</v>
      </c>
      <c r="AJ77" s="49">
        <f t="shared" ref="AJ77:AJ120" si="12">MIN(C77:AG77)</f>
        <v>0</v>
      </c>
      <c r="AL77" s="50"/>
    </row>
    <row r="78" spans="1:46" ht="15.75" hidden="1" thickBot="1" x14ac:dyDescent="0.3">
      <c r="A78" s="54" t="s">
        <v>76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65"/>
      <c r="M78" s="65"/>
      <c r="N78" s="65"/>
      <c r="O78" s="65"/>
      <c r="P78" s="65"/>
      <c r="Q78" s="65"/>
      <c r="R78" s="65"/>
      <c r="S78" s="65"/>
      <c r="T78" s="65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5"/>
      <c r="AI78" s="48">
        <f t="shared" si="11"/>
        <v>0</v>
      </c>
      <c r="AJ78" s="49">
        <f t="shared" si="12"/>
        <v>0</v>
      </c>
      <c r="AL78" s="50"/>
    </row>
    <row r="79" spans="1:46" ht="15.75" hidden="1" thickBot="1" x14ac:dyDescent="0.3">
      <c r="A79" s="54" t="s">
        <v>77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65"/>
      <c r="M79" s="65"/>
      <c r="N79" s="65"/>
      <c r="O79" s="65"/>
      <c r="P79" s="65"/>
      <c r="Q79" s="65"/>
      <c r="R79" s="65"/>
      <c r="S79" s="65"/>
      <c r="T79" s="65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5"/>
      <c r="AI79" s="48">
        <f t="shared" si="11"/>
        <v>0</v>
      </c>
      <c r="AJ79" s="49">
        <f t="shared" si="12"/>
        <v>0</v>
      </c>
      <c r="AL79" s="50"/>
      <c r="AM79" s="220" t="s">
        <v>266</v>
      </c>
      <c r="AN79" s="220"/>
    </row>
    <row r="80" spans="1:46" ht="15.75" hidden="1" thickBot="1" x14ac:dyDescent="0.3">
      <c r="A80" s="54" t="s">
        <v>78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65"/>
      <c r="M80" s="65"/>
      <c r="N80" s="65"/>
      <c r="O80" s="65"/>
      <c r="P80" s="65"/>
      <c r="Q80" s="65"/>
      <c r="R80" s="65"/>
      <c r="S80" s="65"/>
      <c r="T80" s="65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5"/>
      <c r="AI80" s="48">
        <f t="shared" si="11"/>
        <v>0</v>
      </c>
      <c r="AJ80" s="49">
        <f t="shared" si="12"/>
        <v>0</v>
      </c>
      <c r="AL80" s="221"/>
      <c r="AM80" s="222"/>
      <c r="AN80" s="222"/>
      <c r="AO80" s="223"/>
    </row>
    <row r="81" spans="1:41" ht="15.75" hidden="1" thickBot="1" x14ac:dyDescent="0.3">
      <c r="A81" s="54" t="s">
        <v>79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65"/>
      <c r="M81" s="65"/>
      <c r="N81" s="65"/>
      <c r="O81" s="65"/>
      <c r="P81" s="65"/>
      <c r="Q81" s="65"/>
      <c r="R81" s="65"/>
      <c r="S81" s="65"/>
      <c r="T81" s="65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5"/>
      <c r="AI81" s="48">
        <f t="shared" si="11"/>
        <v>0</v>
      </c>
      <c r="AJ81" s="49">
        <f t="shared" si="12"/>
        <v>0</v>
      </c>
      <c r="AL81" s="224" t="s">
        <v>267</v>
      </c>
      <c r="AM81" s="65"/>
      <c r="AN81" s="76"/>
      <c r="AO81" s="225"/>
    </row>
    <row r="82" spans="1:41" ht="15.75" hidden="1" thickBot="1" x14ac:dyDescent="0.3">
      <c r="A82" s="78" t="s">
        <v>80</v>
      </c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65"/>
      <c r="M82" s="65"/>
      <c r="N82" s="65"/>
      <c r="O82" s="65"/>
      <c r="P82" s="65"/>
      <c r="Q82" s="65"/>
      <c r="R82" s="65"/>
      <c r="S82" s="65"/>
      <c r="T82" s="65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80"/>
      <c r="AI82" s="48">
        <f t="shared" si="11"/>
        <v>0</v>
      </c>
      <c r="AJ82" s="49">
        <f t="shared" si="12"/>
        <v>0</v>
      </c>
      <c r="AL82" s="224" t="s">
        <v>268</v>
      </c>
      <c r="AM82" s="76"/>
      <c r="AN82" s="76"/>
      <c r="AO82" s="225"/>
    </row>
    <row r="83" spans="1:41" ht="15.75" hidden="1" thickBot="1" x14ac:dyDescent="0.3">
      <c r="A83" s="78" t="s">
        <v>81</v>
      </c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65"/>
      <c r="M83" s="65"/>
      <c r="N83" s="65"/>
      <c r="O83" s="65"/>
      <c r="P83" s="65"/>
      <c r="Q83" s="65"/>
      <c r="R83" s="65"/>
      <c r="S83" s="65"/>
      <c r="T83" s="65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80"/>
      <c r="AI83" s="48">
        <f t="shared" si="11"/>
        <v>0</v>
      </c>
      <c r="AJ83" s="49">
        <f t="shared" si="12"/>
        <v>0</v>
      </c>
      <c r="AL83" s="226"/>
      <c r="AM83" s="45"/>
      <c r="AN83" s="45"/>
      <c r="AO83" s="227"/>
    </row>
    <row r="84" spans="1:41" ht="15.75" hidden="1" thickBot="1" x14ac:dyDescent="0.3">
      <c r="A84" s="74" t="s">
        <v>82</v>
      </c>
      <c r="B84" s="61">
        <f t="shared" ref="B84:K84" si="13">SUMIF(B73:B83,"&gt;0")</f>
        <v>0</v>
      </c>
      <c r="C84" s="61">
        <f t="shared" si="13"/>
        <v>0</v>
      </c>
      <c r="D84" s="61">
        <f t="shared" si="13"/>
        <v>0</v>
      </c>
      <c r="E84" s="61">
        <f t="shared" si="13"/>
        <v>0</v>
      </c>
      <c r="F84" s="61">
        <f t="shared" si="13"/>
        <v>0</v>
      </c>
      <c r="G84" s="61">
        <f t="shared" si="13"/>
        <v>0</v>
      </c>
      <c r="H84" s="61">
        <f t="shared" si="13"/>
        <v>0</v>
      </c>
      <c r="I84" s="61">
        <f t="shared" si="13"/>
        <v>0</v>
      </c>
      <c r="J84" s="61">
        <f t="shared" si="13"/>
        <v>0</v>
      </c>
      <c r="K84" s="61">
        <f t="shared" si="13"/>
        <v>0</v>
      </c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81">
        <f>SUM(AH73:AH83)</f>
        <v>0</v>
      </c>
      <c r="AI84" s="48">
        <f t="shared" si="11"/>
        <v>0</v>
      </c>
      <c r="AJ84" s="49">
        <f t="shared" si="12"/>
        <v>0</v>
      </c>
      <c r="AL84" s="226"/>
      <c r="AM84" s="77"/>
      <c r="AN84" s="228"/>
      <c r="AO84" s="229"/>
    </row>
    <row r="85" spans="1:41" ht="15.75" hidden="1" thickBot="1" x14ac:dyDescent="0.3">
      <c r="A85" s="44" t="s">
        <v>83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82">
        <v>39</v>
      </c>
      <c r="AI85" s="48">
        <f t="shared" si="11"/>
        <v>0</v>
      </c>
      <c r="AJ85" s="49">
        <f t="shared" si="12"/>
        <v>0</v>
      </c>
      <c r="AL85" s="226"/>
      <c r="AM85" s="77"/>
      <c r="AN85" s="77"/>
      <c r="AO85" s="230"/>
    </row>
    <row r="86" spans="1:41" ht="15.75" hidden="1" thickBot="1" x14ac:dyDescent="0.3">
      <c r="A86" s="54" t="s">
        <v>84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5">
        <v>14.4</v>
      </c>
      <c r="AI86" s="48">
        <f t="shared" si="11"/>
        <v>0</v>
      </c>
      <c r="AJ86" s="49">
        <f t="shared" si="12"/>
        <v>0</v>
      </c>
      <c r="AL86" s="231"/>
      <c r="AM86" s="96"/>
      <c r="AN86" s="96"/>
      <c r="AO86" s="232"/>
    </row>
    <row r="87" spans="1:41" ht="15.75" hidden="1" thickBot="1" x14ac:dyDescent="0.3">
      <c r="A87" s="78" t="s">
        <v>85</v>
      </c>
      <c r="B87" s="79">
        <v>0</v>
      </c>
      <c r="C87" s="79">
        <v>0</v>
      </c>
      <c r="D87" s="79">
        <v>0</v>
      </c>
      <c r="E87" s="79">
        <v>0</v>
      </c>
      <c r="F87" s="79">
        <v>0</v>
      </c>
      <c r="G87" s="79">
        <v>0</v>
      </c>
      <c r="H87" s="79">
        <v>0</v>
      </c>
      <c r="I87" s="79">
        <v>0</v>
      </c>
      <c r="J87" s="79">
        <v>0</v>
      </c>
      <c r="K87" s="79">
        <v>0</v>
      </c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80">
        <v>2</v>
      </c>
      <c r="AI87" s="48">
        <f t="shared" si="11"/>
        <v>0</v>
      </c>
      <c r="AJ87" s="49">
        <f t="shared" si="12"/>
        <v>0</v>
      </c>
    </row>
    <row r="88" spans="1:41" ht="15.75" hidden="1" thickBot="1" x14ac:dyDescent="0.3">
      <c r="A88" s="74" t="s">
        <v>86</v>
      </c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81">
        <f>SUM(AH85:AH87)</f>
        <v>55.4</v>
      </c>
      <c r="AI88" s="48">
        <f t="shared" si="11"/>
        <v>0</v>
      </c>
      <c r="AJ88" s="49">
        <f t="shared" si="12"/>
        <v>0</v>
      </c>
    </row>
    <row r="89" spans="1:41" ht="15.75" hidden="1" thickBot="1" x14ac:dyDescent="0.3">
      <c r="A89" s="74" t="s">
        <v>87</v>
      </c>
      <c r="B89" s="83">
        <f t="shared" ref="B89:AH89" si="14">B50+B54+B72+B68+B84+B88</f>
        <v>1985.5000000000002</v>
      </c>
      <c r="C89" s="83" t="e">
        <f t="shared" si="14"/>
        <v>#REF!</v>
      </c>
      <c r="D89" s="83" t="e">
        <f t="shared" si="14"/>
        <v>#REF!</v>
      </c>
      <c r="E89" s="83" t="e">
        <f t="shared" si="14"/>
        <v>#REF!</v>
      </c>
      <c r="F89" s="83" t="e">
        <f t="shared" si="14"/>
        <v>#REF!</v>
      </c>
      <c r="G89" s="83" t="e">
        <f t="shared" si="14"/>
        <v>#REF!</v>
      </c>
      <c r="H89" s="83" t="e">
        <f t="shared" si="14"/>
        <v>#REF!</v>
      </c>
      <c r="I89" s="83" t="e">
        <f t="shared" si="14"/>
        <v>#REF!</v>
      </c>
      <c r="J89" s="83" t="e">
        <f t="shared" si="14"/>
        <v>#REF!</v>
      </c>
      <c r="K89" s="83" t="e">
        <f t="shared" si="14"/>
        <v>#REF!</v>
      </c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62" t="e">
        <f t="shared" si="14"/>
        <v>#REF!</v>
      </c>
      <c r="AI89" s="48" t="e">
        <f t="shared" si="11"/>
        <v>#REF!</v>
      </c>
      <c r="AJ89" s="49" t="e">
        <f t="shared" si="12"/>
        <v>#REF!</v>
      </c>
    </row>
    <row r="90" spans="1:41" ht="15.75" hidden="1" thickBot="1" x14ac:dyDescent="0.3">
      <c r="A90" s="84" t="s">
        <v>88</v>
      </c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1"/>
      <c r="AI90" s="48">
        <f t="shared" si="11"/>
        <v>0</v>
      </c>
      <c r="AJ90" s="49">
        <f t="shared" si="12"/>
        <v>0</v>
      </c>
    </row>
    <row r="91" spans="1:41" ht="15.75" hidden="1" thickBot="1" x14ac:dyDescent="0.3">
      <c r="A91" s="74" t="s">
        <v>89</v>
      </c>
      <c r="B91" s="83">
        <f t="shared" ref="B91:K91" si="15">B89+B90</f>
        <v>1985.5000000000002</v>
      </c>
      <c r="C91" s="83" t="e">
        <f t="shared" si="15"/>
        <v>#REF!</v>
      </c>
      <c r="D91" s="83" t="e">
        <f t="shared" si="15"/>
        <v>#REF!</v>
      </c>
      <c r="E91" s="83" t="e">
        <f t="shared" si="15"/>
        <v>#REF!</v>
      </c>
      <c r="F91" s="83" t="e">
        <f t="shared" si="15"/>
        <v>#REF!</v>
      </c>
      <c r="G91" s="83" t="e">
        <f t="shared" si="15"/>
        <v>#REF!</v>
      </c>
      <c r="H91" s="83" t="e">
        <f t="shared" si="15"/>
        <v>#REF!</v>
      </c>
      <c r="I91" s="83" t="e">
        <f t="shared" si="15"/>
        <v>#REF!</v>
      </c>
      <c r="J91" s="83" t="e">
        <f t="shared" si="15"/>
        <v>#REF!</v>
      </c>
      <c r="K91" s="83" t="e">
        <f t="shared" si="15"/>
        <v>#REF!</v>
      </c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1" t="e">
        <f>AH88+AH84+AH72+AH68+AH50+AH90</f>
        <v>#REF!</v>
      </c>
      <c r="AI91" s="48" t="e">
        <f t="shared" si="11"/>
        <v>#REF!</v>
      </c>
      <c r="AJ91" s="49" t="e">
        <f t="shared" si="12"/>
        <v>#REF!</v>
      </c>
    </row>
    <row r="92" spans="1:41" ht="15.75" hidden="1" thickBot="1" x14ac:dyDescent="0.3">
      <c r="A92" s="74" t="s">
        <v>90</v>
      </c>
      <c r="B92" s="83">
        <f>B91-(-B99)</f>
        <v>1985.5000000000002</v>
      </c>
      <c r="C92" s="83" t="e">
        <f>C91-(-C99)</f>
        <v>#REF!</v>
      </c>
      <c r="D92" s="83" t="e">
        <f t="shared" ref="D92:K92" si="16">D91-(-D99)</f>
        <v>#REF!</v>
      </c>
      <c r="E92" s="83" t="e">
        <f t="shared" si="16"/>
        <v>#REF!</v>
      </c>
      <c r="F92" s="83" t="e">
        <f t="shared" si="16"/>
        <v>#REF!</v>
      </c>
      <c r="G92" s="83" t="e">
        <f t="shared" si="16"/>
        <v>#REF!</v>
      </c>
      <c r="H92" s="83" t="e">
        <f t="shared" si="16"/>
        <v>#REF!</v>
      </c>
      <c r="I92" s="83" t="e">
        <f t="shared" si="16"/>
        <v>#REF!</v>
      </c>
      <c r="J92" s="83" t="e">
        <f t="shared" si="16"/>
        <v>#REF!</v>
      </c>
      <c r="K92" s="83" t="e">
        <f t="shared" si="16"/>
        <v>#REF!</v>
      </c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1"/>
      <c r="AI92" s="48" t="e">
        <f t="shared" si="11"/>
        <v>#REF!</v>
      </c>
      <c r="AJ92" s="49" t="e">
        <f t="shared" si="12"/>
        <v>#REF!</v>
      </c>
    </row>
    <row r="93" spans="1:41" ht="15.75" hidden="1" thickBot="1" x14ac:dyDescent="0.3">
      <c r="A93" s="44" t="s">
        <v>74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52"/>
      <c r="AI93" s="48">
        <f t="shared" si="11"/>
        <v>0</v>
      </c>
      <c r="AJ93" s="49">
        <f t="shared" si="12"/>
        <v>0</v>
      </c>
    </row>
    <row r="94" spans="1:41" ht="15.75" hidden="1" thickBot="1" x14ac:dyDescent="0.3">
      <c r="A94" s="54" t="s">
        <v>72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55"/>
      <c r="AI94" s="48">
        <f t="shared" si="11"/>
        <v>0</v>
      </c>
      <c r="AJ94" s="49">
        <f t="shared" si="12"/>
        <v>0</v>
      </c>
    </row>
    <row r="95" spans="1:41" ht="15.75" hidden="1" thickBot="1" x14ac:dyDescent="0.3">
      <c r="A95" s="78" t="s">
        <v>91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86"/>
      <c r="AI95" s="48">
        <f t="shared" si="11"/>
        <v>0</v>
      </c>
      <c r="AJ95" s="49">
        <f t="shared" si="12"/>
        <v>0</v>
      </c>
    </row>
    <row r="96" spans="1:41" ht="15.75" hidden="1" thickBot="1" x14ac:dyDescent="0.3">
      <c r="A96" s="78" t="s">
        <v>92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86"/>
      <c r="AI96" s="48">
        <f t="shared" si="11"/>
        <v>0</v>
      </c>
      <c r="AJ96" s="49">
        <f t="shared" si="12"/>
        <v>0</v>
      </c>
    </row>
    <row r="97" spans="1:38" ht="15.75" hidden="1" thickBot="1" x14ac:dyDescent="0.3">
      <c r="A97" s="78" t="s">
        <v>71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86"/>
      <c r="AI97" s="48">
        <f t="shared" si="11"/>
        <v>0</v>
      </c>
      <c r="AJ97" s="49">
        <f t="shared" si="12"/>
        <v>0</v>
      </c>
    </row>
    <row r="98" spans="1:38" ht="15.75" hidden="1" thickBot="1" x14ac:dyDescent="0.3">
      <c r="A98" s="78" t="s">
        <v>93</v>
      </c>
      <c r="B98" s="79">
        <v>0</v>
      </c>
      <c r="C98" s="79">
        <v>0</v>
      </c>
      <c r="D98" s="79">
        <v>0</v>
      </c>
      <c r="E98" s="79">
        <v>0</v>
      </c>
      <c r="F98" s="79">
        <v>0</v>
      </c>
      <c r="G98" s="79">
        <v>0</v>
      </c>
      <c r="H98" s="79">
        <v>0</v>
      </c>
      <c r="I98" s="79">
        <v>0</v>
      </c>
      <c r="J98" s="79">
        <v>0</v>
      </c>
      <c r="K98" s="79">
        <v>0</v>
      </c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80"/>
      <c r="AI98" s="48">
        <f t="shared" si="11"/>
        <v>0</v>
      </c>
      <c r="AJ98" s="49">
        <f t="shared" si="12"/>
        <v>0</v>
      </c>
    </row>
    <row r="99" spans="1:38" ht="15.75" hidden="1" thickBot="1" x14ac:dyDescent="0.3">
      <c r="A99" s="87" t="s">
        <v>94</v>
      </c>
      <c r="B99" s="61">
        <f>B75</f>
        <v>0</v>
      </c>
      <c r="C99" s="61">
        <f>C75</f>
        <v>0</v>
      </c>
      <c r="D99" s="61">
        <f t="shared" ref="D99:K99" si="17">D75</f>
        <v>0</v>
      </c>
      <c r="E99" s="61">
        <f t="shared" si="17"/>
        <v>0</v>
      </c>
      <c r="F99" s="61">
        <f t="shared" si="17"/>
        <v>0</v>
      </c>
      <c r="G99" s="61">
        <f t="shared" si="17"/>
        <v>0</v>
      </c>
      <c r="H99" s="61">
        <f t="shared" si="17"/>
        <v>0</v>
      </c>
      <c r="I99" s="61">
        <f t="shared" si="17"/>
        <v>0</v>
      </c>
      <c r="J99" s="61">
        <f t="shared" si="17"/>
        <v>0</v>
      </c>
      <c r="K99" s="61">
        <f t="shared" si="17"/>
        <v>0</v>
      </c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81"/>
      <c r="AI99" s="48">
        <f t="shared" si="11"/>
        <v>0</v>
      </c>
      <c r="AJ99" s="49">
        <f t="shared" si="12"/>
        <v>0</v>
      </c>
      <c r="AL99" s="50"/>
    </row>
    <row r="100" spans="1:38" ht="15.75" hidden="1" thickBot="1" x14ac:dyDescent="0.3">
      <c r="A100" s="74" t="s">
        <v>95</v>
      </c>
      <c r="B100" s="61">
        <f t="shared" ref="B100:K100" si="18">B84-B99</f>
        <v>0</v>
      </c>
      <c r="C100" s="61">
        <f t="shared" si="18"/>
        <v>0</v>
      </c>
      <c r="D100" s="61">
        <f t="shared" si="18"/>
        <v>0</v>
      </c>
      <c r="E100" s="61">
        <f t="shared" si="18"/>
        <v>0</v>
      </c>
      <c r="F100" s="61">
        <f t="shared" si="18"/>
        <v>0</v>
      </c>
      <c r="G100" s="61">
        <f t="shared" si="18"/>
        <v>0</v>
      </c>
      <c r="H100" s="61">
        <f t="shared" si="18"/>
        <v>0</v>
      </c>
      <c r="I100" s="61">
        <f t="shared" si="18"/>
        <v>0</v>
      </c>
      <c r="J100" s="61">
        <f t="shared" si="18"/>
        <v>0</v>
      </c>
      <c r="K100" s="61">
        <f t="shared" si="18"/>
        <v>0</v>
      </c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81"/>
      <c r="AI100" s="48">
        <f t="shared" si="11"/>
        <v>0</v>
      </c>
      <c r="AJ100" s="49">
        <f t="shared" si="12"/>
        <v>0</v>
      </c>
    </row>
    <row r="101" spans="1:38" ht="15.75" hidden="1" thickBot="1" x14ac:dyDescent="0.3">
      <c r="A101" s="88" t="s">
        <v>96</v>
      </c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90"/>
      <c r="AI101" s="48">
        <f t="shared" si="11"/>
        <v>0</v>
      </c>
      <c r="AJ101" s="49">
        <f t="shared" si="12"/>
        <v>0</v>
      </c>
    </row>
    <row r="102" spans="1:38" ht="15.75" hidden="1" thickBot="1" x14ac:dyDescent="0.3">
      <c r="A102" s="91" t="s">
        <v>97</v>
      </c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92"/>
      <c r="AI102" s="48">
        <f t="shared" si="11"/>
        <v>0</v>
      </c>
      <c r="AJ102" s="49">
        <f t="shared" si="12"/>
        <v>0</v>
      </c>
    </row>
    <row r="103" spans="1:38" ht="15.75" hidden="1" thickBot="1" x14ac:dyDescent="0.3">
      <c r="A103" s="91" t="s">
        <v>98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92"/>
      <c r="AI103" s="48">
        <f t="shared" si="11"/>
        <v>0</v>
      </c>
      <c r="AJ103" s="49">
        <f t="shared" si="12"/>
        <v>0</v>
      </c>
    </row>
    <row r="104" spans="1:38" ht="15.75" hidden="1" thickBot="1" x14ac:dyDescent="0.3">
      <c r="A104" s="91" t="s">
        <v>99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92"/>
      <c r="AI104" s="48">
        <f t="shared" si="11"/>
        <v>0</v>
      </c>
      <c r="AJ104" s="49">
        <f t="shared" si="12"/>
        <v>0</v>
      </c>
    </row>
    <row r="105" spans="1:38" ht="15.75" hidden="1" thickBot="1" x14ac:dyDescent="0.3">
      <c r="A105" s="93" t="s">
        <v>100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92"/>
      <c r="AI105" s="48">
        <f t="shared" si="11"/>
        <v>0</v>
      </c>
      <c r="AJ105" s="49">
        <f t="shared" si="12"/>
        <v>0</v>
      </c>
    </row>
    <row r="106" spans="1:38" ht="15.75" hidden="1" thickBot="1" x14ac:dyDescent="0.3">
      <c r="A106" s="93" t="s">
        <v>101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5"/>
      <c r="AI106" s="48">
        <f t="shared" si="11"/>
        <v>0</v>
      </c>
      <c r="AJ106" s="49">
        <f t="shared" si="12"/>
        <v>0</v>
      </c>
    </row>
    <row r="107" spans="1:38" ht="15.75" hidden="1" thickBot="1" x14ac:dyDescent="0.3">
      <c r="A107" s="91" t="s">
        <v>102</v>
      </c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92"/>
      <c r="AI107" s="48">
        <f t="shared" si="11"/>
        <v>0</v>
      </c>
      <c r="AJ107" s="49">
        <f t="shared" si="12"/>
        <v>0</v>
      </c>
    </row>
    <row r="108" spans="1:38" ht="15.75" hidden="1" thickBot="1" x14ac:dyDescent="0.3">
      <c r="A108" s="91" t="s">
        <v>103</v>
      </c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7"/>
      <c r="AI108" s="48">
        <f t="shared" si="11"/>
        <v>0</v>
      </c>
      <c r="AJ108" s="49">
        <f t="shared" si="12"/>
        <v>0</v>
      </c>
    </row>
    <row r="109" spans="1:38" ht="15.75" hidden="1" thickBot="1" x14ac:dyDescent="0.3">
      <c r="A109" s="98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7"/>
      <c r="AI109" s="48">
        <f t="shared" si="11"/>
        <v>0</v>
      </c>
      <c r="AJ109" s="49">
        <f t="shared" si="12"/>
        <v>0</v>
      </c>
    </row>
    <row r="110" spans="1:38" ht="15.75" hidden="1" thickBot="1" x14ac:dyDescent="0.3">
      <c r="A110" s="99" t="s">
        <v>104</v>
      </c>
      <c r="B110" s="100">
        <f t="shared" ref="B110:K110" si="19">SUM(B20,B26,B29:B30,B58,B60:B61,B63,B65,B111:B115,B138,B144,B150,B159,B161,B173,B180,B183:B184,B191,B193,B195,B199:B201,B203:B205,B210,B216:B217,B219:B221,B229,B234)</f>
        <v>162</v>
      </c>
      <c r="C110" s="100">
        <f t="shared" si="19"/>
        <v>11.5</v>
      </c>
      <c r="D110" s="100">
        <f t="shared" si="19"/>
        <v>20.059999999999999</v>
      </c>
      <c r="E110" s="100">
        <f t="shared" si="19"/>
        <v>25.6</v>
      </c>
      <c r="F110" s="100">
        <f t="shared" si="19"/>
        <v>22</v>
      </c>
      <c r="G110" s="100">
        <f t="shared" si="19"/>
        <v>22</v>
      </c>
      <c r="H110" s="100">
        <f t="shared" si="19"/>
        <v>16.899999999999999</v>
      </c>
      <c r="I110" s="100">
        <f t="shared" si="19"/>
        <v>7</v>
      </c>
      <c r="J110" s="100">
        <f t="shared" si="19"/>
        <v>0</v>
      </c>
      <c r="K110" s="100">
        <f t="shared" si="19"/>
        <v>0</v>
      </c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1"/>
      <c r="AI110" s="48">
        <f t="shared" si="11"/>
        <v>25.6</v>
      </c>
      <c r="AJ110" s="49">
        <f t="shared" si="12"/>
        <v>0</v>
      </c>
    </row>
    <row r="111" spans="1:38" ht="15.75" hidden="1" thickBot="1" x14ac:dyDescent="0.3">
      <c r="A111" s="88" t="s">
        <v>105</v>
      </c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  <c r="AH111" s="103">
        <v>75</v>
      </c>
      <c r="AI111" s="48">
        <f t="shared" si="11"/>
        <v>0</v>
      </c>
      <c r="AJ111" s="49">
        <f t="shared" si="12"/>
        <v>0</v>
      </c>
    </row>
    <row r="112" spans="1:38" ht="15.75" hidden="1" thickBot="1" x14ac:dyDescent="0.3">
      <c r="A112" s="91" t="s">
        <v>106</v>
      </c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  <c r="AH112" s="103">
        <v>240</v>
      </c>
      <c r="AI112" s="48">
        <f t="shared" si="11"/>
        <v>0</v>
      </c>
      <c r="AJ112" s="49">
        <f t="shared" si="12"/>
        <v>0</v>
      </c>
    </row>
    <row r="113" spans="1:38" ht="15.75" hidden="1" thickBot="1" x14ac:dyDescent="0.3">
      <c r="A113" s="91" t="s">
        <v>107</v>
      </c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3">
        <v>240</v>
      </c>
      <c r="AI113" s="48">
        <f t="shared" si="11"/>
        <v>0</v>
      </c>
      <c r="AJ113" s="49">
        <f t="shared" si="12"/>
        <v>0</v>
      </c>
    </row>
    <row r="114" spans="1:38" ht="15.75" hidden="1" thickBot="1" x14ac:dyDescent="0.3">
      <c r="A114" s="91" t="s">
        <v>108</v>
      </c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03">
        <v>60</v>
      </c>
      <c r="AI114" s="48">
        <f t="shared" si="11"/>
        <v>0</v>
      </c>
      <c r="AJ114" s="49">
        <f t="shared" si="12"/>
        <v>0</v>
      </c>
    </row>
    <row r="115" spans="1:38" ht="15.75" hidden="1" thickBot="1" x14ac:dyDescent="0.3">
      <c r="A115" s="105" t="s">
        <v>109</v>
      </c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7">
        <v>120</v>
      </c>
      <c r="AI115" s="48">
        <f t="shared" si="11"/>
        <v>0</v>
      </c>
      <c r="AJ115" s="49">
        <f t="shared" si="12"/>
        <v>0</v>
      </c>
    </row>
    <row r="116" spans="1:38" ht="15.75" hidden="1" thickBot="1" x14ac:dyDescent="0.3">
      <c r="A116" s="105" t="s">
        <v>110</v>
      </c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7"/>
      <c r="AI116" s="48">
        <f t="shared" si="11"/>
        <v>0</v>
      </c>
      <c r="AJ116" s="49">
        <f t="shared" si="12"/>
        <v>0</v>
      </c>
    </row>
    <row r="117" spans="1:38" ht="15.75" hidden="1" thickBot="1" x14ac:dyDescent="0.3">
      <c r="A117" s="105" t="s">
        <v>111</v>
      </c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8"/>
      <c r="AI117" s="48">
        <f t="shared" si="11"/>
        <v>0</v>
      </c>
      <c r="AJ117" s="49">
        <f t="shared" si="12"/>
        <v>0</v>
      </c>
    </row>
    <row r="118" spans="1:38" ht="15.75" hidden="1" thickBot="1" x14ac:dyDescent="0.3">
      <c r="A118" s="109" t="s">
        <v>112</v>
      </c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108"/>
      <c r="AI118" s="48">
        <f t="shared" si="11"/>
        <v>0</v>
      </c>
      <c r="AJ118" s="49">
        <f t="shared" si="12"/>
        <v>0</v>
      </c>
    </row>
    <row r="119" spans="1:38" ht="15.75" hidden="1" thickBot="1" x14ac:dyDescent="0.3">
      <c r="A119" s="233" t="s">
        <v>269</v>
      </c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108"/>
      <c r="AI119" s="48">
        <f t="shared" si="11"/>
        <v>0</v>
      </c>
      <c r="AJ119" s="49">
        <f t="shared" si="12"/>
        <v>0</v>
      </c>
    </row>
    <row r="120" spans="1:38" ht="15.75" hidden="1" thickBot="1" x14ac:dyDescent="0.3">
      <c r="A120" s="109" t="s">
        <v>270</v>
      </c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108"/>
      <c r="AI120" s="48">
        <f t="shared" si="11"/>
        <v>0</v>
      </c>
      <c r="AJ120" s="49">
        <f t="shared" si="12"/>
        <v>0</v>
      </c>
    </row>
    <row r="121" spans="1:38" ht="15.75" hidden="1" thickBot="1" x14ac:dyDescent="0.3">
      <c r="A121" s="110" t="s">
        <v>114</v>
      </c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2"/>
      <c r="AI121" s="48"/>
      <c r="AJ121" s="49"/>
      <c r="AL121" s="50"/>
    </row>
    <row r="122" spans="1:38" ht="15.75" hidden="1" thickBot="1" x14ac:dyDescent="0.3">
      <c r="A122" s="113" t="s">
        <v>115</v>
      </c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4"/>
      <c r="AH122" s="116">
        <v>9.94</v>
      </c>
      <c r="AI122" s="48"/>
      <c r="AJ122" s="49"/>
      <c r="AL122" s="50"/>
    </row>
    <row r="123" spans="1:38" ht="15.75" hidden="1" thickBot="1" x14ac:dyDescent="0.3">
      <c r="A123" s="91" t="s">
        <v>116</v>
      </c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4"/>
      <c r="AH123" s="116"/>
      <c r="AI123" s="48"/>
      <c r="AJ123" s="49"/>
      <c r="AL123" s="50"/>
    </row>
    <row r="124" spans="1:38" ht="15.75" hidden="1" thickBot="1" x14ac:dyDescent="0.3">
      <c r="A124" s="91" t="s">
        <v>117</v>
      </c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4"/>
      <c r="AH124" s="116"/>
      <c r="AI124" s="48"/>
      <c r="AJ124" s="49"/>
      <c r="AL124" s="50"/>
    </row>
    <row r="125" spans="1:38" ht="15.75" hidden="1" thickBot="1" x14ac:dyDescent="0.3">
      <c r="A125" s="91" t="s">
        <v>118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4"/>
      <c r="AH125" s="116"/>
      <c r="AI125" s="48"/>
      <c r="AJ125" s="49"/>
      <c r="AL125" s="50"/>
    </row>
    <row r="126" spans="1:38" ht="15.75" hidden="1" thickBot="1" x14ac:dyDescent="0.3">
      <c r="A126" s="91" t="s">
        <v>119</v>
      </c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4"/>
      <c r="AH126" s="116"/>
      <c r="AI126" s="48"/>
      <c r="AJ126" s="49"/>
      <c r="AL126" s="50"/>
    </row>
    <row r="127" spans="1:38" ht="15.75" hidden="1" thickBot="1" x14ac:dyDescent="0.3">
      <c r="A127" s="91" t="s">
        <v>120</v>
      </c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4"/>
      <c r="AH127" s="116"/>
      <c r="AI127" s="48"/>
      <c r="AJ127" s="49"/>
      <c r="AL127" s="50"/>
    </row>
    <row r="128" spans="1:38" ht="15.75" hidden="1" thickBot="1" x14ac:dyDescent="0.3">
      <c r="A128" s="91" t="s">
        <v>121</v>
      </c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4"/>
      <c r="AH128" s="116"/>
      <c r="AI128" s="48"/>
      <c r="AJ128" s="49"/>
      <c r="AL128" s="50"/>
    </row>
    <row r="129" spans="1:38" ht="15.75" hidden="1" thickBot="1" x14ac:dyDescent="0.3">
      <c r="A129" s="91" t="s">
        <v>122</v>
      </c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4"/>
      <c r="AH129" s="116"/>
      <c r="AI129" s="48"/>
      <c r="AJ129" s="49"/>
      <c r="AL129" s="50"/>
    </row>
    <row r="130" spans="1:38" ht="15.75" hidden="1" thickBot="1" x14ac:dyDescent="0.3">
      <c r="A130" s="91" t="s">
        <v>123</v>
      </c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4"/>
      <c r="AH130" s="116"/>
      <c r="AI130" s="48"/>
      <c r="AJ130" s="49"/>
      <c r="AL130" s="50"/>
    </row>
    <row r="131" spans="1:38" ht="15.75" hidden="1" thickBot="1" x14ac:dyDescent="0.3">
      <c r="A131" s="91" t="s">
        <v>124</v>
      </c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  <c r="AD131" s="114"/>
      <c r="AE131" s="114"/>
      <c r="AF131" s="114"/>
      <c r="AG131" s="114"/>
      <c r="AH131" s="116"/>
      <c r="AI131" s="48"/>
      <c r="AJ131" s="49"/>
      <c r="AL131" s="50"/>
    </row>
    <row r="132" spans="1:38" ht="15.75" hidden="1" thickBot="1" x14ac:dyDescent="0.3">
      <c r="A132" s="91" t="s">
        <v>125</v>
      </c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  <c r="AD132" s="114"/>
      <c r="AE132" s="114"/>
      <c r="AF132" s="114"/>
      <c r="AG132" s="114"/>
      <c r="AH132" s="116"/>
      <c r="AI132" s="48"/>
      <c r="AJ132" s="49"/>
      <c r="AL132" s="50"/>
    </row>
    <row r="133" spans="1:38" ht="15.75" hidden="1" thickBot="1" x14ac:dyDescent="0.3">
      <c r="A133" s="91" t="s">
        <v>126</v>
      </c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14"/>
      <c r="AE133" s="114"/>
      <c r="AF133" s="114"/>
      <c r="AG133" s="114"/>
      <c r="AH133" s="116"/>
      <c r="AI133" s="48"/>
      <c r="AJ133" s="49"/>
      <c r="AL133" s="50"/>
    </row>
    <row r="134" spans="1:38" ht="15.75" hidden="1" thickBot="1" x14ac:dyDescent="0.3">
      <c r="A134" s="91" t="s">
        <v>127</v>
      </c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4"/>
      <c r="AD134" s="114"/>
      <c r="AE134" s="114"/>
      <c r="AF134" s="114"/>
      <c r="AG134" s="114"/>
      <c r="AH134" s="116"/>
      <c r="AI134" s="48"/>
      <c r="AJ134" s="49"/>
      <c r="AL134" s="50"/>
    </row>
    <row r="135" spans="1:38" ht="15.75" hidden="1" thickBot="1" x14ac:dyDescent="0.3">
      <c r="A135" s="91" t="s">
        <v>128</v>
      </c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114"/>
      <c r="AB135" s="114"/>
      <c r="AC135" s="114"/>
      <c r="AD135" s="114"/>
      <c r="AE135" s="114"/>
      <c r="AF135" s="114"/>
      <c r="AG135" s="114"/>
      <c r="AH135" s="116"/>
      <c r="AI135" s="48"/>
      <c r="AJ135" s="49"/>
      <c r="AL135" s="50"/>
    </row>
    <row r="136" spans="1:38" ht="15.75" hidden="1" thickBot="1" x14ac:dyDescent="0.3">
      <c r="A136" s="91" t="s">
        <v>129</v>
      </c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4"/>
      <c r="AD136" s="114"/>
      <c r="AE136" s="114"/>
      <c r="AF136" s="114"/>
      <c r="AG136" s="114"/>
      <c r="AH136" s="116"/>
      <c r="AI136" s="48"/>
      <c r="AJ136" s="49"/>
      <c r="AL136" s="50"/>
    </row>
    <row r="137" spans="1:38" ht="15.75" hidden="1" thickBot="1" x14ac:dyDescent="0.3">
      <c r="A137" s="91" t="s">
        <v>130</v>
      </c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  <c r="AD137" s="114"/>
      <c r="AE137" s="114"/>
      <c r="AF137" s="114"/>
      <c r="AG137" s="114"/>
      <c r="AH137" s="116"/>
      <c r="AI137" s="48"/>
      <c r="AJ137" s="49"/>
      <c r="AL137" s="50"/>
    </row>
    <row r="138" spans="1:38" ht="15.75" hidden="1" thickBot="1" x14ac:dyDescent="0.3">
      <c r="A138" s="91" t="s">
        <v>131</v>
      </c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17"/>
      <c r="AH138" s="119">
        <v>9.9</v>
      </c>
      <c r="AI138" s="48"/>
      <c r="AJ138" s="49"/>
      <c r="AL138" s="50"/>
    </row>
    <row r="139" spans="1:38" ht="15.75" hidden="1" thickBot="1" x14ac:dyDescent="0.3">
      <c r="A139" s="105" t="s">
        <v>132</v>
      </c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17"/>
      <c r="AH139" s="120">
        <v>9.6579999999999995</v>
      </c>
      <c r="AI139" s="48"/>
      <c r="AJ139" s="49"/>
      <c r="AL139" s="50"/>
    </row>
    <row r="140" spans="1:38" ht="15.75" hidden="1" thickBot="1" x14ac:dyDescent="0.3">
      <c r="A140" s="105" t="s">
        <v>133</v>
      </c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17"/>
      <c r="AH140" s="120">
        <v>9.6</v>
      </c>
      <c r="AI140" s="48"/>
      <c r="AJ140" s="49"/>
      <c r="AL140" s="50"/>
    </row>
    <row r="141" spans="1:38" ht="15.75" hidden="1" thickBot="1" x14ac:dyDescent="0.3">
      <c r="A141" s="105" t="s">
        <v>134</v>
      </c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17"/>
      <c r="AH141" s="120">
        <v>9.51</v>
      </c>
      <c r="AI141" s="48"/>
      <c r="AJ141" s="49"/>
      <c r="AL141" s="50"/>
    </row>
    <row r="142" spans="1:38" ht="15.75" hidden="1" thickBot="1" x14ac:dyDescent="0.3">
      <c r="A142" s="105" t="s">
        <v>135</v>
      </c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17"/>
      <c r="AH142" s="120">
        <v>9.4</v>
      </c>
      <c r="AI142" s="48"/>
      <c r="AJ142" s="49"/>
      <c r="AL142" s="50"/>
    </row>
    <row r="143" spans="1:38" ht="15.75" hidden="1" thickBot="1" x14ac:dyDescent="0.3">
      <c r="A143" s="105" t="s">
        <v>136</v>
      </c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17"/>
      <c r="AH143" s="120">
        <v>8.8000000000000007</v>
      </c>
      <c r="AI143" s="48"/>
      <c r="AJ143" s="49"/>
      <c r="AL143" s="50"/>
    </row>
    <row r="144" spans="1:38" ht="15.75" hidden="1" thickBot="1" x14ac:dyDescent="0.3">
      <c r="A144" s="105" t="s">
        <v>137</v>
      </c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17"/>
      <c r="AH144" s="120">
        <v>8.5</v>
      </c>
      <c r="AI144" s="48"/>
      <c r="AJ144" s="49"/>
      <c r="AL144" s="50"/>
    </row>
    <row r="145" spans="1:38" ht="15.75" hidden="1" thickBot="1" x14ac:dyDescent="0.3">
      <c r="A145" s="105" t="s">
        <v>138</v>
      </c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17"/>
      <c r="AH145" s="120">
        <v>8.5</v>
      </c>
      <c r="AI145" s="48"/>
      <c r="AJ145" s="49"/>
      <c r="AL145" s="50"/>
    </row>
    <row r="146" spans="1:38" ht="15.75" hidden="1" thickBot="1" x14ac:dyDescent="0.3">
      <c r="A146" s="105" t="s">
        <v>139</v>
      </c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17"/>
      <c r="AH146" s="120">
        <v>8.4</v>
      </c>
      <c r="AI146" s="48"/>
      <c r="AJ146" s="49"/>
      <c r="AL146" s="50"/>
    </row>
    <row r="147" spans="1:38" ht="13.5" hidden="1" customHeight="1" x14ac:dyDescent="0.25">
      <c r="A147" s="105" t="s">
        <v>140</v>
      </c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20">
        <v>8</v>
      </c>
      <c r="AI147" s="48"/>
      <c r="AJ147" s="49"/>
      <c r="AL147" s="50"/>
    </row>
    <row r="148" spans="1:38" ht="15.75" hidden="1" thickBot="1" x14ac:dyDescent="0.3">
      <c r="A148" s="105" t="s">
        <v>141</v>
      </c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17"/>
      <c r="AH148" s="120">
        <v>8</v>
      </c>
      <c r="AI148" s="48"/>
      <c r="AJ148" s="49"/>
      <c r="AL148" s="50"/>
    </row>
    <row r="149" spans="1:38" ht="15.75" hidden="1" thickBot="1" x14ac:dyDescent="0.3">
      <c r="A149" s="105" t="s">
        <v>142</v>
      </c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17"/>
      <c r="AH149" s="120">
        <v>8</v>
      </c>
      <c r="AI149" s="48"/>
      <c r="AJ149" s="49"/>
      <c r="AL149" s="50"/>
    </row>
    <row r="150" spans="1:38" ht="15.75" hidden="1" thickBot="1" x14ac:dyDescent="0.3">
      <c r="A150" s="105" t="s">
        <v>143</v>
      </c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17"/>
      <c r="AH150" s="120">
        <v>7.8</v>
      </c>
      <c r="AI150" s="48"/>
      <c r="AJ150" s="49"/>
      <c r="AL150" s="50"/>
    </row>
    <row r="151" spans="1:38" ht="15.75" hidden="1" thickBot="1" x14ac:dyDescent="0.3">
      <c r="A151" s="105" t="s">
        <v>144</v>
      </c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17"/>
      <c r="AH151" s="120">
        <v>7.6</v>
      </c>
      <c r="AI151" s="48"/>
      <c r="AJ151" s="49"/>
      <c r="AL151" s="50"/>
    </row>
    <row r="152" spans="1:38" ht="15.75" hidden="1" thickBot="1" x14ac:dyDescent="0.3">
      <c r="A152" s="105" t="s">
        <v>145</v>
      </c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17"/>
      <c r="AH152" s="120">
        <v>7.5</v>
      </c>
      <c r="AI152" s="48"/>
      <c r="AJ152" s="49"/>
      <c r="AL152" s="50"/>
    </row>
    <row r="153" spans="1:38" ht="15.75" hidden="1" thickBot="1" x14ac:dyDescent="0.3">
      <c r="A153" s="105" t="s">
        <v>146</v>
      </c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7"/>
      <c r="AH153" s="120">
        <v>7.5</v>
      </c>
      <c r="AI153" s="48"/>
      <c r="AJ153" s="49"/>
      <c r="AL153" s="50"/>
    </row>
    <row r="154" spans="1:38" ht="15.75" hidden="1" thickBot="1" x14ac:dyDescent="0.3">
      <c r="A154" s="105" t="s">
        <v>147</v>
      </c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17"/>
      <c r="AH154" s="120">
        <v>7</v>
      </c>
      <c r="AI154" s="48"/>
      <c r="AJ154" s="49"/>
      <c r="AL154" s="50"/>
    </row>
    <row r="155" spans="1:38" ht="15.75" hidden="1" thickBot="1" x14ac:dyDescent="0.3">
      <c r="A155" s="105" t="s">
        <v>148</v>
      </c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17"/>
      <c r="AH155" s="120">
        <v>7</v>
      </c>
      <c r="AI155" s="48"/>
      <c r="AJ155" s="49"/>
      <c r="AL155" s="50"/>
    </row>
    <row r="156" spans="1:38" ht="15.75" hidden="1" thickBot="1" x14ac:dyDescent="0.3">
      <c r="A156" s="105" t="s">
        <v>149</v>
      </c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7"/>
      <c r="AH156" s="120">
        <v>7</v>
      </c>
      <c r="AI156" s="48"/>
      <c r="AJ156" s="49"/>
      <c r="AL156" s="50"/>
    </row>
    <row r="157" spans="1:38" ht="15.75" hidden="1" thickBot="1" x14ac:dyDescent="0.3">
      <c r="A157" s="105" t="s">
        <v>150</v>
      </c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7"/>
      <c r="AH157" s="120">
        <v>7</v>
      </c>
      <c r="AI157" s="48"/>
      <c r="AJ157" s="49"/>
      <c r="AL157" s="50"/>
    </row>
    <row r="158" spans="1:38" ht="15.75" hidden="1" thickBot="1" x14ac:dyDescent="0.3">
      <c r="A158" s="105" t="s">
        <v>151</v>
      </c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17"/>
      <c r="AH158" s="120">
        <v>6.6</v>
      </c>
      <c r="AI158" s="48"/>
      <c r="AJ158" s="49"/>
      <c r="AL158" s="50"/>
    </row>
    <row r="159" spans="1:38" ht="15.75" hidden="1" thickBot="1" x14ac:dyDescent="0.3">
      <c r="A159" s="105" t="s">
        <v>152</v>
      </c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17"/>
      <c r="AH159" s="120">
        <v>6.6</v>
      </c>
      <c r="AI159" s="48"/>
      <c r="AJ159" s="49"/>
      <c r="AL159" s="50"/>
    </row>
    <row r="160" spans="1:38" ht="15.75" hidden="1" thickBot="1" x14ac:dyDescent="0.3">
      <c r="A160" s="105" t="s">
        <v>153</v>
      </c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17"/>
      <c r="AH160" s="120">
        <v>6.4</v>
      </c>
      <c r="AI160" s="48"/>
      <c r="AJ160" s="49"/>
      <c r="AL160" s="50"/>
    </row>
    <row r="161" spans="1:38" ht="15.75" hidden="1" thickBot="1" x14ac:dyDescent="0.3">
      <c r="A161" s="105" t="s">
        <v>154</v>
      </c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17"/>
      <c r="AH161" s="120">
        <v>6</v>
      </c>
      <c r="AI161" s="48"/>
      <c r="AJ161" s="49"/>
      <c r="AL161" s="50"/>
    </row>
    <row r="162" spans="1:38" ht="15.75" hidden="1" thickBot="1" x14ac:dyDescent="0.3">
      <c r="A162" s="105" t="s">
        <v>155</v>
      </c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17"/>
      <c r="AH162" s="120">
        <v>5.0999999999999996</v>
      </c>
      <c r="AI162" s="48"/>
      <c r="AJ162" s="49"/>
      <c r="AL162" s="50"/>
    </row>
    <row r="163" spans="1:38" ht="15.75" hidden="1" thickBot="1" x14ac:dyDescent="0.3">
      <c r="A163" s="105" t="s">
        <v>156</v>
      </c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17"/>
      <c r="AH163" s="120">
        <v>5</v>
      </c>
      <c r="AI163" s="48"/>
      <c r="AJ163" s="49"/>
      <c r="AL163" s="50"/>
    </row>
    <row r="164" spans="1:38" ht="15.75" hidden="1" thickBot="1" x14ac:dyDescent="0.3">
      <c r="A164" s="91" t="s">
        <v>157</v>
      </c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17"/>
      <c r="AH164" s="119">
        <v>5</v>
      </c>
      <c r="AI164" s="48"/>
      <c r="AJ164" s="49"/>
      <c r="AL164" s="50"/>
    </row>
    <row r="165" spans="1:38" ht="15.75" hidden="1" thickBot="1" x14ac:dyDescent="0.3">
      <c r="A165" s="105" t="s">
        <v>158</v>
      </c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17"/>
      <c r="AH165" s="120">
        <v>5</v>
      </c>
      <c r="AI165" s="48"/>
      <c r="AJ165" s="49"/>
      <c r="AL165" s="50"/>
    </row>
    <row r="166" spans="1:38" ht="15.75" hidden="1" thickBot="1" x14ac:dyDescent="0.3">
      <c r="A166" s="105" t="s">
        <v>159</v>
      </c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17"/>
      <c r="AH166" s="120">
        <v>5</v>
      </c>
      <c r="AI166" s="48"/>
      <c r="AJ166" s="49"/>
      <c r="AL166" s="50"/>
    </row>
    <row r="167" spans="1:38" ht="15.75" hidden="1" thickBot="1" x14ac:dyDescent="0.3">
      <c r="A167" s="105" t="s">
        <v>160</v>
      </c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17"/>
      <c r="AH167" s="120">
        <v>5</v>
      </c>
      <c r="AI167" s="48"/>
      <c r="AJ167" s="49"/>
      <c r="AL167" s="50"/>
    </row>
    <row r="168" spans="1:38" ht="15.75" hidden="1" thickBot="1" x14ac:dyDescent="0.3">
      <c r="A168" s="105" t="s">
        <v>161</v>
      </c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17"/>
      <c r="AH168" s="120">
        <v>5</v>
      </c>
      <c r="AI168" s="48"/>
      <c r="AJ168" s="49"/>
      <c r="AL168" s="50"/>
    </row>
    <row r="169" spans="1:38" ht="15.75" hidden="1" thickBot="1" x14ac:dyDescent="0.3">
      <c r="A169" s="105" t="s">
        <v>162</v>
      </c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17"/>
      <c r="AH169" s="120">
        <v>5</v>
      </c>
      <c r="AI169" s="48"/>
      <c r="AJ169" s="49"/>
      <c r="AL169" s="50"/>
    </row>
    <row r="170" spans="1:38" ht="15.75" hidden="1" thickBot="1" x14ac:dyDescent="0.3">
      <c r="A170" s="105" t="s">
        <v>163</v>
      </c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17"/>
      <c r="AH170" s="120">
        <v>4.9930000000000003</v>
      </c>
      <c r="AI170" s="48"/>
      <c r="AJ170" s="49"/>
      <c r="AL170" s="50"/>
    </row>
    <row r="171" spans="1:38" ht="15.75" hidden="1" thickBot="1" x14ac:dyDescent="0.3">
      <c r="A171" s="105" t="s">
        <v>164</v>
      </c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17"/>
      <c r="AH171" s="120">
        <v>4.9800000000000004</v>
      </c>
      <c r="AI171" s="48"/>
      <c r="AJ171" s="49"/>
      <c r="AL171" s="50"/>
    </row>
    <row r="172" spans="1:38" ht="15.75" hidden="1" thickBot="1" x14ac:dyDescent="0.3">
      <c r="A172" s="105" t="s">
        <v>165</v>
      </c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17"/>
      <c r="AH172" s="120">
        <v>4.95</v>
      </c>
      <c r="AI172" s="48"/>
      <c r="AJ172" s="49"/>
      <c r="AL172" s="50"/>
    </row>
    <row r="173" spans="1:38" ht="15.75" hidden="1" thickBot="1" x14ac:dyDescent="0.3">
      <c r="A173" s="105" t="s">
        <v>166</v>
      </c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17"/>
      <c r="AH173" s="120">
        <v>4.95</v>
      </c>
      <c r="AI173" s="48"/>
      <c r="AJ173" s="49"/>
      <c r="AL173" s="50"/>
    </row>
    <row r="174" spans="1:38" ht="15.75" hidden="1" thickBot="1" x14ac:dyDescent="0.3">
      <c r="A174" s="105" t="s">
        <v>167</v>
      </c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17"/>
      <c r="AH174" s="120">
        <v>4.8</v>
      </c>
      <c r="AI174" s="48"/>
      <c r="AJ174" s="49"/>
      <c r="AL174" s="50"/>
    </row>
    <row r="175" spans="1:38" ht="15.75" hidden="1" thickBot="1" x14ac:dyDescent="0.3">
      <c r="A175" s="105" t="s">
        <v>168</v>
      </c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17"/>
      <c r="AH175" s="120">
        <v>4.8</v>
      </c>
      <c r="AI175" s="48"/>
      <c r="AJ175" s="49"/>
      <c r="AL175" s="50"/>
    </row>
    <row r="176" spans="1:38" ht="15.75" hidden="1" thickBot="1" x14ac:dyDescent="0.3">
      <c r="A176" s="105" t="s">
        <v>169</v>
      </c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17"/>
      <c r="AH176" s="120">
        <v>4.8</v>
      </c>
      <c r="AI176" s="48"/>
      <c r="AJ176" s="49"/>
      <c r="AL176" s="50"/>
    </row>
    <row r="177" spans="1:38" ht="15.75" hidden="1" thickBot="1" x14ac:dyDescent="0.3">
      <c r="A177" s="105" t="s">
        <v>170</v>
      </c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17"/>
      <c r="AH177" s="120">
        <v>4.5</v>
      </c>
      <c r="AI177" s="48"/>
      <c r="AJ177" s="49"/>
      <c r="AL177" s="50"/>
    </row>
    <row r="178" spans="1:38" ht="15.75" hidden="1" thickBot="1" x14ac:dyDescent="0.3">
      <c r="A178" s="105" t="s">
        <v>171</v>
      </c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17"/>
      <c r="AH178" s="120">
        <v>4.5</v>
      </c>
      <c r="AI178" s="48"/>
      <c r="AJ178" s="49"/>
      <c r="AL178" s="50"/>
    </row>
    <row r="179" spans="1:38" ht="15.75" hidden="1" thickBot="1" x14ac:dyDescent="0.3">
      <c r="A179" s="105" t="s">
        <v>172</v>
      </c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17"/>
      <c r="AH179" s="120">
        <v>4.4550000000000001</v>
      </c>
      <c r="AI179" s="48"/>
      <c r="AJ179" s="49"/>
      <c r="AL179" s="50"/>
    </row>
    <row r="180" spans="1:38" ht="15.75" hidden="1" thickBot="1" x14ac:dyDescent="0.3">
      <c r="A180" s="105" t="s">
        <v>173</v>
      </c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17"/>
      <c r="AH180" s="120">
        <v>4.41</v>
      </c>
      <c r="AI180" s="48"/>
      <c r="AJ180" s="49"/>
      <c r="AL180" s="50"/>
    </row>
    <row r="181" spans="1:38" ht="15.75" hidden="1" thickBot="1" x14ac:dyDescent="0.3">
      <c r="A181" s="105" t="s">
        <v>174</v>
      </c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17"/>
      <c r="AH181" s="120">
        <v>4.4000000000000004</v>
      </c>
      <c r="AI181" s="48"/>
      <c r="AJ181" s="49"/>
      <c r="AL181" s="50"/>
    </row>
    <row r="182" spans="1:38" ht="15.75" hidden="1" thickBot="1" x14ac:dyDescent="0.3">
      <c r="A182" s="105" t="s">
        <v>175</v>
      </c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17"/>
      <c r="AH182" s="120">
        <v>4.3600000000000003</v>
      </c>
      <c r="AI182" s="48"/>
      <c r="AJ182" s="49"/>
      <c r="AL182" s="50"/>
    </row>
    <row r="183" spans="1:38" ht="15.75" hidden="1" thickBot="1" x14ac:dyDescent="0.3">
      <c r="A183" s="105" t="s">
        <v>176</v>
      </c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17"/>
      <c r="AH183" s="120">
        <v>4.2</v>
      </c>
      <c r="AI183" s="48"/>
      <c r="AJ183" s="49"/>
      <c r="AL183" s="50"/>
    </row>
    <row r="184" spans="1:38" ht="15.75" hidden="1" thickBot="1" x14ac:dyDescent="0.3">
      <c r="A184" s="105" t="s">
        <v>177</v>
      </c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17"/>
      <c r="AH184" s="120">
        <v>4</v>
      </c>
      <c r="AI184" s="48"/>
      <c r="AJ184" s="49"/>
      <c r="AL184" s="50"/>
    </row>
    <row r="185" spans="1:38" ht="15.75" hidden="1" thickBot="1" x14ac:dyDescent="0.3">
      <c r="A185" s="105" t="s">
        <v>178</v>
      </c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17"/>
      <c r="AH185" s="120">
        <v>4</v>
      </c>
      <c r="AI185" s="48"/>
      <c r="AJ185" s="49"/>
      <c r="AL185" s="50"/>
    </row>
    <row r="186" spans="1:38" ht="15.75" hidden="1" thickBot="1" x14ac:dyDescent="0.3">
      <c r="A186" s="105" t="s">
        <v>179</v>
      </c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17"/>
      <c r="AH186" s="120">
        <v>4</v>
      </c>
      <c r="AI186" s="48"/>
      <c r="AJ186" s="49"/>
      <c r="AL186" s="50"/>
    </row>
    <row r="187" spans="1:38" ht="15.75" hidden="1" thickBot="1" x14ac:dyDescent="0.3">
      <c r="A187" s="105" t="s">
        <v>180</v>
      </c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17"/>
      <c r="AH187" s="120">
        <v>4</v>
      </c>
      <c r="AI187" s="48"/>
      <c r="AJ187" s="49"/>
      <c r="AL187" s="50"/>
    </row>
    <row r="188" spans="1:38" ht="15.75" hidden="1" thickBot="1" x14ac:dyDescent="0.3">
      <c r="A188" s="105" t="s">
        <v>181</v>
      </c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17"/>
      <c r="AH188" s="120">
        <v>4</v>
      </c>
      <c r="AI188" s="48"/>
      <c r="AJ188" s="49"/>
      <c r="AL188" s="50"/>
    </row>
    <row r="189" spans="1:38" ht="15.75" hidden="1" thickBot="1" x14ac:dyDescent="0.3">
      <c r="A189" s="105" t="s">
        <v>182</v>
      </c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17"/>
      <c r="AH189" s="120">
        <v>4</v>
      </c>
      <c r="AI189" s="48"/>
      <c r="AJ189" s="49"/>
      <c r="AL189" s="50"/>
    </row>
    <row r="190" spans="1:38" ht="15.75" hidden="1" thickBot="1" x14ac:dyDescent="0.3">
      <c r="A190" s="105" t="s">
        <v>183</v>
      </c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17"/>
      <c r="AH190" s="120">
        <v>4</v>
      </c>
      <c r="AI190" s="48"/>
      <c r="AJ190" s="49"/>
      <c r="AL190" s="50"/>
    </row>
    <row r="191" spans="1:38" ht="15.75" hidden="1" thickBot="1" x14ac:dyDescent="0.3">
      <c r="A191" s="105" t="s">
        <v>184</v>
      </c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17"/>
      <c r="AH191" s="120">
        <v>4</v>
      </c>
      <c r="AI191" s="48"/>
      <c r="AJ191" s="49"/>
      <c r="AL191" s="50"/>
    </row>
    <row r="192" spans="1:38" ht="15.75" hidden="1" thickBot="1" x14ac:dyDescent="0.3">
      <c r="A192" s="105" t="s">
        <v>185</v>
      </c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17"/>
      <c r="AH192" s="120">
        <v>3.75</v>
      </c>
      <c r="AI192" s="48"/>
      <c r="AJ192" s="49"/>
      <c r="AL192" s="50"/>
    </row>
    <row r="193" spans="1:38" ht="15.75" hidden="1" thickBot="1" x14ac:dyDescent="0.3">
      <c r="A193" s="105" t="s">
        <v>186</v>
      </c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17"/>
      <c r="AH193" s="120">
        <v>3.52</v>
      </c>
      <c r="AI193" s="48"/>
      <c r="AJ193" s="49"/>
      <c r="AL193" s="50"/>
    </row>
    <row r="194" spans="1:38" ht="15.75" hidden="1" thickBot="1" x14ac:dyDescent="0.3">
      <c r="A194" s="105" t="s">
        <v>187</v>
      </c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17"/>
      <c r="AH194" s="120">
        <v>3.33</v>
      </c>
      <c r="AI194" s="48"/>
      <c r="AJ194" s="49"/>
      <c r="AL194" s="50"/>
    </row>
    <row r="195" spans="1:38" ht="15.75" hidden="1" thickBot="1" x14ac:dyDescent="0.3">
      <c r="A195" s="105" t="s">
        <v>188</v>
      </c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17"/>
      <c r="AH195" s="120">
        <v>3.2</v>
      </c>
      <c r="AI195" s="48"/>
      <c r="AJ195" s="49"/>
      <c r="AL195" s="50"/>
    </row>
    <row r="196" spans="1:38" ht="15.75" hidden="1" thickBot="1" x14ac:dyDescent="0.3">
      <c r="A196" s="105" t="s">
        <v>189</v>
      </c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17"/>
      <c r="AH196" s="120">
        <v>3</v>
      </c>
      <c r="AI196" s="48"/>
      <c r="AJ196" s="49"/>
      <c r="AL196" s="50"/>
    </row>
    <row r="197" spans="1:38" ht="15.75" hidden="1" thickBot="1" x14ac:dyDescent="0.3">
      <c r="A197" s="105" t="s">
        <v>190</v>
      </c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17"/>
      <c r="AH197" s="120">
        <v>3</v>
      </c>
      <c r="AI197" s="48"/>
      <c r="AJ197" s="49"/>
      <c r="AL197" s="50"/>
    </row>
    <row r="198" spans="1:38" ht="15.75" hidden="1" thickBot="1" x14ac:dyDescent="0.3">
      <c r="A198" s="105" t="s">
        <v>191</v>
      </c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17"/>
      <c r="AH198" s="120">
        <v>3</v>
      </c>
      <c r="AI198" s="48"/>
      <c r="AJ198" s="49"/>
      <c r="AL198" s="50"/>
    </row>
    <row r="199" spans="1:38" ht="15.75" hidden="1" thickBot="1" x14ac:dyDescent="0.3">
      <c r="A199" s="105" t="s">
        <v>192</v>
      </c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17"/>
      <c r="AH199" s="120">
        <v>3</v>
      </c>
      <c r="AI199" s="48"/>
      <c r="AJ199" s="49"/>
      <c r="AL199" s="50"/>
    </row>
    <row r="200" spans="1:38" ht="15.75" hidden="1" thickBot="1" x14ac:dyDescent="0.3">
      <c r="A200" s="105" t="s">
        <v>193</v>
      </c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17"/>
      <c r="AH200" s="120">
        <v>3</v>
      </c>
      <c r="AI200" s="48"/>
      <c r="AJ200" s="49"/>
      <c r="AL200" s="50"/>
    </row>
    <row r="201" spans="1:38" ht="15.75" hidden="1" thickBot="1" x14ac:dyDescent="0.3">
      <c r="A201" s="105" t="s">
        <v>194</v>
      </c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17"/>
      <c r="AH201" s="120">
        <v>3</v>
      </c>
      <c r="AI201" s="48"/>
      <c r="AJ201" s="49"/>
      <c r="AL201" s="50"/>
    </row>
    <row r="202" spans="1:38" ht="15.75" hidden="1" thickBot="1" x14ac:dyDescent="0.3">
      <c r="A202" s="105" t="s">
        <v>195</v>
      </c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17"/>
      <c r="AH202" s="120">
        <v>3</v>
      </c>
      <c r="AI202" s="48"/>
      <c r="AJ202" s="49"/>
      <c r="AL202" s="50"/>
    </row>
    <row r="203" spans="1:38" ht="15.75" hidden="1" thickBot="1" x14ac:dyDescent="0.3">
      <c r="A203" s="105" t="s">
        <v>196</v>
      </c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17"/>
      <c r="AH203" s="120">
        <v>3</v>
      </c>
      <c r="AI203" s="48"/>
      <c r="AJ203" s="49"/>
      <c r="AL203" s="50"/>
    </row>
    <row r="204" spans="1:38" ht="15.75" hidden="1" thickBot="1" x14ac:dyDescent="0.3">
      <c r="A204" s="105" t="s">
        <v>197</v>
      </c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17"/>
      <c r="AH204" s="120">
        <v>2.83</v>
      </c>
      <c r="AI204" s="48"/>
      <c r="AJ204" s="49"/>
      <c r="AL204" s="50"/>
    </row>
    <row r="205" spans="1:38" ht="15.75" hidden="1" thickBot="1" x14ac:dyDescent="0.3">
      <c r="A205" s="105" t="s">
        <v>198</v>
      </c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17"/>
      <c r="AH205" s="120">
        <v>2.5</v>
      </c>
      <c r="AI205" s="48"/>
      <c r="AJ205" s="49"/>
      <c r="AL205" s="50"/>
    </row>
    <row r="206" spans="1:38" ht="15.75" hidden="1" thickBot="1" x14ac:dyDescent="0.3">
      <c r="A206" s="105" t="s">
        <v>199</v>
      </c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17"/>
      <c r="AH206" s="120">
        <v>2.5</v>
      </c>
      <c r="AI206" s="48"/>
      <c r="AJ206" s="49"/>
      <c r="AL206" s="50"/>
    </row>
    <row r="207" spans="1:38" ht="15.75" hidden="1" thickBot="1" x14ac:dyDescent="0.3">
      <c r="A207" s="105" t="s">
        <v>200</v>
      </c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17"/>
      <c r="AH207" s="120">
        <v>2.4</v>
      </c>
      <c r="AI207" s="48"/>
      <c r="AJ207" s="49"/>
      <c r="AL207" s="50"/>
    </row>
    <row r="208" spans="1:38" ht="15.75" hidden="1" thickBot="1" x14ac:dyDescent="0.3">
      <c r="A208" s="105" t="s">
        <v>201</v>
      </c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17"/>
      <c r="AH208" s="120">
        <v>2.4</v>
      </c>
      <c r="AI208" s="48"/>
      <c r="AJ208" s="49"/>
      <c r="AL208" s="50"/>
    </row>
    <row r="209" spans="1:38" ht="15.75" hidden="1" thickBot="1" x14ac:dyDescent="0.3">
      <c r="A209" s="105" t="s">
        <v>202</v>
      </c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17"/>
      <c r="AH209" s="120">
        <v>2.2000000000000002</v>
      </c>
      <c r="AI209" s="48"/>
      <c r="AJ209" s="49"/>
      <c r="AL209" s="50"/>
    </row>
    <row r="210" spans="1:38" ht="15.75" hidden="1" thickBot="1" x14ac:dyDescent="0.3">
      <c r="A210" s="105" t="s">
        <v>203</v>
      </c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17"/>
      <c r="AH210" s="120">
        <v>2</v>
      </c>
      <c r="AI210" s="48"/>
      <c r="AJ210" s="49"/>
      <c r="AL210" s="50"/>
    </row>
    <row r="211" spans="1:38" ht="15.75" hidden="1" thickBot="1" x14ac:dyDescent="0.3">
      <c r="A211" s="105" t="s">
        <v>204</v>
      </c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17"/>
      <c r="AH211" s="120">
        <v>2</v>
      </c>
      <c r="AI211" s="48"/>
      <c r="AJ211" s="49"/>
      <c r="AL211" s="50"/>
    </row>
    <row r="212" spans="1:38" ht="15.75" hidden="1" thickBot="1" x14ac:dyDescent="0.3">
      <c r="A212" s="105" t="s">
        <v>205</v>
      </c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17"/>
      <c r="AH212" s="120">
        <v>2</v>
      </c>
      <c r="AI212" s="48"/>
      <c r="AJ212" s="49"/>
      <c r="AL212" s="50"/>
    </row>
    <row r="213" spans="1:38" ht="15.75" hidden="1" thickBot="1" x14ac:dyDescent="0.3">
      <c r="A213" s="105" t="s">
        <v>206</v>
      </c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17"/>
      <c r="AH213" s="120">
        <v>1.8</v>
      </c>
      <c r="AI213" s="48"/>
      <c r="AJ213" s="49"/>
      <c r="AL213" s="50"/>
    </row>
    <row r="214" spans="1:38" ht="15.75" hidden="1" thickBot="1" x14ac:dyDescent="0.3">
      <c r="A214" s="105" t="s">
        <v>207</v>
      </c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17"/>
      <c r="AH214" s="120">
        <v>1.8</v>
      </c>
      <c r="AI214" s="48"/>
      <c r="AJ214" s="49"/>
      <c r="AL214" s="50"/>
    </row>
    <row r="215" spans="1:38" ht="15.75" hidden="1" thickBot="1" x14ac:dyDescent="0.3">
      <c r="A215" s="105" t="s">
        <v>208</v>
      </c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17"/>
      <c r="AH215" s="120">
        <v>1.65</v>
      </c>
      <c r="AI215" s="48"/>
      <c r="AJ215" s="49"/>
      <c r="AL215" s="50"/>
    </row>
    <row r="216" spans="1:38" ht="15.75" hidden="1" thickBot="1" x14ac:dyDescent="0.3">
      <c r="A216" s="105" t="s">
        <v>209</v>
      </c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17"/>
      <c r="AH216" s="120">
        <v>1.5</v>
      </c>
      <c r="AI216" s="48"/>
      <c r="AJ216" s="49"/>
      <c r="AL216" s="50"/>
    </row>
    <row r="217" spans="1:38" ht="15.75" hidden="1" thickBot="1" x14ac:dyDescent="0.3">
      <c r="A217" s="105" t="s">
        <v>210</v>
      </c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17"/>
      <c r="AH217" s="120">
        <v>0.998</v>
      </c>
      <c r="AI217" s="48"/>
      <c r="AJ217" s="49"/>
      <c r="AL217" s="50"/>
    </row>
    <row r="218" spans="1:38" ht="15.75" hidden="1" thickBot="1" x14ac:dyDescent="0.3">
      <c r="A218" s="105" t="s">
        <v>211</v>
      </c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17"/>
      <c r="AH218" s="120">
        <v>0.997</v>
      </c>
      <c r="AI218" s="48"/>
      <c r="AJ218" s="49"/>
      <c r="AL218" s="50"/>
    </row>
    <row r="219" spans="1:38" ht="15.75" hidden="1" thickBot="1" x14ac:dyDescent="0.3">
      <c r="A219" s="105" t="s">
        <v>212</v>
      </c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17"/>
      <c r="AH219" s="120">
        <v>0.997</v>
      </c>
      <c r="AI219" s="48"/>
      <c r="AJ219" s="49"/>
      <c r="AL219" s="50"/>
    </row>
    <row r="220" spans="1:38" ht="15.75" hidden="1" thickBot="1" x14ac:dyDescent="0.3">
      <c r="A220" s="105" t="s">
        <v>213</v>
      </c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17"/>
      <c r="AH220" s="120">
        <v>0.996</v>
      </c>
      <c r="AI220" s="48"/>
      <c r="AJ220" s="49"/>
      <c r="AL220" s="50"/>
    </row>
    <row r="221" spans="1:38" ht="15.75" hidden="1" thickBot="1" x14ac:dyDescent="0.3">
      <c r="A221" s="105" t="s">
        <v>214</v>
      </c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17"/>
      <c r="AH221" s="120">
        <v>0.996</v>
      </c>
      <c r="AI221" s="48"/>
      <c r="AJ221" s="49"/>
      <c r="AL221" s="50"/>
    </row>
    <row r="222" spans="1:38" ht="15.75" hidden="1" thickBot="1" x14ac:dyDescent="0.3">
      <c r="A222" s="105" t="s">
        <v>215</v>
      </c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17"/>
      <c r="AH222" s="120">
        <v>0.996</v>
      </c>
      <c r="AI222" s="48"/>
      <c r="AJ222" s="49"/>
      <c r="AL222" s="50"/>
    </row>
    <row r="223" spans="1:38" ht="15.75" hidden="1" thickBot="1" x14ac:dyDescent="0.3">
      <c r="A223" s="105" t="s">
        <v>216</v>
      </c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17"/>
      <c r="AH223" s="120">
        <v>0.995</v>
      </c>
      <c r="AI223" s="48"/>
      <c r="AJ223" s="49"/>
      <c r="AL223" s="50"/>
    </row>
    <row r="224" spans="1:38" ht="15.75" hidden="1" thickBot="1" x14ac:dyDescent="0.3">
      <c r="A224" s="105" t="s">
        <v>217</v>
      </c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17"/>
      <c r="AH224" s="120">
        <v>0.99299999999999999</v>
      </c>
      <c r="AI224" s="48"/>
      <c r="AJ224" s="49"/>
      <c r="AL224" s="50"/>
    </row>
    <row r="225" spans="1:38" ht="15.75" hidden="1" thickBot="1" x14ac:dyDescent="0.3">
      <c r="A225" s="105" t="s">
        <v>218</v>
      </c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17"/>
      <c r="AH225" s="120">
        <v>0.99</v>
      </c>
      <c r="AI225" s="48"/>
      <c r="AJ225" s="49"/>
      <c r="AL225" s="50"/>
    </row>
    <row r="226" spans="1:38" ht="15.75" hidden="1" thickBot="1" x14ac:dyDescent="0.3">
      <c r="A226" s="105" t="s">
        <v>219</v>
      </c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1"/>
      <c r="AH226" s="120">
        <v>0.97899999999999998</v>
      </c>
      <c r="AI226" s="48"/>
      <c r="AJ226" s="49"/>
      <c r="AL226" s="50"/>
    </row>
    <row r="227" spans="1:38" ht="15.75" hidden="1" thickBot="1" x14ac:dyDescent="0.3">
      <c r="A227" s="123" t="s">
        <v>220</v>
      </c>
      <c r="B227" s="124">
        <f t="shared" ref="B227" si="20">SUM(B122:B226)</f>
        <v>0</v>
      </c>
      <c r="C227" s="124">
        <f t="shared" ref="C227:AH227" si="21">SUM(C122:C226)</f>
        <v>0</v>
      </c>
      <c r="D227" s="124">
        <f t="shared" si="21"/>
        <v>0</v>
      </c>
      <c r="E227" s="124">
        <f t="shared" si="21"/>
        <v>0</v>
      </c>
      <c r="F227" s="124">
        <f t="shared" si="21"/>
        <v>0</v>
      </c>
      <c r="G227" s="124">
        <f t="shared" si="21"/>
        <v>0</v>
      </c>
      <c r="H227" s="124">
        <f t="shared" si="21"/>
        <v>0</v>
      </c>
      <c r="I227" s="124">
        <f t="shared" si="21"/>
        <v>0</v>
      </c>
      <c r="J227" s="124">
        <f t="shared" si="21"/>
        <v>0</v>
      </c>
      <c r="K227" s="124">
        <f t="shared" si="21"/>
        <v>0</v>
      </c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  <c r="AB227" s="125"/>
      <c r="AC227" s="125"/>
      <c r="AD227" s="125"/>
      <c r="AE227" s="125"/>
      <c r="AF227" s="125"/>
      <c r="AG227" s="126"/>
      <c r="AH227" s="127">
        <f t="shared" si="21"/>
        <v>412.72299999999984</v>
      </c>
      <c r="AI227" s="48"/>
      <c r="AJ227" s="49"/>
      <c r="AL227" s="50"/>
    </row>
    <row r="228" spans="1:38" ht="15.75" hidden="1" thickBot="1" x14ac:dyDescent="0.3">
      <c r="A228" s="26" t="s">
        <v>65</v>
      </c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08"/>
      <c r="AI228" s="48"/>
      <c r="AJ228" s="49"/>
      <c r="AL228" s="50"/>
    </row>
    <row r="229" spans="1:38" ht="15.75" hidden="1" thickBot="1" x14ac:dyDescent="0.3">
      <c r="A229" s="88" t="s">
        <v>221</v>
      </c>
      <c r="B229" s="129">
        <f t="shared" ref="B229:K234" si="22">AF229</f>
        <v>0</v>
      </c>
      <c r="C229" s="129">
        <f t="shared" si="22"/>
        <v>0</v>
      </c>
      <c r="D229" s="129">
        <f t="shared" si="22"/>
        <v>2.4</v>
      </c>
      <c r="E229" s="129">
        <f t="shared" si="22"/>
        <v>0</v>
      </c>
      <c r="F229" s="129">
        <f t="shared" si="22"/>
        <v>0</v>
      </c>
      <c r="G229" s="129">
        <f t="shared" si="22"/>
        <v>0</v>
      </c>
      <c r="H229" s="129">
        <f t="shared" si="22"/>
        <v>0</v>
      </c>
      <c r="I229" s="129">
        <f t="shared" si="22"/>
        <v>0</v>
      </c>
      <c r="J229" s="129">
        <f t="shared" si="22"/>
        <v>0</v>
      </c>
      <c r="K229" s="129">
        <f t="shared" si="22"/>
        <v>0</v>
      </c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29"/>
      <c r="AH229" s="130">
        <v>2.4</v>
      </c>
      <c r="AI229" s="48"/>
      <c r="AJ229" s="49"/>
      <c r="AL229" s="50"/>
    </row>
    <row r="230" spans="1:38" ht="15.75" hidden="1" thickBot="1" x14ac:dyDescent="0.3">
      <c r="A230" s="91" t="s">
        <v>222</v>
      </c>
      <c r="B230" s="117">
        <f t="shared" si="22"/>
        <v>0</v>
      </c>
      <c r="C230" s="117">
        <f t="shared" si="22"/>
        <v>0</v>
      </c>
      <c r="D230" s="117">
        <f t="shared" si="22"/>
        <v>2</v>
      </c>
      <c r="E230" s="117">
        <f t="shared" si="22"/>
        <v>0</v>
      </c>
      <c r="F230" s="117">
        <f t="shared" si="22"/>
        <v>0</v>
      </c>
      <c r="G230" s="117">
        <f t="shared" si="22"/>
        <v>0</v>
      </c>
      <c r="H230" s="117">
        <f t="shared" si="22"/>
        <v>0</v>
      </c>
      <c r="I230" s="117">
        <f t="shared" si="22"/>
        <v>0</v>
      </c>
      <c r="J230" s="117">
        <f t="shared" si="22"/>
        <v>0</v>
      </c>
      <c r="K230" s="117">
        <f t="shared" si="22"/>
        <v>0</v>
      </c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117"/>
      <c r="AB230" s="117"/>
      <c r="AC230" s="117"/>
      <c r="AD230" s="117"/>
      <c r="AE230" s="117"/>
      <c r="AF230" s="117"/>
      <c r="AG230" s="117"/>
      <c r="AH230" s="131">
        <v>2</v>
      </c>
      <c r="AI230" s="48"/>
      <c r="AJ230" s="49"/>
      <c r="AL230" s="50"/>
    </row>
    <row r="231" spans="1:38" ht="15.75" hidden="1" thickBot="1" x14ac:dyDescent="0.3">
      <c r="A231" s="91" t="s">
        <v>223</v>
      </c>
      <c r="B231" s="117">
        <f t="shared" si="22"/>
        <v>0</v>
      </c>
      <c r="C231" s="117">
        <f t="shared" si="22"/>
        <v>0</v>
      </c>
      <c r="D231" s="117">
        <f t="shared" si="22"/>
        <v>1.5</v>
      </c>
      <c r="E231" s="117">
        <f t="shared" si="22"/>
        <v>0</v>
      </c>
      <c r="F231" s="117">
        <f t="shared" si="22"/>
        <v>0</v>
      </c>
      <c r="G231" s="117">
        <f t="shared" si="22"/>
        <v>0</v>
      </c>
      <c r="H231" s="117">
        <f t="shared" si="22"/>
        <v>0</v>
      </c>
      <c r="I231" s="117">
        <f t="shared" si="22"/>
        <v>0</v>
      </c>
      <c r="J231" s="117">
        <f t="shared" si="22"/>
        <v>0</v>
      </c>
      <c r="K231" s="117">
        <f t="shared" si="22"/>
        <v>0</v>
      </c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  <c r="AB231" s="117"/>
      <c r="AC231" s="117"/>
      <c r="AD231" s="117"/>
      <c r="AE231" s="117"/>
      <c r="AF231" s="117"/>
      <c r="AG231" s="117"/>
      <c r="AH231" s="131">
        <v>1.5</v>
      </c>
      <c r="AI231" s="48"/>
      <c r="AJ231" s="49"/>
      <c r="AL231" s="50"/>
    </row>
    <row r="232" spans="1:38" ht="15.75" hidden="1" thickBot="1" x14ac:dyDescent="0.3">
      <c r="A232" s="91" t="s">
        <v>224</v>
      </c>
      <c r="B232" s="117">
        <f t="shared" si="22"/>
        <v>0</v>
      </c>
      <c r="C232" s="117">
        <f t="shared" si="22"/>
        <v>0</v>
      </c>
      <c r="D232" s="117">
        <f t="shared" si="22"/>
        <v>1</v>
      </c>
      <c r="E232" s="117">
        <f t="shared" si="22"/>
        <v>0</v>
      </c>
      <c r="F232" s="117">
        <f t="shared" si="22"/>
        <v>0</v>
      </c>
      <c r="G232" s="117">
        <f t="shared" si="22"/>
        <v>0</v>
      </c>
      <c r="H232" s="117">
        <f t="shared" si="22"/>
        <v>0</v>
      </c>
      <c r="I232" s="117">
        <f t="shared" si="22"/>
        <v>0</v>
      </c>
      <c r="J232" s="117">
        <f t="shared" si="22"/>
        <v>0</v>
      </c>
      <c r="K232" s="117">
        <f t="shared" si="22"/>
        <v>0</v>
      </c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  <c r="AB232" s="117"/>
      <c r="AC232" s="117"/>
      <c r="AD232" s="117"/>
      <c r="AE232" s="117"/>
      <c r="AF232" s="117"/>
      <c r="AG232" s="117"/>
      <c r="AH232" s="131">
        <v>1</v>
      </c>
      <c r="AI232" s="48"/>
      <c r="AJ232" s="49"/>
      <c r="AL232" s="50"/>
    </row>
    <row r="233" spans="1:38" ht="15.75" hidden="1" thickBot="1" x14ac:dyDescent="0.3">
      <c r="A233" s="91" t="s">
        <v>225</v>
      </c>
      <c r="B233" s="117">
        <f t="shared" si="22"/>
        <v>0</v>
      </c>
      <c r="C233" s="117">
        <f t="shared" si="22"/>
        <v>0</v>
      </c>
      <c r="D233" s="117">
        <f t="shared" si="22"/>
        <v>1</v>
      </c>
      <c r="E233" s="117">
        <f t="shared" si="22"/>
        <v>0</v>
      </c>
      <c r="F233" s="117">
        <f t="shared" si="22"/>
        <v>0</v>
      </c>
      <c r="G233" s="117">
        <f t="shared" si="22"/>
        <v>0</v>
      </c>
      <c r="H233" s="117">
        <f t="shared" si="22"/>
        <v>0</v>
      </c>
      <c r="I233" s="117">
        <f t="shared" si="22"/>
        <v>0</v>
      </c>
      <c r="J233" s="117">
        <f t="shared" si="22"/>
        <v>0</v>
      </c>
      <c r="K233" s="117">
        <f t="shared" si="22"/>
        <v>0</v>
      </c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  <c r="AB233" s="117"/>
      <c r="AC233" s="117"/>
      <c r="AD233" s="117"/>
      <c r="AE233" s="117"/>
      <c r="AF233" s="117"/>
      <c r="AG233" s="117"/>
      <c r="AH233" s="131">
        <v>1</v>
      </c>
      <c r="AI233" s="48"/>
      <c r="AJ233" s="49"/>
      <c r="AL233" s="50"/>
    </row>
    <row r="234" spans="1:38" ht="15.75" hidden="1" thickBot="1" x14ac:dyDescent="0.3">
      <c r="A234" s="105" t="s">
        <v>226</v>
      </c>
      <c r="B234" s="121">
        <f t="shared" si="22"/>
        <v>0</v>
      </c>
      <c r="C234" s="121">
        <f t="shared" si="22"/>
        <v>0</v>
      </c>
      <c r="D234" s="121">
        <f t="shared" si="22"/>
        <v>0.66</v>
      </c>
      <c r="E234" s="121">
        <f t="shared" si="22"/>
        <v>0</v>
      </c>
      <c r="F234" s="121">
        <f t="shared" si="22"/>
        <v>0</v>
      </c>
      <c r="G234" s="121">
        <f t="shared" si="22"/>
        <v>0</v>
      </c>
      <c r="H234" s="121">
        <f t="shared" si="22"/>
        <v>0</v>
      </c>
      <c r="I234" s="121">
        <f t="shared" si="22"/>
        <v>0</v>
      </c>
      <c r="J234" s="121">
        <f t="shared" si="22"/>
        <v>0</v>
      </c>
      <c r="K234" s="121">
        <f t="shared" si="22"/>
        <v>0</v>
      </c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32">
        <v>0.66</v>
      </c>
      <c r="AI234" s="48"/>
      <c r="AJ234" s="49"/>
    </row>
    <row r="235" spans="1:38" ht="15.75" hidden="1" thickBot="1" x14ac:dyDescent="0.3">
      <c r="A235" s="133" t="s">
        <v>65</v>
      </c>
      <c r="B235" s="125">
        <f t="shared" ref="B235:AH235" si="23">SUM(B229:B234)</f>
        <v>0</v>
      </c>
      <c r="C235" s="125">
        <f t="shared" si="23"/>
        <v>0</v>
      </c>
      <c r="D235" s="125">
        <f t="shared" si="23"/>
        <v>8.56</v>
      </c>
      <c r="E235" s="125">
        <f t="shared" si="23"/>
        <v>0</v>
      </c>
      <c r="F235" s="125">
        <f t="shared" si="23"/>
        <v>0</v>
      </c>
      <c r="G235" s="125">
        <f t="shared" si="23"/>
        <v>0</v>
      </c>
      <c r="H235" s="125">
        <f t="shared" si="23"/>
        <v>0</v>
      </c>
      <c r="I235" s="125">
        <f t="shared" si="23"/>
        <v>0</v>
      </c>
      <c r="J235" s="125">
        <f t="shared" si="23"/>
        <v>0</v>
      </c>
      <c r="K235" s="125">
        <f t="shared" si="23"/>
        <v>0</v>
      </c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5"/>
      <c r="AD235" s="125"/>
      <c r="AE235" s="125"/>
      <c r="AF235" s="125"/>
      <c r="AG235" s="125"/>
      <c r="AH235" s="134">
        <f t="shared" si="23"/>
        <v>8.56</v>
      </c>
      <c r="AI235" s="48"/>
      <c r="AJ235" s="49"/>
    </row>
    <row r="236" spans="1:38" ht="15.75" hidden="1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128"/>
      <c r="AI236" s="43"/>
    </row>
    <row r="237" spans="1:38" ht="15.75" hidden="1" thickBot="1" x14ac:dyDescent="0.3">
      <c r="A237" s="135" t="s">
        <v>227</v>
      </c>
      <c r="B237" s="136"/>
      <c r="C237" s="136"/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  <c r="AA237" s="136"/>
      <c r="AB237" s="136"/>
      <c r="AC237" s="136"/>
      <c r="AD237" s="136"/>
      <c r="AE237" s="136"/>
      <c r="AF237" s="136"/>
      <c r="AG237" s="137"/>
      <c r="AH237" s="43"/>
      <c r="AI237" s="48"/>
      <c r="AJ237" s="49"/>
    </row>
    <row r="238" spans="1:38" ht="15.75" hidden="1" thickBot="1" x14ac:dyDescent="0.3">
      <c r="A238" s="138" t="s">
        <v>228</v>
      </c>
      <c r="B238" s="139"/>
      <c r="C238" s="139"/>
      <c r="D238" s="139"/>
      <c r="E238" s="139"/>
      <c r="F238" s="139"/>
      <c r="G238" s="139"/>
      <c r="H238" s="139"/>
      <c r="I238" s="139"/>
      <c r="J238" s="139"/>
      <c r="K238" s="139"/>
      <c r="L238" s="139"/>
      <c r="M238" s="139"/>
      <c r="N238" s="139"/>
      <c r="O238" s="139"/>
      <c r="P238" s="139"/>
      <c r="Q238" s="139"/>
      <c r="R238" s="139"/>
      <c r="S238" s="139"/>
      <c r="T238" s="139"/>
      <c r="U238" s="139"/>
      <c r="V238" s="139"/>
      <c r="W238" s="139"/>
      <c r="X238" s="139"/>
      <c r="Y238" s="139"/>
      <c r="Z238" s="139"/>
      <c r="AA238" s="139"/>
      <c r="AB238" s="139"/>
      <c r="AC238" s="139"/>
      <c r="AD238" s="139"/>
      <c r="AE238" s="139"/>
      <c r="AF238" s="139"/>
      <c r="AG238" s="140"/>
      <c r="AH238" s="141"/>
      <c r="AI238" s="48"/>
      <c r="AJ238" s="49"/>
    </row>
    <row r="239" spans="1:38" ht="15.75" hidden="1" thickBot="1" x14ac:dyDescent="0.3">
      <c r="A239" s="142" t="s">
        <v>229</v>
      </c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  <c r="AE239" s="143"/>
      <c r="AF239" s="143"/>
      <c r="AG239" s="144"/>
      <c r="AH239" s="141"/>
      <c r="AI239" s="48"/>
      <c r="AJ239" s="49"/>
    </row>
    <row r="240" spans="1:38" ht="15.75" hidden="1" thickBot="1" x14ac:dyDescent="0.3">
      <c r="A240" s="142" t="s">
        <v>230</v>
      </c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4"/>
      <c r="AH240" s="141"/>
      <c r="AI240" s="48"/>
      <c r="AJ240" s="49"/>
    </row>
    <row r="241" spans="1:51" ht="15.75" hidden="1" thickBot="1" x14ac:dyDescent="0.3">
      <c r="A241" s="145" t="s">
        <v>231</v>
      </c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46"/>
      <c r="AC241" s="146"/>
      <c r="AD241" s="146"/>
      <c r="AE241" s="146"/>
      <c r="AF241" s="146"/>
      <c r="AG241" s="147"/>
      <c r="AH241" s="141"/>
      <c r="AI241" s="48"/>
      <c r="AJ241" s="49"/>
    </row>
    <row r="242" spans="1:51" ht="19.5" thickBot="1" x14ac:dyDescent="0.35">
      <c r="A242" s="234" t="s">
        <v>271</v>
      </c>
      <c r="B242" s="235"/>
      <c r="C242" s="236" t="e">
        <f>C50+C68</f>
        <v>#REF!</v>
      </c>
      <c r="D242" s="236" t="e">
        <f t="shared" ref="D242:AG242" si="24">D50+D68</f>
        <v>#REF!</v>
      </c>
      <c r="E242" s="236" t="e">
        <f t="shared" si="24"/>
        <v>#REF!</v>
      </c>
      <c r="F242" s="236" t="e">
        <f t="shared" si="24"/>
        <v>#REF!</v>
      </c>
      <c r="G242" s="236" t="e">
        <f t="shared" si="24"/>
        <v>#REF!</v>
      </c>
      <c r="H242" s="236" t="e">
        <f t="shared" si="24"/>
        <v>#REF!</v>
      </c>
      <c r="I242" s="236" t="e">
        <f t="shared" si="24"/>
        <v>#REF!</v>
      </c>
      <c r="J242" s="236" t="e">
        <f t="shared" si="24"/>
        <v>#REF!</v>
      </c>
      <c r="K242" s="236" t="e">
        <f t="shared" si="24"/>
        <v>#REF!</v>
      </c>
      <c r="L242" s="236" t="e">
        <f t="shared" si="24"/>
        <v>#REF!</v>
      </c>
      <c r="M242" s="236" t="e">
        <f t="shared" si="24"/>
        <v>#REF!</v>
      </c>
      <c r="N242" s="236" t="e">
        <f t="shared" si="24"/>
        <v>#REF!</v>
      </c>
      <c r="O242" s="236" t="e">
        <f t="shared" si="24"/>
        <v>#REF!</v>
      </c>
      <c r="P242" s="236" t="e">
        <f t="shared" si="24"/>
        <v>#REF!</v>
      </c>
      <c r="Q242" s="236" t="e">
        <f t="shared" si="24"/>
        <v>#REF!</v>
      </c>
      <c r="R242" s="236" t="e">
        <f t="shared" si="24"/>
        <v>#REF!</v>
      </c>
      <c r="S242" s="236" t="e">
        <f t="shared" si="24"/>
        <v>#REF!</v>
      </c>
      <c r="T242" s="236" t="e">
        <f t="shared" si="24"/>
        <v>#REF!</v>
      </c>
      <c r="U242" s="236">
        <f t="shared" si="24"/>
        <v>135.84</v>
      </c>
      <c r="V242" s="236">
        <f t="shared" si="24"/>
        <v>136.84</v>
      </c>
      <c r="W242" s="236">
        <f t="shared" si="24"/>
        <v>127.84</v>
      </c>
      <c r="X242" s="236">
        <f t="shared" si="24"/>
        <v>108.84</v>
      </c>
      <c r="Y242" s="236">
        <f t="shared" si="24"/>
        <v>61.339999999999996</v>
      </c>
      <c r="Z242" s="236">
        <f t="shared" si="24"/>
        <v>62.339999999999996</v>
      </c>
      <c r="AA242" s="236">
        <f t="shared" si="24"/>
        <v>63.339999999999996</v>
      </c>
      <c r="AB242" s="236">
        <f t="shared" si="24"/>
        <v>44.339999999999996</v>
      </c>
      <c r="AC242" s="236">
        <f t="shared" si="24"/>
        <v>48.54</v>
      </c>
      <c r="AD242" s="236">
        <f t="shared" si="24"/>
        <v>59.14</v>
      </c>
      <c r="AE242" s="236">
        <f t="shared" si="24"/>
        <v>67.240000000000009</v>
      </c>
      <c r="AF242" s="236">
        <f t="shared" si="24"/>
        <v>76.240000000000023</v>
      </c>
      <c r="AG242" s="236">
        <f t="shared" si="24"/>
        <v>101.14</v>
      </c>
      <c r="AH242" s="236" t="e">
        <f>SUM(C242:AG242)</f>
        <v>#REF!</v>
      </c>
      <c r="AI242" s="43"/>
      <c r="AL242" s="48" t="e">
        <f>AH242</f>
        <v>#REF!</v>
      </c>
      <c r="AM242" s="48">
        <f>AK55</f>
        <v>855</v>
      </c>
      <c r="AN242" s="48">
        <f>AK57</f>
        <v>480</v>
      </c>
      <c r="AO242" s="48" t="e">
        <f>AL242+AM242+AN242</f>
        <v>#REF!</v>
      </c>
    </row>
    <row r="243" spans="1:51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 t="s">
        <v>272</v>
      </c>
      <c r="AH243" s="49" t="e">
        <f>AH242/24</f>
        <v>#REF!</v>
      </c>
      <c r="AI243" s="43"/>
    </row>
    <row r="244" spans="1:51" x14ac:dyDescent="0.25">
      <c r="A244" s="148" t="s">
        <v>232</v>
      </c>
      <c r="B244" s="149" t="e">
        <f>MAX(G91:N91)</f>
        <v>#REF!</v>
      </c>
      <c r="C244" s="149" t="e">
        <f>MAX(H91:O91)</f>
        <v>#REF!</v>
      </c>
      <c r="D244" s="150" t="e">
        <f>INDEX(H9:O9,1,MATCH(MAX(H91:O91),H91:O91,0))</f>
        <v>#REF!</v>
      </c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 t="s">
        <v>273</v>
      </c>
      <c r="AH244" s="55" t="e">
        <f>AH242*4.67*1.6*1000</f>
        <v>#REF!</v>
      </c>
      <c r="AI244" s="55"/>
    </row>
    <row r="245" spans="1:51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151" t="str">
        <f ca="1">MID(CELL("filename",D7),FIND("]",CELL("filename",D7))+1,600)</f>
        <v>SP29</v>
      </c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</row>
    <row r="246" spans="1:51" x14ac:dyDescent="0.25">
      <c r="A246" s="175" t="s">
        <v>233</v>
      </c>
      <c r="B246" s="175"/>
      <c r="C246" s="175"/>
      <c r="D246" s="43"/>
      <c r="E246" s="151" t="e">
        <f ca="1">"Pie Chart of Daily Peak Demand(Inclusive of Export) of Nepal ("&amp;A4&amp;" "&amp;C4&amp;")"</f>
        <v>#VALUE!</v>
      </c>
      <c r="F246" s="43"/>
      <c r="G246" s="43"/>
      <c r="H246" s="151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151" t="e">
        <f ca="1">"Daily Load Curve(Excluding of Export) of Nepal ("&amp;A4&amp;" "&amp;C4&amp;")"</f>
        <v>#VALUE!</v>
      </c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</row>
    <row r="247" spans="1:51" ht="12.75" customHeight="1" thickBot="1" x14ac:dyDescent="0.3">
      <c r="A247" s="152" t="s">
        <v>7</v>
      </c>
      <c r="B247" s="153"/>
      <c r="C247" s="153"/>
      <c r="D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</row>
    <row r="248" spans="1:51" ht="15.75" thickTop="1" x14ac:dyDescent="0.25">
      <c r="A248" s="152" t="s">
        <v>234</v>
      </c>
      <c r="B248" s="153"/>
      <c r="C248" s="15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154" t="s">
        <v>235</v>
      </c>
      <c r="U248" s="155">
        <v>0</v>
      </c>
      <c r="V248" s="156">
        <v>4.1666666666666664E-2</v>
      </c>
      <c r="W248" s="157">
        <v>8.3333333333333301E-2</v>
      </c>
      <c r="X248" s="157">
        <v>0.125</v>
      </c>
      <c r="Y248" s="157">
        <v>0.16666666666666699</v>
      </c>
      <c r="Z248" s="157">
        <v>0.20833333333333301</v>
      </c>
      <c r="AA248" s="157">
        <v>0.22916666666666666</v>
      </c>
      <c r="AB248" s="157">
        <v>0.25</v>
      </c>
      <c r="AC248" s="157">
        <v>0.27083333333333331</v>
      </c>
      <c r="AD248" s="157">
        <v>0.29166666666666669</v>
      </c>
      <c r="AE248" s="157">
        <v>0.3125</v>
      </c>
      <c r="AF248" s="158">
        <v>0.33333333333333331</v>
      </c>
      <c r="AG248" s="158">
        <v>0.375</v>
      </c>
      <c r="AH248" s="158">
        <v>0.41666666666666702</v>
      </c>
      <c r="AI248" s="158">
        <v>0.45833333333333298</v>
      </c>
      <c r="AJ248" s="158">
        <v>0.5</v>
      </c>
      <c r="AK248" s="158">
        <v>0.54166666666666696</v>
      </c>
      <c r="AL248" s="158">
        <v>0.58333333333333304</v>
      </c>
      <c r="AM248" s="158">
        <v>0.625</v>
      </c>
      <c r="AN248" s="158">
        <v>0.66666666666666696</v>
      </c>
      <c r="AO248" s="158">
        <v>0.70833333333333304</v>
      </c>
      <c r="AP248" s="158">
        <v>0.72916666666666663</v>
      </c>
      <c r="AQ248" s="158">
        <v>0.75</v>
      </c>
      <c r="AR248" s="158">
        <v>0.77083333333333337</v>
      </c>
      <c r="AS248" s="158">
        <v>0.79166666666666663</v>
      </c>
      <c r="AT248" s="158">
        <v>0.8125</v>
      </c>
      <c r="AU248" s="157">
        <v>0.83333333333333337</v>
      </c>
      <c r="AV248" s="157">
        <v>0.85416666666666663</v>
      </c>
      <c r="AW248" s="157">
        <v>0.875</v>
      </c>
      <c r="AX248" s="157">
        <v>0.91666666666666696</v>
      </c>
      <c r="AY248" s="157">
        <v>0.95833333333333304</v>
      </c>
    </row>
    <row r="249" spans="1:51" x14ac:dyDescent="0.25">
      <c r="A249" s="152" t="s">
        <v>236</v>
      </c>
      <c r="B249" s="153"/>
      <c r="C249" s="15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 t="s">
        <v>237</v>
      </c>
      <c r="U249" s="159" t="e">
        <f t="shared" ref="U249:AY249" si="25">C91</f>
        <v>#REF!</v>
      </c>
      <c r="V249" s="159" t="e">
        <f t="shared" si="25"/>
        <v>#REF!</v>
      </c>
      <c r="W249" s="159" t="e">
        <f t="shared" si="25"/>
        <v>#REF!</v>
      </c>
      <c r="X249" s="159" t="e">
        <f t="shared" si="25"/>
        <v>#REF!</v>
      </c>
      <c r="Y249" s="159" t="e">
        <f t="shared" si="25"/>
        <v>#REF!</v>
      </c>
      <c r="Z249" s="159" t="e">
        <f t="shared" si="25"/>
        <v>#REF!</v>
      </c>
      <c r="AA249" s="159" t="e">
        <f t="shared" si="25"/>
        <v>#REF!</v>
      </c>
      <c r="AB249" s="159" t="e">
        <f t="shared" si="25"/>
        <v>#REF!</v>
      </c>
      <c r="AC249" s="159" t="e">
        <f t="shared" si="25"/>
        <v>#REF!</v>
      </c>
      <c r="AD249" s="159">
        <f t="shared" si="25"/>
        <v>0</v>
      </c>
      <c r="AE249" s="159">
        <f t="shared" si="25"/>
        <v>0</v>
      </c>
      <c r="AF249" s="159">
        <f t="shared" si="25"/>
        <v>0</v>
      </c>
      <c r="AG249" s="159">
        <f t="shared" si="25"/>
        <v>0</v>
      </c>
      <c r="AH249" s="159">
        <f t="shared" si="25"/>
        <v>0</v>
      </c>
      <c r="AI249" s="159">
        <f t="shared" si="25"/>
        <v>0</v>
      </c>
      <c r="AJ249" s="159">
        <f t="shared" si="25"/>
        <v>0</v>
      </c>
      <c r="AK249" s="159">
        <f t="shared" si="25"/>
        <v>0</v>
      </c>
      <c r="AL249" s="159">
        <f t="shared" si="25"/>
        <v>0</v>
      </c>
      <c r="AM249" s="159">
        <f t="shared" si="25"/>
        <v>0</v>
      </c>
      <c r="AN249" s="159">
        <f t="shared" si="25"/>
        <v>0</v>
      </c>
      <c r="AO249" s="159">
        <f t="shared" si="25"/>
        <v>0</v>
      </c>
      <c r="AP249" s="159">
        <f t="shared" si="25"/>
        <v>0</v>
      </c>
      <c r="AQ249" s="159">
        <f t="shared" si="25"/>
        <v>0</v>
      </c>
      <c r="AR249" s="159">
        <f t="shared" si="25"/>
        <v>0</v>
      </c>
      <c r="AS249" s="159">
        <f t="shared" si="25"/>
        <v>0</v>
      </c>
      <c r="AT249" s="159">
        <f t="shared" si="25"/>
        <v>0</v>
      </c>
      <c r="AU249" s="159">
        <f t="shared" si="25"/>
        <v>0</v>
      </c>
      <c r="AV249" s="159">
        <f t="shared" si="25"/>
        <v>0</v>
      </c>
      <c r="AW249" s="159">
        <f t="shared" si="25"/>
        <v>0</v>
      </c>
      <c r="AX249" s="159">
        <f t="shared" si="25"/>
        <v>0</v>
      </c>
      <c r="AY249" s="159">
        <f t="shared" si="25"/>
        <v>0</v>
      </c>
    </row>
    <row r="250" spans="1:51" x14ac:dyDescent="0.25">
      <c r="A250" s="152" t="s">
        <v>238</v>
      </c>
      <c r="B250" s="153"/>
      <c r="C250" s="15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</row>
    <row r="251" spans="1:51" x14ac:dyDescent="0.25">
      <c r="A251" s="152" t="s">
        <v>239</v>
      </c>
      <c r="B251" s="153"/>
      <c r="C251" s="15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</row>
    <row r="252" spans="1:51" x14ac:dyDescent="0.25">
      <c r="A252" s="152" t="s">
        <v>240</v>
      </c>
      <c r="B252" s="153"/>
      <c r="C252" s="15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</row>
    <row r="253" spans="1:51" x14ac:dyDescent="0.25">
      <c r="A253" s="152" t="s">
        <v>241</v>
      </c>
      <c r="B253" s="160"/>
      <c r="C253" s="160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</row>
    <row r="254" spans="1:51" x14ac:dyDescent="0.25">
      <c r="A254" s="152" t="s">
        <v>242</v>
      </c>
      <c r="B254" s="153"/>
      <c r="C254" s="15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</row>
    <row r="255" spans="1:51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</row>
    <row r="256" spans="1:51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</row>
    <row r="257" spans="1:35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</row>
    <row r="258" spans="1:35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</row>
    <row r="259" spans="1:35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</row>
    <row r="260" spans="1:35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</row>
    <row r="261" spans="1:35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</row>
    <row r="262" spans="1:35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</row>
    <row r="263" spans="1:35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</row>
    <row r="264" spans="1:35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</row>
    <row r="265" spans="1:35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</row>
    <row r="266" spans="1:35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</row>
    <row r="267" spans="1:35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</row>
    <row r="268" spans="1:35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</row>
    <row r="269" spans="1:35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</row>
    <row r="270" spans="1:35" x14ac:dyDescent="0.25">
      <c r="A270" s="161" t="s">
        <v>227</v>
      </c>
      <c r="B270" s="162">
        <f t="shared" ref="B270:AF270" si="26">C234</f>
        <v>0</v>
      </c>
      <c r="C270" s="162">
        <f t="shared" si="26"/>
        <v>0.66</v>
      </c>
      <c r="D270" s="162">
        <f t="shared" si="26"/>
        <v>0</v>
      </c>
      <c r="E270" s="162">
        <f t="shared" si="26"/>
        <v>0</v>
      </c>
      <c r="F270" s="162">
        <f t="shared" si="26"/>
        <v>0</v>
      </c>
      <c r="G270" s="162">
        <f t="shared" si="26"/>
        <v>0</v>
      </c>
      <c r="H270" s="162">
        <f t="shared" si="26"/>
        <v>0</v>
      </c>
      <c r="I270" s="162">
        <f t="shared" si="26"/>
        <v>0</v>
      </c>
      <c r="J270" s="162">
        <f t="shared" si="26"/>
        <v>0</v>
      </c>
      <c r="K270" s="162">
        <f t="shared" si="26"/>
        <v>0</v>
      </c>
      <c r="L270" s="162">
        <f t="shared" si="26"/>
        <v>0</v>
      </c>
      <c r="M270" s="162">
        <f t="shared" si="26"/>
        <v>0</v>
      </c>
      <c r="N270" s="162">
        <f t="shared" si="26"/>
        <v>0</v>
      </c>
      <c r="O270" s="162">
        <f t="shared" si="26"/>
        <v>0</v>
      </c>
      <c r="P270" s="162">
        <f t="shared" si="26"/>
        <v>0</v>
      </c>
      <c r="Q270" s="162">
        <f t="shared" si="26"/>
        <v>0</v>
      </c>
      <c r="R270" s="162">
        <f t="shared" si="26"/>
        <v>0</v>
      </c>
      <c r="S270" s="162">
        <f t="shared" si="26"/>
        <v>0</v>
      </c>
      <c r="T270" s="162">
        <f t="shared" si="26"/>
        <v>0</v>
      </c>
      <c r="U270" s="162">
        <f t="shared" si="26"/>
        <v>0</v>
      </c>
      <c r="V270" s="162">
        <f t="shared" si="26"/>
        <v>0</v>
      </c>
      <c r="W270" s="162">
        <f t="shared" si="26"/>
        <v>0</v>
      </c>
      <c r="X270" s="162">
        <f t="shared" si="26"/>
        <v>0</v>
      </c>
      <c r="Y270" s="162">
        <f t="shared" si="26"/>
        <v>0</v>
      </c>
      <c r="Z270" s="162">
        <f t="shared" si="26"/>
        <v>0</v>
      </c>
      <c r="AA270" s="162">
        <f t="shared" si="26"/>
        <v>0</v>
      </c>
      <c r="AB270" s="162">
        <f t="shared" si="26"/>
        <v>0</v>
      </c>
      <c r="AC270" s="162">
        <f t="shared" si="26"/>
        <v>0</v>
      </c>
      <c r="AD270" s="162">
        <f t="shared" si="26"/>
        <v>0</v>
      </c>
      <c r="AE270" s="162">
        <f t="shared" si="26"/>
        <v>0</v>
      </c>
      <c r="AF270" s="162">
        <f t="shared" si="26"/>
        <v>0</v>
      </c>
      <c r="AG270" s="162">
        <f>C234</f>
        <v>0</v>
      </c>
      <c r="AH270" s="43"/>
      <c r="AI270" s="43"/>
    </row>
    <row r="271" spans="1:35" x14ac:dyDescent="0.25">
      <c r="A271" s="163" t="str">
        <f>A238</f>
        <v>KGA</v>
      </c>
      <c r="B271" s="163" t="str">
        <f t="shared" ref="B271:AG271" si="27">IF(B238&lt;100,"",B238-520)</f>
        <v/>
      </c>
      <c r="C271" s="163" t="str">
        <f t="shared" si="27"/>
        <v/>
      </c>
      <c r="D271" s="163" t="str">
        <f t="shared" si="27"/>
        <v/>
      </c>
      <c r="E271" s="163" t="str">
        <f t="shared" si="27"/>
        <v/>
      </c>
      <c r="F271" s="163" t="str">
        <f t="shared" si="27"/>
        <v/>
      </c>
      <c r="G271" s="163" t="str">
        <f t="shared" si="27"/>
        <v/>
      </c>
      <c r="H271" s="163" t="str">
        <f t="shared" si="27"/>
        <v/>
      </c>
      <c r="I271" s="163" t="str">
        <f t="shared" si="27"/>
        <v/>
      </c>
      <c r="J271" s="163" t="str">
        <f t="shared" si="27"/>
        <v/>
      </c>
      <c r="K271" s="163" t="str">
        <f t="shared" si="27"/>
        <v/>
      </c>
      <c r="L271" s="163" t="str">
        <f t="shared" si="27"/>
        <v/>
      </c>
      <c r="M271" s="163" t="str">
        <f t="shared" si="27"/>
        <v/>
      </c>
      <c r="N271" s="163" t="str">
        <f t="shared" si="27"/>
        <v/>
      </c>
      <c r="O271" s="163" t="str">
        <f t="shared" si="27"/>
        <v/>
      </c>
      <c r="P271" s="163" t="str">
        <f t="shared" si="27"/>
        <v/>
      </c>
      <c r="Q271" s="163" t="str">
        <f t="shared" si="27"/>
        <v/>
      </c>
      <c r="R271" s="163" t="str">
        <f t="shared" si="27"/>
        <v/>
      </c>
      <c r="S271" s="163" t="str">
        <f t="shared" si="27"/>
        <v/>
      </c>
      <c r="T271" s="163" t="str">
        <f t="shared" si="27"/>
        <v/>
      </c>
      <c r="U271" s="163" t="str">
        <f t="shared" si="27"/>
        <v/>
      </c>
      <c r="V271" s="163" t="str">
        <f t="shared" si="27"/>
        <v/>
      </c>
      <c r="W271" s="163" t="str">
        <f t="shared" si="27"/>
        <v/>
      </c>
      <c r="X271" s="163" t="str">
        <f t="shared" si="27"/>
        <v/>
      </c>
      <c r="Y271" s="163" t="str">
        <f t="shared" si="27"/>
        <v/>
      </c>
      <c r="Z271" s="163" t="str">
        <f t="shared" si="27"/>
        <v/>
      </c>
      <c r="AA271" s="163" t="str">
        <f t="shared" si="27"/>
        <v/>
      </c>
      <c r="AB271" s="163" t="str">
        <f t="shared" si="27"/>
        <v/>
      </c>
      <c r="AC271" s="163" t="str">
        <f t="shared" si="27"/>
        <v/>
      </c>
      <c r="AD271" s="163" t="str">
        <f t="shared" si="27"/>
        <v/>
      </c>
      <c r="AE271" s="163" t="str">
        <f t="shared" si="27"/>
        <v/>
      </c>
      <c r="AF271" s="163" t="str">
        <f t="shared" si="27"/>
        <v/>
      </c>
      <c r="AG271" s="163" t="str">
        <f t="shared" si="27"/>
        <v/>
      </c>
      <c r="AH271" s="43"/>
      <c r="AI271" s="43"/>
    </row>
    <row r="272" spans="1:35" x14ac:dyDescent="0.25">
      <c r="A272" s="163" t="str">
        <f>A239</f>
        <v>MMRS</v>
      </c>
      <c r="B272" s="163" t="str">
        <f t="shared" ref="B272:AG272" si="28">IF(B239&lt;100,"",B239-620)</f>
        <v/>
      </c>
      <c r="C272" s="163" t="str">
        <f t="shared" si="28"/>
        <v/>
      </c>
      <c r="D272" s="163" t="str">
        <f t="shared" si="28"/>
        <v/>
      </c>
      <c r="E272" s="163" t="str">
        <f t="shared" si="28"/>
        <v/>
      </c>
      <c r="F272" s="163" t="str">
        <f t="shared" si="28"/>
        <v/>
      </c>
      <c r="G272" s="163" t="str">
        <f t="shared" si="28"/>
        <v/>
      </c>
      <c r="H272" s="163" t="str">
        <f t="shared" si="28"/>
        <v/>
      </c>
      <c r="I272" s="163" t="str">
        <f t="shared" si="28"/>
        <v/>
      </c>
      <c r="J272" s="163" t="str">
        <f t="shared" si="28"/>
        <v/>
      </c>
      <c r="K272" s="163" t="str">
        <f t="shared" si="28"/>
        <v/>
      </c>
      <c r="L272" s="163" t="str">
        <f t="shared" si="28"/>
        <v/>
      </c>
      <c r="M272" s="163" t="str">
        <f t="shared" si="28"/>
        <v/>
      </c>
      <c r="N272" s="163" t="str">
        <f t="shared" si="28"/>
        <v/>
      </c>
      <c r="O272" s="163" t="str">
        <f t="shared" si="28"/>
        <v/>
      </c>
      <c r="P272" s="163" t="str">
        <f t="shared" si="28"/>
        <v/>
      </c>
      <c r="Q272" s="163" t="str">
        <f t="shared" si="28"/>
        <v/>
      </c>
      <c r="R272" s="163" t="str">
        <f t="shared" si="28"/>
        <v/>
      </c>
      <c r="S272" s="163" t="str">
        <f t="shared" si="28"/>
        <v/>
      </c>
      <c r="T272" s="163" t="str">
        <f t="shared" si="28"/>
        <v/>
      </c>
      <c r="U272" s="163" t="str">
        <f t="shared" si="28"/>
        <v/>
      </c>
      <c r="V272" s="163" t="str">
        <f t="shared" si="28"/>
        <v/>
      </c>
      <c r="W272" s="163" t="str">
        <f t="shared" si="28"/>
        <v/>
      </c>
      <c r="X272" s="163" t="str">
        <f t="shared" si="28"/>
        <v/>
      </c>
      <c r="Y272" s="163" t="str">
        <f t="shared" si="28"/>
        <v/>
      </c>
      <c r="Z272" s="163" t="str">
        <f t="shared" si="28"/>
        <v/>
      </c>
      <c r="AA272" s="163" t="str">
        <f t="shared" si="28"/>
        <v/>
      </c>
      <c r="AB272" s="163" t="str">
        <f t="shared" si="28"/>
        <v/>
      </c>
      <c r="AC272" s="163" t="str">
        <f t="shared" si="28"/>
        <v/>
      </c>
      <c r="AD272" s="163" t="str">
        <f t="shared" si="28"/>
        <v/>
      </c>
      <c r="AE272" s="163" t="str">
        <f t="shared" si="28"/>
        <v/>
      </c>
      <c r="AF272" s="163" t="str">
        <f t="shared" si="28"/>
        <v/>
      </c>
      <c r="AG272" s="163" t="str">
        <f t="shared" si="28"/>
        <v/>
      </c>
      <c r="AH272" s="43"/>
      <c r="AI272" s="43"/>
    </row>
    <row r="273" spans="1:35" x14ac:dyDescent="0.25">
      <c r="A273" s="163" t="str">
        <f>A240</f>
        <v>MRS</v>
      </c>
      <c r="B273" s="163" t="str">
        <f t="shared" ref="B273:AG273" si="29">IF(B240&lt;100,"",B240-330)</f>
        <v/>
      </c>
      <c r="C273" s="163" t="str">
        <f t="shared" si="29"/>
        <v/>
      </c>
      <c r="D273" s="163" t="str">
        <f t="shared" si="29"/>
        <v/>
      </c>
      <c r="E273" s="163" t="str">
        <f t="shared" si="29"/>
        <v/>
      </c>
      <c r="F273" s="163" t="str">
        <f t="shared" si="29"/>
        <v/>
      </c>
      <c r="G273" s="163" t="str">
        <f t="shared" si="29"/>
        <v/>
      </c>
      <c r="H273" s="163" t="str">
        <f t="shared" si="29"/>
        <v/>
      </c>
      <c r="I273" s="163" t="str">
        <f t="shared" si="29"/>
        <v/>
      </c>
      <c r="J273" s="163" t="str">
        <f t="shared" si="29"/>
        <v/>
      </c>
      <c r="K273" s="163" t="str">
        <f t="shared" si="29"/>
        <v/>
      </c>
      <c r="L273" s="163" t="str">
        <f t="shared" si="29"/>
        <v/>
      </c>
      <c r="M273" s="163" t="str">
        <f t="shared" si="29"/>
        <v/>
      </c>
      <c r="N273" s="163" t="str">
        <f t="shared" si="29"/>
        <v/>
      </c>
      <c r="O273" s="163" t="str">
        <f t="shared" si="29"/>
        <v/>
      </c>
      <c r="P273" s="163" t="str">
        <f t="shared" si="29"/>
        <v/>
      </c>
      <c r="Q273" s="163" t="str">
        <f t="shared" si="29"/>
        <v/>
      </c>
      <c r="R273" s="163" t="str">
        <f t="shared" si="29"/>
        <v/>
      </c>
      <c r="S273" s="163" t="str">
        <f t="shared" si="29"/>
        <v/>
      </c>
      <c r="T273" s="163" t="str">
        <f t="shared" si="29"/>
        <v/>
      </c>
      <c r="U273" s="163" t="str">
        <f t="shared" si="29"/>
        <v/>
      </c>
      <c r="V273" s="163" t="str">
        <f t="shared" si="29"/>
        <v/>
      </c>
      <c r="W273" s="163" t="str">
        <f t="shared" si="29"/>
        <v/>
      </c>
      <c r="X273" s="163" t="str">
        <f t="shared" si="29"/>
        <v/>
      </c>
      <c r="Y273" s="163" t="str">
        <f t="shared" si="29"/>
        <v/>
      </c>
      <c r="Z273" s="163" t="str">
        <f t="shared" si="29"/>
        <v/>
      </c>
      <c r="AA273" s="163" t="str">
        <f t="shared" si="29"/>
        <v/>
      </c>
      <c r="AB273" s="163" t="str">
        <f t="shared" si="29"/>
        <v/>
      </c>
      <c r="AC273" s="163" t="str">
        <f t="shared" si="29"/>
        <v/>
      </c>
      <c r="AD273" s="163" t="str">
        <f t="shared" si="29"/>
        <v/>
      </c>
      <c r="AE273" s="163" t="str">
        <f t="shared" si="29"/>
        <v/>
      </c>
      <c r="AF273" s="163" t="str">
        <f t="shared" si="29"/>
        <v/>
      </c>
      <c r="AG273" s="163" t="str">
        <f t="shared" si="29"/>
        <v/>
      </c>
      <c r="AH273" s="43"/>
      <c r="AI273" s="43"/>
    </row>
    <row r="274" spans="1:35" x14ac:dyDescent="0.25">
      <c r="A274" s="163" t="str">
        <f>A241</f>
        <v>KL 1</v>
      </c>
      <c r="B274" s="163" t="str">
        <f t="shared" ref="B274:AG274" si="30">IF(B241&lt;100,"",B241-1500)</f>
        <v/>
      </c>
      <c r="C274" s="163" t="str">
        <f t="shared" si="30"/>
        <v/>
      </c>
      <c r="D274" s="163" t="str">
        <f t="shared" si="30"/>
        <v/>
      </c>
      <c r="E274" s="163" t="str">
        <f t="shared" si="30"/>
        <v/>
      </c>
      <c r="F274" s="163" t="str">
        <f t="shared" si="30"/>
        <v/>
      </c>
      <c r="G274" s="163" t="str">
        <f t="shared" si="30"/>
        <v/>
      </c>
      <c r="H274" s="163" t="str">
        <f t="shared" si="30"/>
        <v/>
      </c>
      <c r="I274" s="163" t="str">
        <f t="shared" si="30"/>
        <v/>
      </c>
      <c r="J274" s="163" t="str">
        <f t="shared" si="30"/>
        <v/>
      </c>
      <c r="K274" s="163" t="str">
        <f t="shared" si="30"/>
        <v/>
      </c>
      <c r="L274" s="163" t="str">
        <f t="shared" si="30"/>
        <v/>
      </c>
      <c r="M274" s="163" t="str">
        <f t="shared" si="30"/>
        <v/>
      </c>
      <c r="N274" s="163" t="str">
        <f t="shared" si="30"/>
        <v/>
      </c>
      <c r="O274" s="163" t="str">
        <f t="shared" si="30"/>
        <v/>
      </c>
      <c r="P274" s="163" t="str">
        <f t="shared" si="30"/>
        <v/>
      </c>
      <c r="Q274" s="163" t="str">
        <f t="shared" si="30"/>
        <v/>
      </c>
      <c r="R274" s="163" t="str">
        <f t="shared" si="30"/>
        <v/>
      </c>
      <c r="S274" s="163" t="str">
        <f t="shared" si="30"/>
        <v/>
      </c>
      <c r="T274" s="163" t="str">
        <f t="shared" si="30"/>
        <v/>
      </c>
      <c r="U274" s="163" t="str">
        <f t="shared" si="30"/>
        <v/>
      </c>
      <c r="V274" s="163" t="str">
        <f t="shared" si="30"/>
        <v/>
      </c>
      <c r="W274" s="163" t="str">
        <f t="shared" si="30"/>
        <v/>
      </c>
      <c r="X274" s="163" t="str">
        <f t="shared" si="30"/>
        <v/>
      </c>
      <c r="Y274" s="163" t="str">
        <f t="shared" si="30"/>
        <v/>
      </c>
      <c r="Z274" s="163" t="str">
        <f t="shared" si="30"/>
        <v/>
      </c>
      <c r="AA274" s="163" t="str">
        <f t="shared" si="30"/>
        <v/>
      </c>
      <c r="AB274" s="163" t="str">
        <f t="shared" si="30"/>
        <v/>
      </c>
      <c r="AC274" s="163" t="str">
        <f t="shared" si="30"/>
        <v/>
      </c>
      <c r="AD274" s="163" t="str">
        <f t="shared" si="30"/>
        <v/>
      </c>
      <c r="AE274" s="163" t="str">
        <f t="shared" si="30"/>
        <v/>
      </c>
      <c r="AF274" s="163" t="str">
        <f t="shared" si="30"/>
        <v/>
      </c>
      <c r="AG274" s="163" t="str">
        <f t="shared" si="30"/>
        <v/>
      </c>
      <c r="AH274" s="43"/>
      <c r="AI274" s="43"/>
    </row>
    <row r="275" spans="1:35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</row>
    <row r="276" spans="1:35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</row>
    <row r="277" spans="1:35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</row>
    <row r="278" spans="1:35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</row>
    <row r="279" spans="1:35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</row>
    <row r="280" spans="1:35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</row>
    <row r="281" spans="1:35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</row>
  </sheetData>
  <mergeCells count="53">
    <mergeCell ref="A246:C246"/>
    <mergeCell ref="AF9:AF10"/>
    <mergeCell ref="AG9:AG10"/>
    <mergeCell ref="AH9:AH10"/>
    <mergeCell ref="AK48:AM48"/>
    <mergeCell ref="AO72:AP72"/>
    <mergeCell ref="AO84:AO85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R9:R10"/>
    <mergeCell ref="S9:S10"/>
    <mergeCell ref="T8:AB8"/>
    <mergeCell ref="AC8:AG8"/>
    <mergeCell ref="A9:A10"/>
    <mergeCell ref="C9:C10"/>
    <mergeCell ref="D9:D10"/>
    <mergeCell ref="E9:E10"/>
    <mergeCell ref="F9:F10"/>
    <mergeCell ref="G9:G10"/>
    <mergeCell ref="H9:H10"/>
    <mergeCell ref="I9:I10"/>
    <mergeCell ref="C4:E4"/>
    <mergeCell ref="F4:H4"/>
    <mergeCell ref="I4:J4"/>
    <mergeCell ref="B8:B10"/>
    <mergeCell ref="C8:M8"/>
    <mergeCell ref="N8:S8"/>
    <mergeCell ref="J9:J10"/>
    <mergeCell ref="K9:K10"/>
    <mergeCell ref="L9:L10"/>
    <mergeCell ref="M9:M10"/>
    <mergeCell ref="A1:AG1"/>
    <mergeCell ref="AH1:AJ1"/>
    <mergeCell ref="B2:B3"/>
    <mergeCell ref="C2:C3"/>
    <mergeCell ref="E2:E3"/>
    <mergeCell ref="G2:G3"/>
    <mergeCell ref="I2:I3"/>
    <mergeCell ref="K2:K3"/>
  </mergeCells>
  <conditionalFormatting sqref="A11:A236">
    <cfRule type="expression" dxfId="272" priority="43">
      <formula>$AI11=0</formula>
    </cfRule>
  </conditionalFormatting>
  <conditionalFormatting sqref="B8 B11:B17 B51:B66 B69:B91 B93:B109 B111:B120 B227 B229:B235">
    <cfRule type="expression" dxfId="271" priority="101">
      <formula>AND(B$8&gt;=14/24,B$8&lt;20/24)</formula>
    </cfRule>
    <cfRule type="expression" dxfId="270" priority="102">
      <formula>AND(B$8&gt;=8/24,B$8&lt;14/24)</formula>
    </cfRule>
    <cfRule type="expression" dxfId="269" priority="103">
      <formula>B$8&lt;8/24</formula>
    </cfRule>
  </conditionalFormatting>
  <conditionalFormatting sqref="B11:B17 B51:B66 B69:B91 B8 B93:B109 B111:B120 B227 B229:B235">
    <cfRule type="expression" dxfId="268" priority="100">
      <formula>B$8&gt;=20/24</formula>
    </cfRule>
  </conditionalFormatting>
  <conditionalFormatting sqref="B18:B45">
    <cfRule type="expression" dxfId="267" priority="6">
      <formula>B$9&gt;=20/24</formula>
    </cfRule>
    <cfRule type="expression" dxfId="266" priority="7">
      <formula>AND(B$9&gt;=14/24,B$9&lt;20/24)</formula>
    </cfRule>
    <cfRule type="expression" dxfId="265" priority="8">
      <formula>AND(B$9&gt;=8/24,B$9&lt;14/24)</formula>
    </cfRule>
    <cfRule type="expression" dxfId="264" priority="9">
      <formula>B$9&lt;8/24</formula>
    </cfRule>
  </conditionalFormatting>
  <conditionalFormatting sqref="B18:B46">
    <cfRule type="expression" dxfId="263" priority="5">
      <formula>B18&gt;$AG18</formula>
    </cfRule>
  </conditionalFormatting>
  <conditionalFormatting sqref="B46">
    <cfRule type="expression" dxfId="262" priority="1">
      <formula>B$9&gt;=20/24</formula>
    </cfRule>
    <cfRule type="expression" dxfId="261" priority="2">
      <formula>AND(B$9&gt;=14/24,B$9&lt;20/24)</formula>
    </cfRule>
    <cfRule type="expression" dxfId="260" priority="3">
      <formula>AND(B$9&gt;=8/24,B$9&lt;14/24)</formula>
    </cfRule>
    <cfRule type="expression" dxfId="259" priority="4">
      <formula>B$9&lt;8/24</formula>
    </cfRule>
  </conditionalFormatting>
  <conditionalFormatting sqref="B47">
    <cfRule type="expression" dxfId="258" priority="15">
      <formula>B47&gt;$AG47</formula>
    </cfRule>
  </conditionalFormatting>
  <conditionalFormatting sqref="B47:B49">
    <cfRule type="expression" dxfId="257" priority="11">
      <formula>B$9&gt;=20/24</formula>
    </cfRule>
    <cfRule type="expression" dxfId="256" priority="12">
      <formula>AND(B$9&gt;=14/24,B$9&lt;20/24)</formula>
    </cfRule>
    <cfRule type="expression" dxfId="255" priority="13">
      <formula>AND(B$9&gt;=8/24,B$9&lt;14/24)</formula>
    </cfRule>
    <cfRule type="expression" dxfId="254" priority="14">
      <formula>B$9&lt;8/24</formula>
    </cfRule>
  </conditionalFormatting>
  <conditionalFormatting sqref="B48:B49">
    <cfRule type="expression" dxfId="253" priority="10">
      <formula>B48&gt;$AG48</formula>
    </cfRule>
  </conditionalFormatting>
  <conditionalFormatting sqref="B50:B67 B69:B72 C51:AG67">
    <cfRule type="expression" dxfId="252" priority="20">
      <formula>B50&gt;$AH50</formula>
    </cfRule>
  </conditionalFormatting>
  <conditionalFormatting sqref="B242:AH242">
    <cfRule type="expression" dxfId="251" priority="19">
      <formula>B242&gt;$AH242</formula>
    </cfRule>
  </conditionalFormatting>
  <conditionalFormatting sqref="C8 N8 T8 AC8">
    <cfRule type="expression" dxfId="250" priority="80">
      <formula>AND(D$9&gt;=14/24,D$9&lt;20/24)</formula>
    </cfRule>
    <cfRule type="expression" dxfId="249" priority="81">
      <formula>AND(D$9&gt;=8/24,D$9&lt;14/24)</formula>
    </cfRule>
    <cfRule type="expression" dxfId="248" priority="82">
      <formula>D$9&lt;8/24</formula>
    </cfRule>
  </conditionalFormatting>
  <conditionalFormatting sqref="C69:AG72 C9:AG49 C51:AG66">
    <cfRule type="expression" dxfId="247" priority="35">
      <formula>AND(C$9&gt;=14/24,C$9&lt;20/24)</formula>
    </cfRule>
    <cfRule type="expression" dxfId="246" priority="36">
      <formula>AND(C$9&gt;=8/24,C$9&lt;14/24)</formula>
    </cfRule>
    <cfRule type="expression" dxfId="245" priority="37">
      <formula>C$9&lt;8/24</formula>
    </cfRule>
  </conditionalFormatting>
  <conditionalFormatting sqref="C69:AG72 C9:AG49 C51:AG66">
    <cfRule type="expression" dxfId="244" priority="34">
      <formula>C$9&gt;=20/24</formula>
    </cfRule>
  </conditionalFormatting>
  <conditionalFormatting sqref="C11:AG49 B11:B17 C69:AG72">
    <cfRule type="expression" dxfId="243" priority="33">
      <formula>B11&gt;$AH11</formula>
    </cfRule>
  </conditionalFormatting>
  <conditionalFormatting sqref="C73:AG91">
    <cfRule type="expression" dxfId="242" priority="21">
      <formula>C$9&gt;=20/24</formula>
    </cfRule>
    <cfRule type="expression" dxfId="241" priority="22">
      <formula>AND(C$9&gt;=14/24,C$9&lt;20/24)</formula>
    </cfRule>
    <cfRule type="expression" dxfId="240" priority="23">
      <formula>AND(C$9&gt;=8/24,C$9&lt;14/24)</formula>
    </cfRule>
    <cfRule type="expression" dxfId="239" priority="24">
      <formula>C$9&lt;8/24</formula>
    </cfRule>
  </conditionalFormatting>
  <conditionalFormatting sqref="C111:AG120">
    <cfRule type="expression" dxfId="238" priority="25">
      <formula>C$9&gt;=20/24</formula>
    </cfRule>
    <cfRule type="expression" dxfId="237" priority="26">
      <formula>AND(C$9&gt;=14/24,C$9&lt;20/24)</formula>
    </cfRule>
    <cfRule type="expression" dxfId="236" priority="27">
      <formula>AND(C$9&gt;=8/24,C$9&lt;14/24)</formula>
    </cfRule>
    <cfRule type="expression" dxfId="235" priority="28">
      <formula>C$9&lt;8/24</formula>
    </cfRule>
  </conditionalFormatting>
  <conditionalFormatting sqref="C50:AH50">
    <cfRule type="expression" dxfId="234" priority="17">
      <formula>C50&gt;$AH50</formula>
    </cfRule>
  </conditionalFormatting>
  <conditionalFormatting sqref="P3:Q3">
    <cfRule type="iconSet" priority="77">
      <iconSet iconSet="3TrafficLights2" reverse="1">
        <cfvo type="percent" val="0"/>
        <cfvo type="num" val="1"/>
        <cfvo type="num" val="1"/>
      </iconSet>
    </cfRule>
  </conditionalFormatting>
  <conditionalFormatting sqref="T8 AC8 C8 N8">
    <cfRule type="expression" dxfId="233" priority="79">
      <formula>D$9&gt;=20/24</formula>
    </cfRule>
  </conditionalFormatting>
  <conditionalFormatting sqref="T8">
    <cfRule type="expression" dxfId="232" priority="66">
      <formula>V$9&gt;=20/24</formula>
    </cfRule>
    <cfRule type="expression" dxfId="231" priority="67">
      <formula>AND(V$9&gt;=14/24,V$9&lt;20/24)</formula>
    </cfRule>
    <cfRule type="expression" dxfId="230" priority="68">
      <formula>AND(V$9&gt;=8/24,V$9&lt;14/24)</formula>
    </cfRule>
    <cfRule type="expression" dxfId="229" priority="69">
      <formula>V$9&lt;8/24</formula>
    </cfRule>
  </conditionalFormatting>
  <conditionalFormatting sqref="U248">
    <cfRule type="expression" dxfId="228" priority="91">
      <formula>AY$9&gt;=20/24</formula>
    </cfRule>
    <cfRule type="expression" dxfId="227" priority="92">
      <formula>AND(AY$9&gt;=14/24,AY$9&lt;20/24)</formula>
    </cfRule>
    <cfRule type="expression" dxfId="226" priority="93">
      <formula>AND(AY$9&gt;=8/24,AY$9&lt;14/24)</formula>
    </cfRule>
    <cfRule type="expression" dxfId="225" priority="94">
      <formula>AY$9&lt;8/24</formula>
    </cfRule>
  </conditionalFormatting>
  <conditionalFormatting sqref="V248:AG248">
    <cfRule type="expression" dxfId="224" priority="73">
      <formula>V$9&gt;=20/24</formula>
    </cfRule>
    <cfRule type="expression" dxfId="223" priority="74">
      <formula>AND(V$9&gt;=14/24,V$9&lt;20/24)</formula>
    </cfRule>
    <cfRule type="expression" dxfId="222" priority="75">
      <formula>AND(V$9&gt;=8/24,V$9&lt;14/24)</formula>
    </cfRule>
    <cfRule type="expression" dxfId="221" priority="76">
      <formula>V$9&lt;8/24</formula>
    </cfRule>
  </conditionalFormatting>
  <conditionalFormatting sqref="W3 AC3">
    <cfRule type="iconSet" priority="78">
      <iconSet iconSet="3TrafficLights2" reverse="1">
        <cfvo type="percent" val="0"/>
        <cfvo type="num" val="1"/>
        <cfvo type="num" val="1"/>
      </iconSet>
    </cfRule>
  </conditionalFormatting>
  <conditionalFormatting sqref="AB47:AG47 AB49:AG49">
    <cfRule type="expression" dxfId="220" priority="29">
      <formula>AB$9&gt;=20/24</formula>
    </cfRule>
    <cfRule type="expression" dxfId="219" priority="30">
      <formula>AND(AB$9&gt;=14/24,AB$9&lt;20/24)</formula>
    </cfRule>
    <cfRule type="expression" dxfId="218" priority="31">
      <formula>AND(AB$9&gt;=8/24,AB$9&lt;14/24)</formula>
    </cfRule>
    <cfRule type="expression" dxfId="217" priority="32">
      <formula>AB$9&lt;8/24</formula>
    </cfRule>
  </conditionalFormatting>
  <conditionalFormatting sqref="AC8">
    <cfRule type="expression" dxfId="216" priority="62">
      <formula>AE$9&gt;=20/24</formula>
    </cfRule>
    <cfRule type="expression" dxfId="215" priority="63">
      <formula>AND(AE$9&gt;=14/24,AE$9&lt;20/24)</formula>
    </cfRule>
    <cfRule type="expression" dxfId="214" priority="64">
      <formula>AND(AE$9&gt;=8/24,AE$9&lt;14/24)</formula>
    </cfRule>
    <cfRule type="expression" dxfId="213" priority="65">
      <formula>AE$9&lt;8/24</formula>
    </cfRule>
  </conditionalFormatting>
  <conditionalFormatting sqref="AH54 AH72 C93:AG109 C227:AG227 C229:AG235">
    <cfRule type="expression" dxfId="212" priority="39">
      <formula>C$9&gt;=20/24</formula>
    </cfRule>
    <cfRule type="expression" dxfId="211" priority="40">
      <formula>AND(C$9&gt;=14/24,C$9&lt;20/24)</formula>
    </cfRule>
    <cfRule type="expression" dxfId="210" priority="41">
      <formula>AND(C$9&gt;=8/24,C$9&lt;14/24)</formula>
    </cfRule>
    <cfRule type="expression" dxfId="209" priority="42">
      <formula>C$9&lt;8/24</formula>
    </cfRule>
  </conditionalFormatting>
  <conditionalFormatting sqref="AH54 AH72">
    <cfRule type="expression" dxfId="208" priority="38">
      <formula>AH54&gt;$AH54</formula>
    </cfRule>
  </conditionalFormatting>
  <conditionalFormatting sqref="AH67 B68:AH68">
    <cfRule type="expression" dxfId="207" priority="18">
      <formula>B67&gt;$AH67</formula>
    </cfRule>
  </conditionalFormatting>
  <conditionalFormatting sqref="AH89">
    <cfRule type="expression" dxfId="206" priority="58">
      <formula>AH$9&gt;=20/24</formula>
    </cfRule>
    <cfRule type="expression" dxfId="205" priority="59">
      <formula>AND(AH$9&gt;=14/24,AH$9&lt;20/24)</formula>
    </cfRule>
    <cfRule type="expression" dxfId="204" priority="60">
      <formula>AND(AH$9&gt;=8/24,AH$9&lt;14/24)</formula>
    </cfRule>
    <cfRule type="expression" dxfId="203" priority="61">
      <formula>AH$9&lt;8/24</formula>
    </cfRule>
  </conditionalFormatting>
  <conditionalFormatting sqref="AH248">
    <cfRule type="expression" dxfId="202" priority="83">
      <formula>C$9&gt;=20/24</formula>
    </cfRule>
    <cfRule type="expression" dxfId="201" priority="84">
      <formula>AND(C$9&gt;=14/24,C$9&lt;20/24)</formula>
    </cfRule>
    <cfRule type="expression" dxfId="200" priority="85">
      <formula>AND(C$9&gt;=8/24,C$9&lt;14/24)</formula>
    </cfRule>
    <cfRule type="expression" dxfId="199" priority="86">
      <formula>C$9&lt;8/24</formula>
    </cfRule>
  </conditionalFormatting>
  <conditionalFormatting sqref="AI248:AY248">
    <cfRule type="expression" dxfId="198" priority="87">
      <formula>AH$9&gt;=20/24</formula>
    </cfRule>
    <cfRule type="expression" dxfId="197" priority="88">
      <formula>AND(AH$9&gt;=14/24,AH$9&lt;20/24)</formula>
    </cfRule>
    <cfRule type="expression" dxfId="196" priority="89">
      <formula>AND(AH$9&gt;=8/24,AH$9&lt;14/24)</formula>
    </cfRule>
    <cfRule type="expression" dxfId="195" priority="90">
      <formula>AH$9&lt;8/24</formula>
    </cfRule>
  </conditionalFormatting>
  <conditionalFormatting sqref="AL50">
    <cfRule type="expression" dxfId="194" priority="16">
      <formula>AL50&gt;$AH50</formula>
    </cfRule>
  </conditionalFormatting>
  <conditionalFormatting sqref="AM4:AM6">
    <cfRule type="iconSet" priority="72">
      <iconSet iconSet="3TrafficLights2" reverse="1">
        <cfvo type="percent" val="0"/>
        <cfvo type="num" val="1"/>
        <cfvo type="num" val="1"/>
      </iconSet>
    </cfRule>
  </conditionalFormatting>
  <conditionalFormatting sqref="AM18">
    <cfRule type="iconSet" priority="46">
      <iconSet iconSet="3TrafficLights2" reverse="1">
        <cfvo type="percent" val="0"/>
        <cfvo type="num" val="1"/>
        <cfvo type="num" val="1"/>
      </iconSet>
    </cfRule>
  </conditionalFormatting>
  <conditionalFormatting sqref="AM23">
    <cfRule type="iconSet" priority="56">
      <iconSet iconSet="3TrafficLights2" reverse="1">
        <cfvo type="percent" val="0"/>
        <cfvo type="num" val="1"/>
        <cfvo type="num" val="1"/>
      </iconSet>
    </cfRule>
  </conditionalFormatting>
  <conditionalFormatting sqref="AM35">
    <cfRule type="iconSet" priority="45">
      <iconSet iconSet="3TrafficLights2" reverse="1">
        <cfvo type="percent" val="0"/>
        <cfvo type="num" val="1"/>
        <cfvo type="num" val="1"/>
      </iconSet>
    </cfRule>
  </conditionalFormatting>
  <conditionalFormatting sqref="AM39">
    <cfRule type="iconSet" priority="55">
      <iconSet iconSet="3TrafficLights2" reverse="1">
        <cfvo type="percent" val="0"/>
        <cfvo type="num" val="1"/>
        <cfvo type="num" val="1"/>
      </iconSet>
    </cfRule>
  </conditionalFormatting>
  <conditionalFormatting sqref="AM42">
    <cfRule type="iconSet" priority="57">
      <iconSet iconSet="3TrafficLights2" reverse="1">
        <cfvo type="percent" val="0"/>
        <cfvo type="num" val="1"/>
        <cfvo type="num" val="1"/>
      </iconSet>
    </cfRule>
  </conditionalFormatting>
  <conditionalFormatting sqref="AM44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M45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M46">
    <cfRule type="iconSet" priority="44">
      <iconSet iconSet="3TrafficLights2" reverse="1">
        <cfvo type="percent" val="0"/>
        <cfvo type="num" val="1"/>
        <cfvo type="num" val="1"/>
      </iconSet>
    </cfRule>
  </conditionalFormatting>
  <conditionalFormatting sqref="AM47 AM43 AM24:AM34 AM40:AM41 AM19:AM22 AM36:AM38 AM7:AM17">
    <cfRule type="iconSet" priority="95">
      <iconSet iconSet="3TrafficLights2" reverse="1">
        <cfvo type="percent" val="0"/>
        <cfvo type="num" val="1"/>
        <cfvo type="num" val="1"/>
      </iconSet>
    </cfRule>
  </conditionalFormatting>
  <conditionalFormatting sqref="AM81:AN85">
    <cfRule type="expression" dxfId="193" priority="96">
      <formula>AK$9&gt;=20/24</formula>
    </cfRule>
    <cfRule type="expression" dxfId="192" priority="97">
      <formula>AND(AK$9&gt;=14/24,AK$9&lt;20/24)</formula>
    </cfRule>
    <cfRule type="expression" dxfId="191" priority="98">
      <formula>AND(AK$9&gt;=8/24,AK$9&lt;14/24)</formula>
    </cfRule>
    <cfRule type="expression" dxfId="190" priority="99">
      <formula>AK$9&lt;8/24</formula>
    </cfRule>
  </conditionalFormatting>
  <conditionalFormatting sqref="AM80:AO80 AM86:AO86">
    <cfRule type="expression" dxfId="189" priority="51">
      <formula>AM$9&gt;=20/24</formula>
    </cfRule>
    <cfRule type="expression" dxfId="188" priority="52">
      <formula>AND(AM$9&gt;=14/24,AM$9&lt;20/24)</formula>
    </cfRule>
    <cfRule type="expression" dxfId="187" priority="53">
      <formula>AND(AM$9&gt;=8/24,AM$9&lt;14/24)</formula>
    </cfRule>
    <cfRule type="expression" dxfId="186" priority="54">
      <formula>AM$9&lt;8/24</formula>
    </cfRule>
  </conditionalFormatting>
  <conditionalFormatting sqref="AO81:AO84">
    <cfRule type="expression" dxfId="185" priority="47">
      <formula>AO$9&gt;=20/24</formula>
    </cfRule>
    <cfRule type="expression" dxfId="184" priority="48">
      <formula>AND(AO$9&gt;=14/24,AO$9&lt;20/24)</formula>
    </cfRule>
    <cfRule type="expression" dxfId="183" priority="49">
      <formula>AND(AO$9&gt;=8/24,AO$9&lt;14/24)</formula>
    </cfRule>
    <cfRule type="expression" dxfId="182" priority="50">
      <formula>AO$9&lt;8/24</formula>
    </cfRule>
  </conditionalFormatting>
  <pageMargins left="0.7" right="0.7" top="0.75" bottom="0.75" header="0.3" footer="0.3"/>
  <drawing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C40D-76E3-48E7-A423-0198246D30BA}">
  <dimension ref="A1:CK281"/>
  <sheetViews>
    <sheetView zoomScale="80" zoomScaleNormal="80" workbookViewId="0">
      <pane xSplit="1" ySplit="10" topLeftCell="B13" activePane="bottomRight" state="frozen"/>
      <selection activeCell="K242" sqref="K242:L242"/>
      <selection pane="topRight" activeCell="K242" sqref="K242:L242"/>
      <selection pane="bottomLeft" activeCell="K242" sqref="K242:L242"/>
      <selection pane="bottomRight" activeCell="M19" sqref="M19"/>
    </sheetView>
  </sheetViews>
  <sheetFormatPr defaultRowHeight="15" x14ac:dyDescent="0.25"/>
  <cols>
    <col min="1" max="1" width="35.28515625" style="1" bestFit="1" customWidth="1"/>
    <col min="2" max="2" width="15.85546875" style="1" customWidth="1"/>
    <col min="3" max="3" width="8.85546875" style="1" customWidth="1"/>
    <col min="4" max="4" width="8.28515625" style="1" bestFit="1" customWidth="1"/>
    <col min="5" max="5" width="8.7109375" style="1" bestFit="1" customWidth="1"/>
    <col min="6" max="6" width="11.140625" style="1" customWidth="1"/>
    <col min="7" max="16" width="6.7109375" style="1" bestFit="1" customWidth="1"/>
    <col min="17" max="17" width="7.85546875" style="1" customWidth="1"/>
    <col min="18" max="19" width="8.28515625" style="1" bestFit="1" customWidth="1"/>
    <col min="20" max="20" width="8.7109375" style="1" bestFit="1" customWidth="1"/>
    <col min="21" max="22" width="8.28515625" style="1" bestFit="1" customWidth="1"/>
    <col min="23" max="23" width="9.7109375" style="1" customWidth="1"/>
    <col min="24" max="29" width="8.28515625" style="1" bestFit="1" customWidth="1"/>
    <col min="30" max="33" width="6.85546875" style="1" customWidth="1"/>
    <col min="34" max="34" width="14.42578125" style="1" customWidth="1"/>
    <col min="35" max="36" width="8" style="1" customWidth="1"/>
    <col min="37" max="37" width="21" style="1" bestFit="1" customWidth="1"/>
    <col min="38" max="38" width="23.85546875" style="1" bestFit="1" customWidth="1"/>
    <col min="39" max="42" width="9.140625" style="1" customWidth="1"/>
    <col min="43" max="16384" width="9.140625" style="1"/>
  </cols>
  <sheetData>
    <row r="1" spans="1:89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4" t="s">
        <v>1</v>
      </c>
      <c r="AI1" s="194"/>
      <c r="AJ1" s="194"/>
      <c r="AM1" s="2"/>
    </row>
    <row r="2" spans="1:89" ht="20.25" x14ac:dyDescent="0.25">
      <c r="A2" s="3"/>
      <c r="B2" s="195" t="s">
        <v>2</v>
      </c>
      <c r="C2" s="195" t="s">
        <v>2</v>
      </c>
      <c r="D2" s="4"/>
      <c r="E2" s="197" t="s">
        <v>3</v>
      </c>
      <c r="F2" s="4"/>
      <c r="G2" s="197" t="s">
        <v>4</v>
      </c>
      <c r="H2" s="4"/>
      <c r="I2" s="197" t="s">
        <v>5</v>
      </c>
      <c r="J2" s="5"/>
      <c r="K2" s="199" t="s">
        <v>6</v>
      </c>
      <c r="L2" s="6" t="s">
        <v>2</v>
      </c>
      <c r="M2" s="6" t="s">
        <v>3</v>
      </c>
      <c r="N2" s="6" t="s">
        <v>4</v>
      </c>
      <c r="O2" s="7" t="s">
        <v>5</v>
      </c>
      <c r="P2" s="8"/>
      <c r="Q2" s="8"/>
      <c r="R2" s="9"/>
      <c r="S2" s="9"/>
      <c r="T2" s="9"/>
      <c r="U2" s="9"/>
      <c r="V2" s="9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200" t="e">
        <f>AH50</f>
        <v>#REF!</v>
      </c>
      <c r="AI2" s="11" t="s">
        <v>7</v>
      </c>
      <c r="AJ2" s="12"/>
      <c r="AN2" s="13"/>
      <c r="AO2" s="14"/>
      <c r="AP2" s="14"/>
    </row>
    <row r="3" spans="1:89" ht="19.5" thickBot="1" x14ac:dyDescent="0.3">
      <c r="A3" s="15"/>
      <c r="B3" s="196"/>
      <c r="C3" s="196"/>
      <c r="D3" s="16"/>
      <c r="E3" s="198"/>
      <c r="F3" s="16"/>
      <c r="G3" s="198"/>
      <c r="H3" s="16"/>
      <c r="I3" s="198"/>
      <c r="J3" s="17"/>
      <c r="K3" s="199"/>
      <c r="L3" s="18"/>
      <c r="M3" s="18"/>
      <c r="N3" s="18"/>
      <c r="O3" s="18"/>
      <c r="P3" s="19"/>
      <c r="Q3" s="19"/>
      <c r="R3" s="8"/>
      <c r="S3" s="8"/>
      <c r="T3" s="8"/>
      <c r="U3" s="8"/>
      <c r="V3" s="8"/>
      <c r="W3" s="20" t="s">
        <v>8</v>
      </c>
      <c r="X3" s="20"/>
      <c r="Y3" s="20" t="s">
        <v>9</v>
      </c>
      <c r="Z3" s="20"/>
      <c r="AA3" s="20"/>
      <c r="AB3" s="20"/>
      <c r="AC3" s="19"/>
      <c r="AD3" s="21"/>
      <c r="AE3" s="21"/>
      <c r="AF3" s="21"/>
      <c r="AG3" s="21"/>
      <c r="AH3" s="201" t="e">
        <f>AH68</f>
        <v>#REF!</v>
      </c>
      <c r="AI3" s="11" t="s">
        <v>10</v>
      </c>
      <c r="AJ3" s="12"/>
      <c r="AM3" s="23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</row>
    <row r="4" spans="1:89" ht="18.75" x14ac:dyDescent="0.25">
      <c r="A4" s="25" t="s">
        <v>11</v>
      </c>
      <c r="B4" s="25"/>
      <c r="C4" s="188" t="e">
        <f ca="1">"2080/"&amp;"07/"&amp;INT(MID(CELL("filename",E6),FIND("]",CELL("filename",E6))+1,200))</f>
        <v>#VALUE!</v>
      </c>
      <c r="D4" s="188"/>
      <c r="E4" s="188"/>
      <c r="F4" s="189" t="e">
        <f ca="1">"2080/"&amp;"06/"&amp;INT(MID(CELL("filename",H6),FIND("]",CELL("filename",H6))+1,200))</f>
        <v>#VALUE!</v>
      </c>
      <c r="G4" s="189"/>
      <c r="H4" s="189"/>
      <c r="I4" s="189" t="e">
        <f ca="1">TEXT(F4,"dddd")</f>
        <v>#VALUE!</v>
      </c>
      <c r="J4" s="189"/>
      <c r="K4" s="26"/>
      <c r="L4" s="1" t="str">
        <f>"Total Peak Supply(Inclusive of Export) ("&amp;ROUND(C252,0)&amp;" MW)"&amp;"    IPP   = "&amp;ROUND(C247,0)&amp;" MW     NEA RoR = "&amp;ROUND(C248,0)&amp;" MWImport   = "&amp;ROUND(C250,0)&amp;" MW      KL1+KL2+K3 = "&amp;ROUND(C249,0) &amp;" MW    EXPORT = "&amp;ROUND(C251,0)</f>
        <v>Total Peak Supply(Inclusive of Export) (0 MW)    IPP   = 0 MW     NEA RoR = 0 MWImport   = 0 MW      KL1+KL2+K3 = 0 MW    EXPORT = 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27"/>
      <c r="AF4" s="27"/>
      <c r="AG4" s="27"/>
      <c r="AH4" s="201">
        <f>AH72</f>
        <v>106</v>
      </c>
      <c r="AI4" s="11" t="s">
        <v>12</v>
      </c>
      <c r="AJ4" s="12"/>
      <c r="AM4" s="28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</row>
    <row r="5" spans="1:89" ht="15.75" customHeight="1" x14ac:dyDescent="0.25">
      <c r="A5" s="29"/>
      <c r="B5" s="30">
        <f t="shared" ref="B5:AF5" si="0">C84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 t="shared" si="0"/>
        <v>0</v>
      </c>
      <c r="AG5" s="30">
        <f>C84</f>
        <v>0</v>
      </c>
      <c r="AH5" s="201"/>
      <c r="AI5" s="11"/>
      <c r="AJ5" s="12"/>
      <c r="AM5" s="28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</row>
    <row r="6" spans="1:89" ht="18.75" x14ac:dyDescent="0.25">
      <c r="A6" s="29"/>
      <c r="B6" s="31"/>
      <c r="C6" s="31"/>
      <c r="D6" s="29"/>
      <c r="E6" s="32"/>
      <c r="F6" s="32"/>
      <c r="G6" s="32"/>
      <c r="H6" s="32"/>
      <c r="I6" s="32"/>
      <c r="J6" s="32"/>
      <c r="K6" s="26"/>
      <c r="L6" s="1" t="e">
        <f>"Evening Peak "&amp;ROUND(C252,0)&amp;"MW at "&amp;TRUNC(C253*24,0)&amp;":"&amp;ROUND((C253*24-TRUNC(C253*24,0))*60,0)&amp;"hr at "&amp;ROUND(C254,1)&amp;"Hz     "&amp;A244&amp;" "&amp;ROUND(C244,0)&amp;"MW at "&amp;TRUNC(D244*24,0)&amp;":"&amp;ROUND((D244*24-TRUNC(D244*24,0))*6,0)&amp;"0hr"</f>
        <v>#REF!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27"/>
      <c r="AF6" s="27"/>
      <c r="AG6" s="27"/>
      <c r="AH6" s="201" t="e">
        <f>SUM(AH2:AH4)</f>
        <v>#REF!</v>
      </c>
      <c r="AI6" s="33" t="s">
        <v>13</v>
      </c>
      <c r="AJ6" s="12"/>
      <c r="AM6" s="28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</row>
    <row r="7" spans="1:89" ht="16.5" thickBot="1" x14ac:dyDescent="0.3">
      <c r="A7" s="34" t="e">
        <f>"Base Load="&amp;ROUND(MIN($C$7:$AG$7),0)</f>
        <v>#REF!</v>
      </c>
      <c r="B7" s="35">
        <f t="shared" ref="B7:AE7" si="1">B91</f>
        <v>1990.5000000000002</v>
      </c>
      <c r="C7" s="35" t="e">
        <f t="shared" si="1"/>
        <v>#REF!</v>
      </c>
      <c r="D7" s="35" t="e">
        <f t="shared" si="1"/>
        <v>#REF!</v>
      </c>
      <c r="E7" s="35" t="e">
        <f t="shared" si="1"/>
        <v>#REF!</v>
      </c>
      <c r="F7" s="35" t="e">
        <f t="shared" si="1"/>
        <v>#REF!</v>
      </c>
      <c r="G7" s="35" t="e">
        <f t="shared" si="1"/>
        <v>#REF!</v>
      </c>
      <c r="H7" s="35" t="e">
        <f t="shared" si="1"/>
        <v>#REF!</v>
      </c>
      <c r="I7" s="35" t="e">
        <f t="shared" si="1"/>
        <v>#REF!</v>
      </c>
      <c r="J7" s="35" t="e">
        <f t="shared" si="1"/>
        <v>#REF!</v>
      </c>
      <c r="K7" s="35" t="e">
        <f t="shared" si="1"/>
        <v>#REF!</v>
      </c>
      <c r="L7" s="35">
        <f t="shared" si="1"/>
        <v>0</v>
      </c>
      <c r="M7" s="35">
        <f t="shared" si="1"/>
        <v>0</v>
      </c>
      <c r="N7" s="35">
        <f t="shared" si="1"/>
        <v>0</v>
      </c>
      <c r="O7" s="35">
        <f>O91</f>
        <v>0</v>
      </c>
      <c r="P7" s="35">
        <f t="shared" si="1"/>
        <v>0</v>
      </c>
      <c r="Q7" s="35">
        <f t="shared" si="1"/>
        <v>0</v>
      </c>
      <c r="R7" s="35">
        <f t="shared" si="1"/>
        <v>0</v>
      </c>
      <c r="S7" s="35">
        <f t="shared" si="1"/>
        <v>0</v>
      </c>
      <c r="T7" s="35">
        <f t="shared" si="1"/>
        <v>0</v>
      </c>
      <c r="U7" s="35">
        <f t="shared" si="1"/>
        <v>0</v>
      </c>
      <c r="V7" s="35">
        <f t="shared" si="1"/>
        <v>0</v>
      </c>
      <c r="W7" s="35">
        <f t="shared" si="1"/>
        <v>0</v>
      </c>
      <c r="X7" s="35">
        <f t="shared" si="1"/>
        <v>0</v>
      </c>
      <c r="Y7" s="35">
        <f t="shared" si="1"/>
        <v>0</v>
      </c>
      <c r="Z7" s="35">
        <f t="shared" si="1"/>
        <v>0</v>
      </c>
      <c r="AA7" s="35">
        <f t="shared" si="1"/>
        <v>0</v>
      </c>
      <c r="AB7" s="35">
        <f t="shared" si="1"/>
        <v>0</v>
      </c>
      <c r="AC7" s="35">
        <f t="shared" si="1"/>
        <v>0</v>
      </c>
      <c r="AD7" s="35">
        <f t="shared" si="1"/>
        <v>0</v>
      </c>
      <c r="AE7" s="35">
        <f t="shared" si="1"/>
        <v>0</v>
      </c>
      <c r="AF7" s="35"/>
      <c r="AG7" s="35"/>
      <c r="AH7" s="202"/>
      <c r="AJ7" s="37"/>
      <c r="AK7" s="35"/>
      <c r="AM7" s="23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</row>
    <row r="8" spans="1:89" ht="27" customHeight="1" thickTop="1" thickBot="1" x14ac:dyDescent="0.3">
      <c r="A8" s="38"/>
      <c r="B8" s="203" t="s">
        <v>251</v>
      </c>
      <c r="C8" s="190" t="s">
        <v>14</v>
      </c>
      <c r="D8" s="191"/>
      <c r="E8" s="191"/>
      <c r="F8" s="191"/>
      <c r="G8" s="191"/>
      <c r="H8" s="191"/>
      <c r="I8" s="191"/>
      <c r="J8" s="191"/>
      <c r="K8" s="191"/>
      <c r="L8" s="191"/>
      <c r="M8" s="192"/>
      <c r="N8" s="183" t="s">
        <v>15</v>
      </c>
      <c r="O8" s="184"/>
      <c r="P8" s="184"/>
      <c r="Q8" s="184"/>
      <c r="R8" s="184"/>
      <c r="S8" s="185"/>
      <c r="T8" s="183" t="s">
        <v>16</v>
      </c>
      <c r="U8" s="184"/>
      <c r="V8" s="184"/>
      <c r="W8" s="184"/>
      <c r="X8" s="184"/>
      <c r="Y8" s="184"/>
      <c r="Z8" s="184"/>
      <c r="AA8" s="184"/>
      <c r="AB8" s="185"/>
      <c r="AC8" s="183" t="s">
        <v>17</v>
      </c>
      <c r="AD8" s="184"/>
      <c r="AE8" s="184"/>
      <c r="AF8" s="184"/>
      <c r="AG8" s="185"/>
      <c r="AH8" s="39"/>
      <c r="AI8" s="40"/>
      <c r="AJ8" s="41"/>
      <c r="AM8" s="28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</row>
    <row r="9" spans="1:89" ht="13.5" customHeight="1" thickTop="1" x14ac:dyDescent="0.25">
      <c r="A9" s="186" t="s">
        <v>18</v>
      </c>
      <c r="B9" s="204"/>
      <c r="C9" s="180">
        <v>0</v>
      </c>
      <c r="D9" s="180">
        <v>4.1666666666666664E-2</v>
      </c>
      <c r="E9" s="180">
        <v>8.3333333333333301E-2</v>
      </c>
      <c r="F9" s="180">
        <v>0.125</v>
      </c>
      <c r="G9" s="180">
        <v>0.16666666666666699</v>
      </c>
      <c r="H9" s="180">
        <v>0.20833333333333301</v>
      </c>
      <c r="I9" s="180">
        <v>0.22916666666666666</v>
      </c>
      <c r="J9" s="180">
        <v>0.25</v>
      </c>
      <c r="K9" s="180">
        <v>0.27083333333333331</v>
      </c>
      <c r="L9" s="180">
        <v>0.29166666666666669</v>
      </c>
      <c r="M9" s="180">
        <v>0.3125</v>
      </c>
      <c r="N9" s="178">
        <v>0.33333333333333331</v>
      </c>
      <c r="O9" s="178">
        <v>0.375</v>
      </c>
      <c r="P9" s="178">
        <v>0.41666666666666702</v>
      </c>
      <c r="Q9" s="178">
        <v>0.45833333333333298</v>
      </c>
      <c r="R9" s="178">
        <v>0.5</v>
      </c>
      <c r="S9" s="178">
        <v>0.54166666666666696</v>
      </c>
      <c r="T9" s="176">
        <v>0.58333333333333304</v>
      </c>
      <c r="U9" s="176">
        <v>0.625</v>
      </c>
      <c r="V9" s="176">
        <v>0.66666666666666696</v>
      </c>
      <c r="W9" s="176">
        <v>0.70833333333333304</v>
      </c>
      <c r="X9" s="176">
        <v>0.72916666666666663</v>
      </c>
      <c r="Y9" s="176">
        <v>0.75</v>
      </c>
      <c r="Z9" s="176">
        <v>0.77083333333333337</v>
      </c>
      <c r="AA9" s="176">
        <v>0.79166666666666663</v>
      </c>
      <c r="AB9" s="176">
        <v>0.8125</v>
      </c>
      <c r="AC9" s="176">
        <v>0.83333333333333337</v>
      </c>
      <c r="AD9" s="176">
        <v>0.85416666666666663</v>
      </c>
      <c r="AE9" s="176">
        <v>0.875</v>
      </c>
      <c r="AF9" s="176">
        <v>0.91666666666666696</v>
      </c>
      <c r="AG9" s="176">
        <v>0.95833333333333304</v>
      </c>
      <c r="AH9" s="181" t="s">
        <v>1</v>
      </c>
      <c r="AI9" s="42"/>
      <c r="AJ9" s="41"/>
      <c r="AM9" s="28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</row>
    <row r="10" spans="1:89" ht="15.75" thickBot="1" x14ac:dyDescent="0.3">
      <c r="A10" s="187"/>
      <c r="B10" s="205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9"/>
      <c r="O10" s="179"/>
      <c r="P10" s="179"/>
      <c r="Q10" s="179"/>
      <c r="R10" s="179"/>
      <c r="S10" s="179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82"/>
      <c r="AI10" s="43"/>
      <c r="AM10" s="28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</row>
    <row r="11" spans="1:89" ht="15.75" thickTop="1" x14ac:dyDescent="0.25">
      <c r="A11" s="44" t="s">
        <v>252</v>
      </c>
      <c r="B11" s="206">
        <v>60.8</v>
      </c>
      <c r="C11" s="45" t="e">
        <f>IF($B11-#REF!&lt;0,0,$B11-#REF!)</f>
        <v>#REF!</v>
      </c>
      <c r="D11" s="45" t="e">
        <f>IF($B11-#REF!&lt;0,0,$B11-#REF!)</f>
        <v>#REF!</v>
      </c>
      <c r="E11" s="45" t="e">
        <f>IF($B11-#REF!&lt;0,0,$B11-#REF!)</f>
        <v>#REF!</v>
      </c>
      <c r="F11" s="45" t="e">
        <f>IF($B11-#REF!&lt;0,0,$B11-#REF!)</f>
        <v>#REF!</v>
      </c>
      <c r="G11" s="45" t="e">
        <f>IF($B11-#REF!&lt;0,0,$B11-#REF!)</f>
        <v>#REF!</v>
      </c>
      <c r="H11" s="45" t="e">
        <f>IF($B11-#REF!&lt;0,0,$B11-#REF!)</f>
        <v>#REF!</v>
      </c>
      <c r="I11" s="45" t="e">
        <f>IF($B11-#REF!&lt;0,0,$B11-#REF!)</f>
        <v>#REF!</v>
      </c>
      <c r="J11" s="45" t="e">
        <f>IF($B11-#REF!&lt;0,0,$B11-#REF!)</f>
        <v>#REF!</v>
      </c>
      <c r="K11" s="45" t="e">
        <f>IF($B11-#REF!&lt;0,0,$B11-#REF!)</f>
        <v>#REF!</v>
      </c>
      <c r="L11" s="45" t="e">
        <f>IF($B11-#REF!&lt;0,0,$B11-#REF!)</f>
        <v>#REF!</v>
      </c>
      <c r="M11" s="45" t="e">
        <f>IF($B11-#REF!&lt;0,0,$B11-#REF!)</f>
        <v>#REF!</v>
      </c>
      <c r="N11" s="45" t="e">
        <f>IF($B11-#REF!&lt;0,0,$B11-#REF!)</f>
        <v>#REF!</v>
      </c>
      <c r="O11" s="45" t="e">
        <f>IF($B11-#REF!&lt;0,0,$B11-#REF!)</f>
        <v>#REF!</v>
      </c>
      <c r="P11" s="45" t="e">
        <f>IF($B11-#REF!&lt;0,0,$B11-#REF!)</f>
        <v>#REF!</v>
      </c>
      <c r="Q11" s="45" t="e">
        <f>IF($B11-#REF!&lt;0,0,$B11-#REF!)</f>
        <v>#REF!</v>
      </c>
      <c r="R11" s="45" t="e">
        <f>IF($B11-#REF!&lt;0,0,$B11-#REF!)</f>
        <v>#REF!</v>
      </c>
      <c r="S11" s="45" t="e">
        <f>IF($B11-#REF!&lt;0,0,$B11-#REF!)</f>
        <v>#REF!</v>
      </c>
      <c r="T11" s="45" t="e">
        <f>IF($B11-#REF!&lt;0,0,$B11-#REF!)</f>
        <v>#REF!</v>
      </c>
      <c r="U11" s="45" t="e">
        <f>IF($B11-#REF!&lt;0,0,$B11-#REF!)</f>
        <v>#REF!</v>
      </c>
      <c r="V11" s="45" t="e">
        <f>IF($B11-#REF!&lt;0,0,$B11-#REF!)</f>
        <v>#REF!</v>
      </c>
      <c r="W11" s="45" t="e">
        <f>IF($B11-#REF!&lt;0,0,$B11-#REF!)</f>
        <v>#REF!</v>
      </c>
      <c r="X11" s="45" t="e">
        <f>IF($B11-#REF!&lt;0,0,$B11-#REF!)</f>
        <v>#REF!</v>
      </c>
      <c r="Y11" s="45" t="e">
        <f>IF($B11-#REF!&lt;0,0,$B11-#REF!)</f>
        <v>#REF!</v>
      </c>
      <c r="Z11" s="45" t="e">
        <f>IF($B11-#REF!&lt;0,0,$B11-#REF!)</f>
        <v>#REF!</v>
      </c>
      <c r="AA11" s="45" t="e">
        <f>IF($B11-#REF!&lt;0,0,$B11-#REF!)</f>
        <v>#REF!</v>
      </c>
      <c r="AB11" s="45" t="e">
        <f>IF($B11-#REF!&lt;0,0,$B11-#REF!)</f>
        <v>#REF!</v>
      </c>
      <c r="AC11" s="45" t="e">
        <f>IF($B11-#REF!&lt;0,0,$B11-#REF!)</f>
        <v>#REF!</v>
      </c>
      <c r="AD11" s="45" t="e">
        <f>IF($B11-#REF!&lt;0,0,$B11-#REF!)</f>
        <v>#REF!</v>
      </c>
      <c r="AE11" s="45" t="e">
        <f>IF($B11-#REF!&lt;0,0,$B11-#REF!)</f>
        <v>#REF!</v>
      </c>
      <c r="AF11" s="45" t="e">
        <f>IF($B11-#REF!&lt;0,0,$B11-#REF!)</f>
        <v>#REF!</v>
      </c>
      <c r="AG11" s="45" t="e">
        <f>IF($B11-#REF!&lt;0,0,$B11-#REF!)</f>
        <v>#REF!</v>
      </c>
      <c r="AH11" s="47">
        <v>86</v>
      </c>
      <c r="AI11" s="48" t="e">
        <f t="shared" ref="AI11:AI76" si="2">MAX(C11:AG11)</f>
        <v>#REF!</v>
      </c>
      <c r="AJ11" s="49" t="e">
        <f t="shared" ref="AJ11:AJ76" si="3">MIN(C11:AG11)</f>
        <v>#REF!</v>
      </c>
      <c r="AL11" s="170"/>
      <c r="AM11" s="28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</row>
    <row r="12" spans="1:89" x14ac:dyDescent="0.25">
      <c r="A12" s="44" t="s">
        <v>253</v>
      </c>
      <c r="B12" s="206">
        <v>13</v>
      </c>
      <c r="C12" s="45" t="e">
        <f>IF($B12-#REF!&lt;0,0,$B12-#REF!)</f>
        <v>#REF!</v>
      </c>
      <c r="D12" s="45" t="e">
        <f>IF($B12-#REF!&lt;0,0,$B12-#REF!)</f>
        <v>#REF!</v>
      </c>
      <c r="E12" s="45" t="e">
        <f>IF($B12-#REF!&lt;0,0,$B12-#REF!)</f>
        <v>#REF!</v>
      </c>
      <c r="F12" s="45" t="e">
        <f>IF($B12-#REF!&lt;0,0,$B12-#REF!)</f>
        <v>#REF!</v>
      </c>
      <c r="G12" s="45" t="e">
        <f>IF($B12-#REF!&lt;0,0,$B12-#REF!)</f>
        <v>#REF!</v>
      </c>
      <c r="H12" s="45" t="e">
        <f>IF($B12-#REF!&lt;0,0,$B12-#REF!)</f>
        <v>#REF!</v>
      </c>
      <c r="I12" s="45" t="e">
        <f>IF($B12-#REF!&lt;0,0,$B12-#REF!)</f>
        <v>#REF!</v>
      </c>
      <c r="J12" s="45" t="e">
        <f>IF($B12-#REF!&lt;0,0,$B12-#REF!)</f>
        <v>#REF!</v>
      </c>
      <c r="K12" s="45" t="e">
        <f>IF($B12-#REF!&lt;0,0,$B12-#REF!)</f>
        <v>#REF!</v>
      </c>
      <c r="L12" s="45" t="e">
        <f>IF($B12-#REF!&lt;0,0,$B12-#REF!)</f>
        <v>#REF!</v>
      </c>
      <c r="M12" s="45" t="e">
        <f>IF($B12-#REF!&lt;0,0,$B12-#REF!)</f>
        <v>#REF!</v>
      </c>
      <c r="N12" s="45" t="e">
        <f>IF($B12-#REF!&lt;0,0,$B12-#REF!)</f>
        <v>#REF!</v>
      </c>
      <c r="O12" s="45" t="e">
        <f>IF($B12-#REF!&lt;0,0,$B12-#REF!)</f>
        <v>#REF!</v>
      </c>
      <c r="P12" s="45" t="e">
        <f>IF($B12-#REF!&lt;0,0,$B12-#REF!)</f>
        <v>#REF!</v>
      </c>
      <c r="Q12" s="45" t="e">
        <f>IF($B12-#REF!&lt;0,0,$B12-#REF!)</f>
        <v>#REF!</v>
      </c>
      <c r="R12" s="45" t="e">
        <f>IF($B12-#REF!&lt;0,0,$B12-#REF!)</f>
        <v>#REF!</v>
      </c>
      <c r="S12" s="45" t="e">
        <f>IF($B12-#REF!&lt;0,0,$B12-#REF!)</f>
        <v>#REF!</v>
      </c>
      <c r="T12" s="45" t="e">
        <f>IF($B12-#REF!&lt;0,0,$B12-#REF!)</f>
        <v>#REF!</v>
      </c>
      <c r="U12" s="45" t="e">
        <f>IF($B12-#REF!&lt;0,0,$B12-#REF!)</f>
        <v>#REF!</v>
      </c>
      <c r="V12" s="45" t="e">
        <f>IF($B12-#REF!&lt;0,0,$B12-#REF!)</f>
        <v>#REF!</v>
      </c>
      <c r="W12" s="45" t="e">
        <f>IF($B12-#REF!&lt;0,0,$B12-#REF!)</f>
        <v>#REF!</v>
      </c>
      <c r="X12" s="45" t="e">
        <f>IF($B12-#REF!&lt;0,0,$B12-#REF!)</f>
        <v>#REF!</v>
      </c>
      <c r="Y12" s="45" t="e">
        <f>IF($B12-#REF!&lt;0,0,$B12-#REF!)</f>
        <v>#REF!</v>
      </c>
      <c r="Z12" s="45" t="e">
        <f>IF($B12-#REF!&lt;0,0,$B12-#REF!)</f>
        <v>#REF!</v>
      </c>
      <c r="AA12" s="45" t="e">
        <f>IF($B12-#REF!&lt;0,0,$B12-#REF!)</f>
        <v>#REF!</v>
      </c>
      <c r="AB12" s="45" t="e">
        <f>IF($B12-#REF!&lt;0,0,$B12-#REF!)</f>
        <v>#REF!</v>
      </c>
      <c r="AC12" s="45" t="e">
        <f>IF($B12-#REF!&lt;0,0,$B12-#REF!)</f>
        <v>#REF!</v>
      </c>
      <c r="AD12" s="45" t="e">
        <f>IF($B12-#REF!&lt;0,0,$B12-#REF!)</f>
        <v>#REF!</v>
      </c>
      <c r="AE12" s="45" t="e">
        <f>IF($B12-#REF!&lt;0,0,$B12-#REF!)</f>
        <v>#REF!</v>
      </c>
      <c r="AF12" s="45" t="e">
        <f>IF($B12-#REF!&lt;0,0,$B12-#REF!)</f>
        <v>#REF!</v>
      </c>
      <c r="AG12" s="45" t="e">
        <f>IF($B12-#REF!&lt;0,0,$B12-#REF!)</f>
        <v>#REF!</v>
      </c>
      <c r="AH12" s="51">
        <v>54</v>
      </c>
      <c r="AI12" s="48" t="e">
        <f t="shared" si="2"/>
        <v>#REF!</v>
      </c>
      <c r="AJ12" s="49" t="e">
        <f t="shared" si="3"/>
        <v>#REF!</v>
      </c>
      <c r="AL12" s="170"/>
      <c r="AM12" s="28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</row>
    <row r="13" spans="1:89" x14ac:dyDescent="0.25">
      <c r="A13" s="44" t="s">
        <v>19</v>
      </c>
      <c r="B13" s="206">
        <v>34</v>
      </c>
      <c r="C13" s="45" t="e">
        <f>IF($B13-#REF!&lt;0,0,$B13-#REF!)</f>
        <v>#REF!</v>
      </c>
      <c r="D13" s="45" t="e">
        <f>IF($B13-#REF!&lt;0,0,$B13-#REF!)</f>
        <v>#REF!</v>
      </c>
      <c r="E13" s="45" t="e">
        <f>IF($B13-#REF!&lt;0,0,$B13-#REF!)</f>
        <v>#REF!</v>
      </c>
      <c r="F13" s="45" t="e">
        <f>IF($B13-#REF!&lt;0,0,$B13-#REF!)</f>
        <v>#REF!</v>
      </c>
      <c r="G13" s="45" t="e">
        <f>IF($B13-#REF!&lt;0,0,$B13-#REF!)</f>
        <v>#REF!</v>
      </c>
      <c r="H13" s="45" t="e">
        <f>IF($B13-#REF!&lt;0,0,$B13-#REF!)</f>
        <v>#REF!</v>
      </c>
      <c r="I13" s="45" t="e">
        <f>IF($B13-#REF!&lt;0,0,$B13-#REF!)</f>
        <v>#REF!</v>
      </c>
      <c r="J13" s="45" t="e">
        <f>IF($B13-#REF!&lt;0,0,$B13-#REF!)</f>
        <v>#REF!</v>
      </c>
      <c r="K13" s="45" t="e">
        <f>IF($B13-#REF!&lt;0,0,$B13-#REF!)</f>
        <v>#REF!</v>
      </c>
      <c r="L13" s="45" t="e">
        <f>IF($B13-#REF!&lt;0,0,$B13-#REF!)</f>
        <v>#REF!</v>
      </c>
      <c r="M13" s="45" t="e">
        <f>IF($B13-#REF!&lt;0,0,$B13-#REF!)</f>
        <v>#REF!</v>
      </c>
      <c r="N13" s="45" t="e">
        <f>IF($B13-#REF!&lt;0,0,$B13-#REF!)</f>
        <v>#REF!</v>
      </c>
      <c r="O13" s="45" t="e">
        <f>IF($B13-#REF!&lt;0,0,$B13-#REF!)</f>
        <v>#REF!</v>
      </c>
      <c r="P13" s="45" t="e">
        <f>IF($B13-#REF!&lt;0,0,$B13-#REF!)</f>
        <v>#REF!</v>
      </c>
      <c r="Q13" s="45" t="e">
        <f>IF($B13-#REF!&lt;0,0,$B13-#REF!)</f>
        <v>#REF!</v>
      </c>
      <c r="R13" s="45" t="e">
        <f>IF($B13-#REF!&lt;0,0,$B13-#REF!)</f>
        <v>#REF!</v>
      </c>
      <c r="S13" s="45" t="e">
        <f>IF($B13-#REF!&lt;0,0,$B13-#REF!)</f>
        <v>#REF!</v>
      </c>
      <c r="T13" s="45" t="e">
        <f>IF($B13-#REF!&lt;0,0,$B13-#REF!)</f>
        <v>#REF!</v>
      </c>
      <c r="U13" s="45" t="e">
        <f>IF($B13-#REF!&lt;0,0,$B13-#REF!)</f>
        <v>#REF!</v>
      </c>
      <c r="V13" s="45" t="e">
        <f>IF($B13-#REF!&lt;0,0,$B13-#REF!)</f>
        <v>#REF!</v>
      </c>
      <c r="W13" s="45" t="e">
        <f>IF($B13-#REF!&lt;0,0,$B13-#REF!)</f>
        <v>#REF!</v>
      </c>
      <c r="X13" s="45" t="e">
        <f>IF($B13-#REF!&lt;0,0,$B13-#REF!)</f>
        <v>#REF!</v>
      </c>
      <c r="Y13" s="45" t="e">
        <f>IF($B13-#REF!&lt;0,0,$B13-#REF!)</f>
        <v>#REF!</v>
      </c>
      <c r="Z13" s="45" t="e">
        <f>IF($B13-#REF!&lt;0,0,$B13-#REF!)</f>
        <v>#REF!</v>
      </c>
      <c r="AA13" s="45" t="e">
        <f>IF($B13-#REF!&lt;0,0,$B13-#REF!)</f>
        <v>#REF!</v>
      </c>
      <c r="AB13" s="45" t="e">
        <f>IF($B13-#REF!&lt;0,0,$B13-#REF!)</f>
        <v>#REF!</v>
      </c>
      <c r="AC13" s="45" t="e">
        <f>IF($B13-#REF!&lt;0,0,$B13-#REF!)</f>
        <v>#REF!</v>
      </c>
      <c r="AD13" s="45" t="e">
        <f>IF($B13-#REF!&lt;0,0,$B13-#REF!)</f>
        <v>#REF!</v>
      </c>
      <c r="AE13" s="45" t="e">
        <f>IF($B13-#REF!&lt;0,0,$B13-#REF!)</f>
        <v>#REF!</v>
      </c>
      <c r="AF13" s="45" t="e">
        <f>IF($B13-#REF!&lt;0,0,$B13-#REF!)</f>
        <v>#REF!</v>
      </c>
      <c r="AG13" s="45" t="e">
        <f>IF($B13-#REF!&lt;0,0,$B13-#REF!)</f>
        <v>#REF!</v>
      </c>
      <c r="AH13" s="47">
        <v>52.4</v>
      </c>
      <c r="AI13" s="48" t="e">
        <f t="shared" si="2"/>
        <v>#REF!</v>
      </c>
      <c r="AJ13" s="49" t="e">
        <f t="shared" si="3"/>
        <v>#REF!</v>
      </c>
      <c r="AL13" s="170"/>
      <c r="AM13" s="28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</row>
    <row r="14" spans="1:89" x14ac:dyDescent="0.25">
      <c r="A14" s="44" t="s">
        <v>20</v>
      </c>
      <c r="B14" s="207">
        <v>50.5</v>
      </c>
      <c r="C14" s="45" t="e">
        <f>IF($B14-#REF!&lt;0,0,$B14-#REF!)</f>
        <v>#REF!</v>
      </c>
      <c r="D14" s="45" t="e">
        <f>IF($B14-#REF!&lt;0,0,$B14-#REF!)</f>
        <v>#REF!</v>
      </c>
      <c r="E14" s="45" t="e">
        <f>IF($B14-#REF!&lt;0,0,$B14-#REF!)</f>
        <v>#REF!</v>
      </c>
      <c r="F14" s="45" t="e">
        <f>IF($B14-#REF!&lt;0,0,$B14-#REF!)</f>
        <v>#REF!</v>
      </c>
      <c r="G14" s="45" t="e">
        <f>IF($B14-#REF!&lt;0,0,$B14-#REF!)</f>
        <v>#REF!</v>
      </c>
      <c r="H14" s="45" t="e">
        <f>IF($B14-#REF!&lt;0,0,$B14-#REF!)</f>
        <v>#REF!</v>
      </c>
      <c r="I14" s="45" t="e">
        <f>IF($B14-#REF!&lt;0,0,$B14-#REF!)</f>
        <v>#REF!</v>
      </c>
      <c r="J14" s="45" t="e">
        <f>IF($B14-#REF!&lt;0,0,$B14-#REF!)</f>
        <v>#REF!</v>
      </c>
      <c r="K14" s="45" t="e">
        <f>IF($B14-#REF!&lt;0,0,$B14-#REF!)</f>
        <v>#REF!</v>
      </c>
      <c r="L14" s="45" t="e">
        <f>IF($B14-#REF!&lt;0,0,$B14-#REF!)</f>
        <v>#REF!</v>
      </c>
      <c r="M14" s="45" t="e">
        <f>IF($B14-#REF!&lt;0,0,$B14-#REF!)</f>
        <v>#REF!</v>
      </c>
      <c r="N14" s="45" t="e">
        <f>IF($B14-#REF!&lt;0,0,$B14-#REF!)</f>
        <v>#REF!</v>
      </c>
      <c r="O14" s="45" t="e">
        <f>IF($B14-#REF!&lt;0,0,$B14-#REF!)</f>
        <v>#REF!</v>
      </c>
      <c r="P14" s="45" t="e">
        <f>IF($B14-#REF!&lt;0,0,$B14-#REF!)</f>
        <v>#REF!</v>
      </c>
      <c r="Q14" s="45" t="e">
        <f>IF($B14-#REF!&lt;0,0,$B14-#REF!)</f>
        <v>#REF!</v>
      </c>
      <c r="R14" s="45" t="e">
        <f>IF($B14-#REF!&lt;0,0,$B14-#REF!)</f>
        <v>#REF!</v>
      </c>
      <c r="S14" s="45" t="e">
        <f>IF($B14-#REF!&lt;0,0,$B14-#REF!)</f>
        <v>#REF!</v>
      </c>
      <c r="T14" s="45" t="e">
        <f>IF($B14-#REF!&lt;0,0,$B14-#REF!)</f>
        <v>#REF!</v>
      </c>
      <c r="U14" s="45" t="e">
        <f>IF($B14-#REF!&lt;0,0,$B14-#REF!)</f>
        <v>#REF!</v>
      </c>
      <c r="V14" s="45" t="e">
        <f>IF($B14-#REF!&lt;0,0,$B14-#REF!)</f>
        <v>#REF!</v>
      </c>
      <c r="W14" s="45" t="e">
        <f>IF($B14-#REF!&lt;0,0,$B14-#REF!)</f>
        <v>#REF!</v>
      </c>
      <c r="X14" s="45" t="e">
        <f>IF($B14-#REF!&lt;0,0,$B14-#REF!)</f>
        <v>#REF!</v>
      </c>
      <c r="Y14" s="45" t="e">
        <f>IF($B14-#REF!&lt;0,0,$B14-#REF!)</f>
        <v>#REF!</v>
      </c>
      <c r="Z14" s="45" t="e">
        <f>IF($B14-#REF!&lt;0,0,$B14-#REF!)</f>
        <v>#REF!</v>
      </c>
      <c r="AA14" s="45" t="e">
        <f>IF($B14-#REF!&lt;0,0,$B14-#REF!)</f>
        <v>#REF!</v>
      </c>
      <c r="AB14" s="45" t="e">
        <f>IF($B14-#REF!&lt;0,0,$B14-#REF!)</f>
        <v>#REF!</v>
      </c>
      <c r="AC14" s="45" t="e">
        <f>IF($B14-#REF!&lt;0,0,$B14-#REF!)</f>
        <v>#REF!</v>
      </c>
      <c r="AD14" s="45" t="e">
        <f>IF($B14-#REF!&lt;0,0,$B14-#REF!)</f>
        <v>#REF!</v>
      </c>
      <c r="AE14" s="45" t="e">
        <f>IF($B14-#REF!&lt;0,0,$B14-#REF!)</f>
        <v>#REF!</v>
      </c>
      <c r="AF14" s="45" t="e">
        <f>IF($B14-#REF!&lt;0,0,$B14-#REF!)</f>
        <v>#REF!</v>
      </c>
      <c r="AG14" s="45" t="e">
        <f>IF($B14-#REF!&lt;0,0,$B14-#REF!)</f>
        <v>#REF!</v>
      </c>
      <c r="AH14" s="51">
        <v>50</v>
      </c>
      <c r="AI14" s="48" t="e">
        <f t="shared" si="2"/>
        <v>#REF!</v>
      </c>
      <c r="AJ14" s="49" t="e">
        <f t="shared" si="3"/>
        <v>#REF!</v>
      </c>
      <c r="AL14" s="170"/>
      <c r="AM14" s="28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</row>
    <row r="15" spans="1:89" x14ac:dyDescent="0.25">
      <c r="A15" s="44" t="s">
        <v>21</v>
      </c>
      <c r="B15" s="207">
        <v>33.5</v>
      </c>
      <c r="C15" s="45" t="e">
        <f>IF($B15-#REF!&lt;0,0,$B15-#REF!)</f>
        <v>#REF!</v>
      </c>
      <c r="D15" s="45" t="e">
        <f>IF($B15-#REF!&lt;0,0,$B15-#REF!)</f>
        <v>#REF!</v>
      </c>
      <c r="E15" s="45" t="e">
        <f>IF($B15-#REF!&lt;0,0,$B15-#REF!)</f>
        <v>#REF!</v>
      </c>
      <c r="F15" s="45" t="e">
        <f>IF($B15-#REF!&lt;0,0,$B15-#REF!)</f>
        <v>#REF!</v>
      </c>
      <c r="G15" s="45" t="e">
        <f>IF($B15-#REF!&lt;0,0,$B15-#REF!)</f>
        <v>#REF!</v>
      </c>
      <c r="H15" s="45" t="e">
        <f>IF($B15-#REF!&lt;0,0,$B15-#REF!)</f>
        <v>#REF!</v>
      </c>
      <c r="I15" s="45" t="e">
        <f>IF($B15-#REF!&lt;0,0,$B15-#REF!)</f>
        <v>#REF!</v>
      </c>
      <c r="J15" s="45" t="e">
        <f>IF($B15-#REF!&lt;0,0,$B15-#REF!)</f>
        <v>#REF!</v>
      </c>
      <c r="K15" s="45" t="e">
        <f>IF($B15-#REF!&lt;0,0,$B15-#REF!)</f>
        <v>#REF!</v>
      </c>
      <c r="L15" s="45" t="e">
        <f>IF($B15-#REF!&lt;0,0,$B15-#REF!)</f>
        <v>#REF!</v>
      </c>
      <c r="M15" s="45" t="e">
        <f>IF($B15-#REF!&lt;0,0,$B15-#REF!)</f>
        <v>#REF!</v>
      </c>
      <c r="N15" s="45" t="e">
        <f>IF($B15-#REF!&lt;0,0,$B15-#REF!)</f>
        <v>#REF!</v>
      </c>
      <c r="O15" s="45" t="e">
        <f>IF($B15-#REF!&lt;0,0,$B15-#REF!)</f>
        <v>#REF!</v>
      </c>
      <c r="P15" s="45" t="e">
        <f>IF($B15-#REF!&lt;0,0,$B15-#REF!)</f>
        <v>#REF!</v>
      </c>
      <c r="Q15" s="45" t="e">
        <f>IF($B15-#REF!&lt;0,0,$B15-#REF!)</f>
        <v>#REF!</v>
      </c>
      <c r="R15" s="45" t="e">
        <f>IF($B15-#REF!&lt;0,0,$B15-#REF!)</f>
        <v>#REF!</v>
      </c>
      <c r="S15" s="45" t="e">
        <f>IF($B15-#REF!&lt;0,0,$B15-#REF!)</f>
        <v>#REF!</v>
      </c>
      <c r="T15" s="45" t="e">
        <f>IF($B15-#REF!&lt;0,0,$B15-#REF!)</f>
        <v>#REF!</v>
      </c>
      <c r="U15" s="45" t="e">
        <f>IF($B15-#REF!&lt;0,0,$B15-#REF!)</f>
        <v>#REF!</v>
      </c>
      <c r="V15" s="45" t="e">
        <f>IF($B15-#REF!&lt;0,0,$B15-#REF!)</f>
        <v>#REF!</v>
      </c>
      <c r="W15" s="45" t="e">
        <f>IF($B15-#REF!&lt;0,0,$B15-#REF!)</f>
        <v>#REF!</v>
      </c>
      <c r="X15" s="45" t="e">
        <f>IF($B15-#REF!&lt;0,0,$B15-#REF!)</f>
        <v>#REF!</v>
      </c>
      <c r="Y15" s="45" t="e">
        <f>IF($B15-#REF!&lt;0,0,$B15-#REF!)</f>
        <v>#REF!</v>
      </c>
      <c r="Z15" s="45" t="e">
        <f>IF($B15-#REF!&lt;0,0,$B15-#REF!)</f>
        <v>#REF!</v>
      </c>
      <c r="AA15" s="45" t="e">
        <f>IF($B15-#REF!&lt;0,0,$B15-#REF!)</f>
        <v>#REF!</v>
      </c>
      <c r="AB15" s="45" t="e">
        <f>IF($B15-#REF!&lt;0,0,$B15-#REF!)</f>
        <v>#REF!</v>
      </c>
      <c r="AC15" s="45" t="e">
        <f>IF($B15-#REF!&lt;0,0,$B15-#REF!)</f>
        <v>#REF!</v>
      </c>
      <c r="AD15" s="45" t="e">
        <f>IF($B15-#REF!&lt;0,0,$B15-#REF!)</f>
        <v>#REF!</v>
      </c>
      <c r="AE15" s="45" t="e">
        <f>IF($B15-#REF!&lt;0,0,$B15-#REF!)</f>
        <v>#REF!</v>
      </c>
      <c r="AF15" s="45" t="e">
        <f>IF($B15-#REF!&lt;0,0,$B15-#REF!)</f>
        <v>#REF!</v>
      </c>
      <c r="AG15" s="45" t="e">
        <f>IF($B15-#REF!&lt;0,0,$B15-#REF!)</f>
        <v>#REF!</v>
      </c>
      <c r="AH15" s="51">
        <v>45</v>
      </c>
      <c r="AI15" s="48" t="e">
        <f t="shared" si="2"/>
        <v>#REF!</v>
      </c>
      <c r="AJ15" s="49" t="e">
        <f t="shared" si="3"/>
        <v>#REF!</v>
      </c>
      <c r="AL15" s="170"/>
      <c r="AM15" s="28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</row>
    <row r="16" spans="1:89" x14ac:dyDescent="0.25">
      <c r="A16" s="44" t="s">
        <v>254</v>
      </c>
      <c r="B16" s="207">
        <v>32</v>
      </c>
      <c r="C16" s="45" t="e">
        <f>IF($B16-#REF!&lt;0,0,$B16-#REF!)</f>
        <v>#REF!</v>
      </c>
      <c r="D16" s="45" t="e">
        <f>IF($B16-#REF!&lt;0,0,$B16-#REF!)</f>
        <v>#REF!</v>
      </c>
      <c r="E16" s="45" t="e">
        <f>IF($B16-#REF!&lt;0,0,$B16-#REF!)</f>
        <v>#REF!</v>
      </c>
      <c r="F16" s="45" t="e">
        <f>IF($B16-#REF!&lt;0,0,$B16-#REF!)</f>
        <v>#REF!</v>
      </c>
      <c r="G16" s="45" t="e">
        <f>IF($B16-#REF!&lt;0,0,$B16-#REF!)</f>
        <v>#REF!</v>
      </c>
      <c r="H16" s="45" t="e">
        <f>IF($B16-#REF!&lt;0,0,$B16-#REF!)</f>
        <v>#REF!</v>
      </c>
      <c r="I16" s="45" t="e">
        <f>IF($B16-#REF!&lt;0,0,$B16-#REF!)</f>
        <v>#REF!</v>
      </c>
      <c r="J16" s="45" t="e">
        <f>IF($B16-#REF!&lt;0,0,$B16-#REF!)</f>
        <v>#REF!</v>
      </c>
      <c r="K16" s="45" t="e">
        <f>IF($B16-#REF!&lt;0,0,$B16-#REF!)</f>
        <v>#REF!</v>
      </c>
      <c r="L16" s="45" t="e">
        <f>IF($B16-#REF!&lt;0,0,$B16-#REF!)</f>
        <v>#REF!</v>
      </c>
      <c r="M16" s="45" t="e">
        <f>IF($B16-#REF!&lt;0,0,$B16-#REF!)</f>
        <v>#REF!</v>
      </c>
      <c r="N16" s="45" t="e">
        <f>IF($B16-#REF!&lt;0,0,$B16-#REF!)</f>
        <v>#REF!</v>
      </c>
      <c r="O16" s="45" t="e">
        <f>IF($B16-#REF!&lt;0,0,$B16-#REF!)</f>
        <v>#REF!</v>
      </c>
      <c r="P16" s="45" t="e">
        <f>IF($B16-#REF!&lt;0,0,$B16-#REF!)</f>
        <v>#REF!</v>
      </c>
      <c r="Q16" s="45" t="e">
        <f>IF($B16-#REF!&lt;0,0,$B16-#REF!)</f>
        <v>#REF!</v>
      </c>
      <c r="R16" s="45" t="e">
        <f>IF($B16-#REF!&lt;0,0,$B16-#REF!)</f>
        <v>#REF!</v>
      </c>
      <c r="S16" s="45" t="e">
        <f>IF($B16-#REF!&lt;0,0,$B16-#REF!)</f>
        <v>#REF!</v>
      </c>
      <c r="T16" s="45" t="e">
        <f>IF($B16-#REF!&lt;0,0,$B16-#REF!)</f>
        <v>#REF!</v>
      </c>
      <c r="U16" s="45" t="e">
        <f>IF($B16-#REF!&lt;0,0,$B16-#REF!)</f>
        <v>#REF!</v>
      </c>
      <c r="V16" s="45" t="e">
        <f>IF($B16-#REF!&lt;0,0,$B16-#REF!)</f>
        <v>#REF!</v>
      </c>
      <c r="W16" s="45" t="e">
        <f>IF($B16-#REF!&lt;0,0,$B16-#REF!)</f>
        <v>#REF!</v>
      </c>
      <c r="X16" s="45" t="e">
        <f>IF($B16-#REF!&lt;0,0,$B16-#REF!)</f>
        <v>#REF!</v>
      </c>
      <c r="Y16" s="45" t="e">
        <f>IF($B16-#REF!&lt;0,0,$B16-#REF!)</f>
        <v>#REF!</v>
      </c>
      <c r="Z16" s="45" t="e">
        <f>IF($B16-#REF!&lt;0,0,$B16-#REF!)</f>
        <v>#REF!</v>
      </c>
      <c r="AA16" s="45" t="e">
        <f>IF($B16-#REF!&lt;0,0,$B16-#REF!)</f>
        <v>#REF!</v>
      </c>
      <c r="AB16" s="45" t="e">
        <f>IF($B16-#REF!&lt;0,0,$B16-#REF!)</f>
        <v>#REF!</v>
      </c>
      <c r="AC16" s="45" t="e">
        <f>IF($B16-#REF!&lt;0,0,$B16-#REF!)</f>
        <v>#REF!</v>
      </c>
      <c r="AD16" s="45" t="e">
        <f>IF($B16-#REF!&lt;0,0,$B16-#REF!)</f>
        <v>#REF!</v>
      </c>
      <c r="AE16" s="45" t="e">
        <f>IF($B16-#REF!&lt;0,0,$B16-#REF!)</f>
        <v>#REF!</v>
      </c>
      <c r="AF16" s="45" t="e">
        <f>IF($B16-#REF!&lt;0,0,$B16-#REF!)</f>
        <v>#REF!</v>
      </c>
      <c r="AG16" s="45" t="e">
        <f>IF($B16-#REF!&lt;0,0,$B16-#REF!)</f>
        <v>#REF!</v>
      </c>
      <c r="AH16" s="51">
        <v>44</v>
      </c>
      <c r="AI16" s="48" t="e">
        <f>MAX(C16:AH16)</f>
        <v>#REF!</v>
      </c>
      <c r="AJ16" s="49" t="e">
        <f>MIN(C16:AH16)</f>
        <v>#REF!</v>
      </c>
      <c r="AL16" s="170"/>
      <c r="AM16" s="28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</row>
    <row r="17" spans="1:89" x14ac:dyDescent="0.25">
      <c r="A17" s="44" t="s">
        <v>22</v>
      </c>
      <c r="B17" s="207">
        <v>20.5</v>
      </c>
      <c r="C17" s="45" t="e">
        <f>IF($B17-#REF!&lt;0,0,$B17-#REF!)</f>
        <v>#REF!</v>
      </c>
      <c r="D17" s="45" t="e">
        <f>IF($B17-#REF!&lt;0,0,$B17-#REF!)</f>
        <v>#REF!</v>
      </c>
      <c r="E17" s="45" t="e">
        <f>IF($B17-#REF!&lt;0,0,$B17-#REF!)</f>
        <v>#REF!</v>
      </c>
      <c r="F17" s="45" t="e">
        <f>IF($B17-#REF!&lt;0,0,$B17-#REF!)</f>
        <v>#REF!</v>
      </c>
      <c r="G17" s="45" t="e">
        <f>IF($B17-#REF!&lt;0,0,$B17-#REF!)</f>
        <v>#REF!</v>
      </c>
      <c r="H17" s="45" t="e">
        <f>IF($B17-#REF!&lt;0,0,$B17-#REF!)</f>
        <v>#REF!</v>
      </c>
      <c r="I17" s="45" t="e">
        <f>IF($B17-#REF!&lt;0,0,$B17-#REF!)</f>
        <v>#REF!</v>
      </c>
      <c r="J17" s="45" t="e">
        <f>IF($B17-#REF!&lt;0,0,$B17-#REF!)</f>
        <v>#REF!</v>
      </c>
      <c r="K17" s="45" t="e">
        <f>IF($B17-#REF!&lt;0,0,$B17-#REF!)</f>
        <v>#REF!</v>
      </c>
      <c r="L17" s="45" t="e">
        <f>IF($B17-#REF!&lt;0,0,$B17-#REF!)</f>
        <v>#REF!</v>
      </c>
      <c r="M17" s="45" t="e">
        <f>IF($B17-#REF!&lt;0,0,$B17-#REF!)</f>
        <v>#REF!</v>
      </c>
      <c r="N17" s="45" t="e">
        <f>IF($B17-#REF!&lt;0,0,$B17-#REF!)</f>
        <v>#REF!</v>
      </c>
      <c r="O17" s="45" t="e">
        <f>IF($B17-#REF!&lt;0,0,$B17-#REF!)</f>
        <v>#REF!</v>
      </c>
      <c r="P17" s="45" t="e">
        <f>IF($B17-#REF!&lt;0,0,$B17-#REF!)</f>
        <v>#REF!</v>
      </c>
      <c r="Q17" s="45" t="e">
        <f>IF($B17-#REF!&lt;0,0,$B17-#REF!)</f>
        <v>#REF!</v>
      </c>
      <c r="R17" s="45" t="e">
        <f>IF($B17-#REF!&lt;0,0,$B17-#REF!)</f>
        <v>#REF!</v>
      </c>
      <c r="S17" s="45" t="e">
        <f>IF($B17-#REF!&lt;0,0,$B17-#REF!)</f>
        <v>#REF!</v>
      </c>
      <c r="T17" s="45" t="e">
        <f>IF($B17-#REF!&lt;0,0,$B17-#REF!)</f>
        <v>#REF!</v>
      </c>
      <c r="U17" s="45" t="e">
        <f>IF($B17-#REF!&lt;0,0,$B17-#REF!)</f>
        <v>#REF!</v>
      </c>
      <c r="V17" s="45" t="e">
        <f>IF($B17-#REF!&lt;0,0,$B17-#REF!)</f>
        <v>#REF!</v>
      </c>
      <c r="W17" s="45" t="e">
        <f>IF($B17-#REF!&lt;0,0,$B17-#REF!)</f>
        <v>#REF!</v>
      </c>
      <c r="X17" s="45" t="e">
        <f>IF($B17-#REF!&lt;0,0,$B17-#REF!)</f>
        <v>#REF!</v>
      </c>
      <c r="Y17" s="45" t="e">
        <f>IF($B17-#REF!&lt;0,0,$B17-#REF!)</f>
        <v>#REF!</v>
      </c>
      <c r="Z17" s="45" t="e">
        <f>IF($B17-#REF!&lt;0,0,$B17-#REF!)</f>
        <v>#REF!</v>
      </c>
      <c r="AA17" s="45" t="e">
        <f>IF($B17-#REF!&lt;0,0,$B17-#REF!)</f>
        <v>#REF!</v>
      </c>
      <c r="AB17" s="45" t="e">
        <f>IF($B17-#REF!&lt;0,0,$B17-#REF!)</f>
        <v>#REF!</v>
      </c>
      <c r="AC17" s="45" t="e">
        <f>IF($B17-#REF!&lt;0,0,$B17-#REF!)</f>
        <v>#REF!</v>
      </c>
      <c r="AD17" s="45" t="e">
        <f>IF($B17-#REF!&lt;0,0,$B17-#REF!)</f>
        <v>#REF!</v>
      </c>
      <c r="AE17" s="45" t="e">
        <f>IF($B17-#REF!&lt;0,0,$B17-#REF!)</f>
        <v>#REF!</v>
      </c>
      <c r="AF17" s="45" t="e">
        <f>IF($B17-#REF!&lt;0,0,$B17-#REF!)</f>
        <v>#REF!</v>
      </c>
      <c r="AG17" s="45" t="e">
        <f>IF($B17-#REF!&lt;0,0,$B17-#REF!)</f>
        <v>#REF!</v>
      </c>
      <c r="AH17" s="51">
        <v>42</v>
      </c>
      <c r="AI17" s="48" t="e">
        <f t="shared" si="2"/>
        <v>#REF!</v>
      </c>
      <c r="AJ17" s="49" t="e">
        <f t="shared" si="3"/>
        <v>#REF!</v>
      </c>
      <c r="AL17" s="170"/>
      <c r="AM17" s="28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</row>
    <row r="18" spans="1:89" x14ac:dyDescent="0.25">
      <c r="A18" s="44" t="s">
        <v>255</v>
      </c>
      <c r="B18" s="45">
        <v>20.5</v>
      </c>
      <c r="C18" s="45" t="e">
        <f>IF($B18-#REF!&lt;0,0,$B18-#REF!)</f>
        <v>#REF!</v>
      </c>
      <c r="D18" s="45" t="e">
        <f>IF($B18-#REF!&lt;0,0,$B18-#REF!)</f>
        <v>#REF!</v>
      </c>
      <c r="E18" s="45" t="e">
        <f>IF($B18-#REF!&lt;0,0,$B18-#REF!)</f>
        <v>#REF!</v>
      </c>
      <c r="F18" s="45" t="e">
        <f>IF($B18-#REF!&lt;0,0,$B18-#REF!)</f>
        <v>#REF!</v>
      </c>
      <c r="G18" s="45" t="e">
        <f>IF($B18-#REF!&lt;0,0,$B18-#REF!)</f>
        <v>#REF!</v>
      </c>
      <c r="H18" s="45" t="e">
        <f>IF($B18-#REF!&lt;0,0,$B18-#REF!)</f>
        <v>#REF!</v>
      </c>
      <c r="I18" s="45" t="e">
        <f>IF($B18-#REF!&lt;0,0,$B18-#REF!)</f>
        <v>#REF!</v>
      </c>
      <c r="J18" s="45" t="e">
        <f>IF($B18-#REF!&lt;0,0,$B18-#REF!)</f>
        <v>#REF!</v>
      </c>
      <c r="K18" s="45" t="e">
        <f>IF($B18-#REF!&lt;0,0,$B18-#REF!)</f>
        <v>#REF!</v>
      </c>
      <c r="L18" s="45" t="e">
        <f>IF($B18-#REF!&lt;0,0,$B18-#REF!)</f>
        <v>#REF!</v>
      </c>
      <c r="M18" s="45" t="e">
        <f>IF($B18-#REF!&lt;0,0,$B18-#REF!)</f>
        <v>#REF!</v>
      </c>
      <c r="N18" s="45" t="e">
        <f>IF($B18-#REF!&lt;0,0,$B18-#REF!)</f>
        <v>#REF!</v>
      </c>
      <c r="O18" s="45" t="e">
        <f>IF($B18-#REF!&lt;0,0,$B18-#REF!)</f>
        <v>#REF!</v>
      </c>
      <c r="P18" s="45" t="e">
        <f>IF($B18-#REF!&lt;0,0,$B18-#REF!)</f>
        <v>#REF!</v>
      </c>
      <c r="Q18" s="45" t="e">
        <f>IF($B18-#REF!&lt;0,0,$B18-#REF!)</f>
        <v>#REF!</v>
      </c>
      <c r="R18" s="45" t="e">
        <f>IF($B18-#REF!&lt;0,0,$B18-#REF!)</f>
        <v>#REF!</v>
      </c>
      <c r="S18" s="45" t="e">
        <f>IF($B18-#REF!&lt;0,0,$B18-#REF!)</f>
        <v>#REF!</v>
      </c>
      <c r="T18" s="45" t="e">
        <f>IF($B18-#REF!&lt;0,0,$B18-#REF!)</f>
        <v>#REF!</v>
      </c>
      <c r="U18" s="45" t="e">
        <f>IF($B18-#REF!&lt;0,0,$B18-#REF!)</f>
        <v>#REF!</v>
      </c>
      <c r="V18" s="45" t="e">
        <f>IF($B18-#REF!&lt;0,0,$B18-#REF!)</f>
        <v>#REF!</v>
      </c>
      <c r="W18" s="45" t="e">
        <f>IF($B18-#REF!&lt;0,0,$B18-#REF!)</f>
        <v>#REF!</v>
      </c>
      <c r="X18" s="45" t="e">
        <f>IF($B18-#REF!&lt;0,0,$B18-#REF!)</f>
        <v>#REF!</v>
      </c>
      <c r="Y18" s="45" t="e">
        <f>IF($B18-#REF!&lt;0,0,$B18-#REF!)</f>
        <v>#REF!</v>
      </c>
      <c r="Z18" s="45" t="e">
        <f>IF($B18-#REF!&lt;0,0,$B18-#REF!)</f>
        <v>#REF!</v>
      </c>
      <c r="AA18" s="45" t="e">
        <f>IF($B18-#REF!&lt;0,0,$B18-#REF!)</f>
        <v>#REF!</v>
      </c>
      <c r="AB18" s="45" t="e">
        <f>IF($B18-#REF!&lt;0,0,$B18-#REF!)</f>
        <v>#REF!</v>
      </c>
      <c r="AC18" s="45" t="e">
        <f>IF($B18-#REF!&lt;0,0,$B18-#REF!)</f>
        <v>#REF!</v>
      </c>
      <c r="AD18" s="45" t="e">
        <f>IF($B18-#REF!&lt;0,0,$B18-#REF!)</f>
        <v>#REF!</v>
      </c>
      <c r="AE18" s="45" t="e">
        <f>IF($B18-#REF!&lt;0,0,$B18-#REF!)</f>
        <v>#REF!</v>
      </c>
      <c r="AF18" s="45" t="e">
        <f>IF($B18-#REF!&lt;0,0,$B18-#REF!)</f>
        <v>#REF!</v>
      </c>
      <c r="AG18" s="45" t="e">
        <f>IF($B18-#REF!&lt;0,0,$B18-#REF!)</f>
        <v>#REF!</v>
      </c>
      <c r="AH18" s="51">
        <v>38.46</v>
      </c>
      <c r="AI18" s="48" t="e">
        <f t="shared" si="2"/>
        <v>#REF!</v>
      </c>
      <c r="AJ18" s="49" t="e">
        <f t="shared" si="3"/>
        <v>#REF!</v>
      </c>
      <c r="AL18" s="170"/>
      <c r="AM18" s="28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</row>
    <row r="19" spans="1:89" x14ac:dyDescent="0.25">
      <c r="A19" s="44" t="s">
        <v>256</v>
      </c>
      <c r="B19" s="45">
        <v>22</v>
      </c>
      <c r="C19" s="45" t="e">
        <f>IF($B19-#REF!&lt;0,0,$B19-#REF!)</f>
        <v>#REF!</v>
      </c>
      <c r="D19" s="45" t="e">
        <f>IF($B19-#REF!&lt;0,0,$B19-#REF!)</f>
        <v>#REF!</v>
      </c>
      <c r="E19" s="45" t="e">
        <f>IF($B19-#REF!&lt;0,0,$B19-#REF!)</f>
        <v>#REF!</v>
      </c>
      <c r="F19" s="45" t="e">
        <f>IF($B19-#REF!&lt;0,0,$B19-#REF!)</f>
        <v>#REF!</v>
      </c>
      <c r="G19" s="45" t="e">
        <f>IF($B19-#REF!&lt;0,0,$B19-#REF!)</f>
        <v>#REF!</v>
      </c>
      <c r="H19" s="45" t="e">
        <f>IF($B19-#REF!&lt;0,0,$B19-#REF!)</f>
        <v>#REF!</v>
      </c>
      <c r="I19" s="45" t="e">
        <f>IF($B19-#REF!&lt;0,0,$B19-#REF!)</f>
        <v>#REF!</v>
      </c>
      <c r="J19" s="45" t="e">
        <f>IF($B19-#REF!&lt;0,0,$B19-#REF!)</f>
        <v>#REF!</v>
      </c>
      <c r="K19" s="45" t="e">
        <f>IF($B19-#REF!&lt;0,0,$B19-#REF!)</f>
        <v>#REF!</v>
      </c>
      <c r="L19" s="45" t="e">
        <f>IF($B19-#REF!&lt;0,0,$B19-#REF!)</f>
        <v>#REF!</v>
      </c>
      <c r="M19" s="45" t="e">
        <f>IF($B19-#REF!&lt;0,0,$B19-#REF!)</f>
        <v>#REF!</v>
      </c>
      <c r="N19" s="45" t="e">
        <f>IF($B19-#REF!&lt;0,0,$B19-#REF!)</f>
        <v>#REF!</v>
      </c>
      <c r="O19" s="45" t="e">
        <f>IF($B19-#REF!&lt;0,0,$B19-#REF!)</f>
        <v>#REF!</v>
      </c>
      <c r="P19" s="45" t="e">
        <f>IF($B19-#REF!&lt;0,0,$B19-#REF!)</f>
        <v>#REF!</v>
      </c>
      <c r="Q19" s="45" t="e">
        <f>IF($B19-#REF!&lt;0,0,$B19-#REF!)</f>
        <v>#REF!</v>
      </c>
      <c r="R19" s="45" t="e">
        <f>IF($B19-#REF!&lt;0,0,$B19-#REF!)</f>
        <v>#REF!</v>
      </c>
      <c r="S19" s="45" t="e">
        <f>IF($B19-#REF!&lt;0,0,$B19-#REF!)</f>
        <v>#REF!</v>
      </c>
      <c r="T19" s="45" t="e">
        <f>IF($B19-#REF!&lt;0,0,$B19-#REF!)</f>
        <v>#REF!</v>
      </c>
      <c r="U19" s="45" t="e">
        <f>IF($B19-#REF!&lt;0,0,$B19-#REF!)</f>
        <v>#REF!</v>
      </c>
      <c r="V19" s="45" t="e">
        <f>IF($B19-#REF!&lt;0,0,$B19-#REF!)</f>
        <v>#REF!</v>
      </c>
      <c r="W19" s="45" t="e">
        <f>IF($B19-#REF!&lt;0,0,$B19-#REF!)</f>
        <v>#REF!</v>
      </c>
      <c r="X19" s="45" t="e">
        <f>IF($B19-#REF!&lt;0,0,$B19-#REF!)</f>
        <v>#REF!</v>
      </c>
      <c r="Y19" s="45" t="e">
        <f>IF($B19-#REF!&lt;0,0,$B19-#REF!)</f>
        <v>#REF!</v>
      </c>
      <c r="Z19" s="45" t="e">
        <f>IF($B19-#REF!&lt;0,0,$B19-#REF!)</f>
        <v>#REF!</v>
      </c>
      <c r="AA19" s="45" t="e">
        <f>IF($B19-#REF!&lt;0,0,$B19-#REF!)</f>
        <v>#REF!</v>
      </c>
      <c r="AB19" s="45" t="e">
        <f>IF($B19-#REF!&lt;0,0,$B19-#REF!)</f>
        <v>#REF!</v>
      </c>
      <c r="AC19" s="45" t="e">
        <f>IF($B19-#REF!&lt;0,0,$B19-#REF!)</f>
        <v>#REF!</v>
      </c>
      <c r="AD19" s="45" t="e">
        <f>IF($B19-#REF!&lt;0,0,$B19-#REF!)</f>
        <v>#REF!</v>
      </c>
      <c r="AE19" s="45" t="e">
        <f>IF($B19-#REF!&lt;0,0,$B19-#REF!)</f>
        <v>#REF!</v>
      </c>
      <c r="AF19" s="45" t="e">
        <f>IF($B19-#REF!&lt;0,0,$B19-#REF!)</f>
        <v>#REF!</v>
      </c>
      <c r="AG19" s="45" t="e">
        <f>IF($B19-#REF!&lt;0,0,$B19-#REF!)</f>
        <v>#REF!</v>
      </c>
      <c r="AH19" s="51">
        <v>36</v>
      </c>
      <c r="AI19" s="48" t="e">
        <f t="shared" si="2"/>
        <v>#REF!</v>
      </c>
      <c r="AJ19" s="49" t="e">
        <f t="shared" si="3"/>
        <v>#REF!</v>
      </c>
      <c r="AL19" s="170"/>
      <c r="AM19" s="28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</row>
    <row r="20" spans="1:89" x14ac:dyDescent="0.25">
      <c r="A20" s="44" t="s">
        <v>23</v>
      </c>
      <c r="B20" s="45">
        <v>22</v>
      </c>
      <c r="C20" s="45" t="e">
        <f>IF($B20-#REF!&lt;0,0,$B20-#REF!)</f>
        <v>#REF!</v>
      </c>
      <c r="D20" s="45" t="e">
        <f>IF($B20-#REF!&lt;0,0,$B20-#REF!)</f>
        <v>#REF!</v>
      </c>
      <c r="E20" s="45" t="e">
        <f>IF($B20-#REF!&lt;0,0,$B20-#REF!)</f>
        <v>#REF!</v>
      </c>
      <c r="F20" s="45" t="e">
        <f>IF($B20-#REF!&lt;0,0,$B20-#REF!)</f>
        <v>#REF!</v>
      </c>
      <c r="G20" s="45" t="e">
        <f>IF($B20-#REF!&lt;0,0,$B20-#REF!)</f>
        <v>#REF!</v>
      </c>
      <c r="H20" s="45" t="e">
        <f>IF($B20-#REF!&lt;0,0,$B20-#REF!)</f>
        <v>#REF!</v>
      </c>
      <c r="I20" s="45" t="e">
        <f>IF($B20-#REF!&lt;0,0,$B20-#REF!)</f>
        <v>#REF!</v>
      </c>
      <c r="J20" s="45" t="e">
        <f>IF($B20-#REF!&lt;0,0,$B20-#REF!)</f>
        <v>#REF!</v>
      </c>
      <c r="K20" s="45" t="e">
        <f>IF($B20-#REF!&lt;0,0,$B20-#REF!)</f>
        <v>#REF!</v>
      </c>
      <c r="L20" s="45" t="e">
        <f>IF($B20-#REF!&lt;0,0,$B20-#REF!)</f>
        <v>#REF!</v>
      </c>
      <c r="M20" s="45" t="e">
        <f>IF($B20-#REF!&lt;0,0,$B20-#REF!)</f>
        <v>#REF!</v>
      </c>
      <c r="N20" s="45" t="e">
        <f>IF($B20-#REF!&lt;0,0,$B20-#REF!)</f>
        <v>#REF!</v>
      </c>
      <c r="O20" s="45" t="e">
        <f>IF($B20-#REF!&lt;0,0,$B20-#REF!)</f>
        <v>#REF!</v>
      </c>
      <c r="P20" s="45" t="e">
        <f>IF($B20-#REF!&lt;0,0,$B20-#REF!)</f>
        <v>#REF!</v>
      </c>
      <c r="Q20" s="45" t="e">
        <f>IF($B20-#REF!&lt;0,0,$B20-#REF!)</f>
        <v>#REF!</v>
      </c>
      <c r="R20" s="45" t="e">
        <f>IF($B20-#REF!&lt;0,0,$B20-#REF!)</f>
        <v>#REF!</v>
      </c>
      <c r="S20" s="45" t="e">
        <f>IF($B20-#REF!&lt;0,0,$B20-#REF!)</f>
        <v>#REF!</v>
      </c>
      <c r="T20" s="45" t="e">
        <f>IF($B20-#REF!&lt;0,0,$B20-#REF!)</f>
        <v>#REF!</v>
      </c>
      <c r="U20" s="45" t="e">
        <f>IF($B20-#REF!&lt;0,0,$B20-#REF!)</f>
        <v>#REF!</v>
      </c>
      <c r="V20" s="45" t="e">
        <f>IF($B20-#REF!&lt;0,0,$B20-#REF!)</f>
        <v>#REF!</v>
      </c>
      <c r="W20" s="45" t="e">
        <f>IF($B20-#REF!&lt;0,0,$B20-#REF!)</f>
        <v>#REF!</v>
      </c>
      <c r="X20" s="45" t="e">
        <f>IF($B20-#REF!&lt;0,0,$B20-#REF!)</f>
        <v>#REF!</v>
      </c>
      <c r="Y20" s="45" t="e">
        <f>IF($B20-#REF!&lt;0,0,$B20-#REF!)</f>
        <v>#REF!</v>
      </c>
      <c r="Z20" s="45" t="e">
        <f>IF($B20-#REF!&lt;0,0,$B20-#REF!)</f>
        <v>#REF!</v>
      </c>
      <c r="AA20" s="45" t="e">
        <f>IF($B20-#REF!&lt;0,0,$B20-#REF!)</f>
        <v>#REF!</v>
      </c>
      <c r="AB20" s="45" t="e">
        <f>IF($B20-#REF!&lt;0,0,$B20-#REF!)</f>
        <v>#REF!</v>
      </c>
      <c r="AC20" s="45" t="e">
        <f>IF($B20-#REF!&lt;0,0,$B20-#REF!)</f>
        <v>#REF!</v>
      </c>
      <c r="AD20" s="45" t="e">
        <f>IF($B20-#REF!&lt;0,0,$B20-#REF!)</f>
        <v>#REF!</v>
      </c>
      <c r="AE20" s="45" t="e">
        <f>IF($B20-#REF!&lt;0,0,$B20-#REF!)</f>
        <v>#REF!</v>
      </c>
      <c r="AF20" s="45" t="e">
        <f>IF($B20-#REF!&lt;0,0,$B20-#REF!)</f>
        <v>#REF!</v>
      </c>
      <c r="AG20" s="45" t="e">
        <f>IF($B20-#REF!&lt;0,0,$B20-#REF!)</f>
        <v>#REF!</v>
      </c>
      <c r="AH20" s="52">
        <v>30</v>
      </c>
      <c r="AI20" s="48" t="e">
        <f t="shared" si="2"/>
        <v>#REF!</v>
      </c>
      <c r="AJ20" s="49" t="e">
        <f t="shared" si="3"/>
        <v>#REF!</v>
      </c>
      <c r="AL20" s="170"/>
      <c r="AM20" s="28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</row>
    <row r="21" spans="1:89" x14ac:dyDescent="0.25">
      <c r="A21" s="44" t="s">
        <v>24</v>
      </c>
      <c r="B21" s="45">
        <v>18.8</v>
      </c>
      <c r="C21" s="45" t="e">
        <f>IF($B21-#REF!&lt;0,0,$B21-#REF!)</f>
        <v>#REF!</v>
      </c>
      <c r="D21" s="45" t="e">
        <f>IF($B21-#REF!&lt;0,0,$B21-#REF!)</f>
        <v>#REF!</v>
      </c>
      <c r="E21" s="45" t="e">
        <f>IF($B21-#REF!&lt;0,0,$B21-#REF!)</f>
        <v>#REF!</v>
      </c>
      <c r="F21" s="45" t="e">
        <f>IF($B21-#REF!&lt;0,0,$B21-#REF!)</f>
        <v>#REF!</v>
      </c>
      <c r="G21" s="45" t="e">
        <f>IF($B21-#REF!&lt;0,0,$B21-#REF!)</f>
        <v>#REF!</v>
      </c>
      <c r="H21" s="45" t="e">
        <f>IF($B21-#REF!&lt;0,0,$B21-#REF!)</f>
        <v>#REF!</v>
      </c>
      <c r="I21" s="45" t="e">
        <f>IF($B21-#REF!&lt;0,0,$B21-#REF!)</f>
        <v>#REF!</v>
      </c>
      <c r="J21" s="45" t="e">
        <f>IF($B21-#REF!&lt;0,0,$B21-#REF!)</f>
        <v>#REF!</v>
      </c>
      <c r="K21" s="45" t="e">
        <f>IF($B21-#REF!&lt;0,0,$B21-#REF!)</f>
        <v>#REF!</v>
      </c>
      <c r="L21" s="45" t="e">
        <f>IF($B21-#REF!&lt;0,0,$B21-#REF!)</f>
        <v>#REF!</v>
      </c>
      <c r="M21" s="45" t="e">
        <f>IF($B21-#REF!&lt;0,0,$B21-#REF!)</f>
        <v>#REF!</v>
      </c>
      <c r="N21" s="45" t="e">
        <f>IF($B21-#REF!&lt;0,0,$B21-#REF!)</f>
        <v>#REF!</v>
      </c>
      <c r="O21" s="45" t="e">
        <f>IF($B21-#REF!&lt;0,0,$B21-#REF!)</f>
        <v>#REF!</v>
      </c>
      <c r="P21" s="45" t="e">
        <f>IF($B21-#REF!&lt;0,0,$B21-#REF!)</f>
        <v>#REF!</v>
      </c>
      <c r="Q21" s="45" t="e">
        <f>IF($B21-#REF!&lt;0,0,$B21-#REF!)</f>
        <v>#REF!</v>
      </c>
      <c r="R21" s="45" t="e">
        <f>IF($B21-#REF!&lt;0,0,$B21-#REF!)</f>
        <v>#REF!</v>
      </c>
      <c r="S21" s="45" t="e">
        <f>IF($B21-#REF!&lt;0,0,$B21-#REF!)</f>
        <v>#REF!</v>
      </c>
      <c r="T21" s="45" t="e">
        <f>IF($B21-#REF!&lt;0,0,$B21-#REF!)</f>
        <v>#REF!</v>
      </c>
      <c r="U21" s="45" t="e">
        <f>IF($B21-#REF!&lt;0,0,$B21-#REF!)</f>
        <v>#REF!</v>
      </c>
      <c r="V21" s="45" t="e">
        <f>IF($B21-#REF!&lt;0,0,$B21-#REF!)</f>
        <v>#REF!</v>
      </c>
      <c r="W21" s="45" t="e">
        <f>IF($B21-#REF!&lt;0,0,$B21-#REF!)</f>
        <v>#REF!</v>
      </c>
      <c r="X21" s="45" t="e">
        <f>IF($B21-#REF!&lt;0,0,$B21-#REF!)</f>
        <v>#REF!</v>
      </c>
      <c r="Y21" s="45" t="e">
        <f>IF($B21-#REF!&lt;0,0,$B21-#REF!)</f>
        <v>#REF!</v>
      </c>
      <c r="Z21" s="45" t="e">
        <f>IF($B21-#REF!&lt;0,0,$B21-#REF!)</f>
        <v>#REF!</v>
      </c>
      <c r="AA21" s="45" t="e">
        <f>IF($B21-#REF!&lt;0,0,$B21-#REF!)</f>
        <v>#REF!</v>
      </c>
      <c r="AB21" s="45" t="e">
        <f>IF($B21-#REF!&lt;0,0,$B21-#REF!)</f>
        <v>#REF!</v>
      </c>
      <c r="AC21" s="45" t="e">
        <f>IF($B21-#REF!&lt;0,0,$B21-#REF!)</f>
        <v>#REF!</v>
      </c>
      <c r="AD21" s="45" t="e">
        <f>IF($B21-#REF!&lt;0,0,$B21-#REF!)</f>
        <v>#REF!</v>
      </c>
      <c r="AE21" s="45" t="e">
        <f>IF($B21-#REF!&lt;0,0,$B21-#REF!)</f>
        <v>#REF!</v>
      </c>
      <c r="AF21" s="45" t="e">
        <f>IF($B21-#REF!&lt;0,0,$B21-#REF!)</f>
        <v>#REF!</v>
      </c>
      <c r="AG21" s="45" t="e">
        <f>IF($B21-#REF!&lt;0,0,$B21-#REF!)</f>
        <v>#REF!</v>
      </c>
      <c r="AH21" s="51">
        <v>24.2</v>
      </c>
      <c r="AI21" s="48" t="e">
        <f t="shared" si="2"/>
        <v>#REF!</v>
      </c>
      <c r="AJ21" s="49" t="e">
        <f t="shared" si="3"/>
        <v>#REF!</v>
      </c>
      <c r="AL21" s="170"/>
      <c r="AM21" s="28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</row>
    <row r="22" spans="1:89" x14ac:dyDescent="0.25">
      <c r="A22" s="44" t="s">
        <v>257</v>
      </c>
      <c r="B22" s="45">
        <v>20</v>
      </c>
      <c r="C22" s="45" t="e">
        <f>IF($B22-#REF!&lt;0,0,$B22-#REF!)</f>
        <v>#REF!</v>
      </c>
      <c r="D22" s="45" t="e">
        <f>IF($B22-#REF!&lt;0,0,$B22-#REF!)</f>
        <v>#REF!</v>
      </c>
      <c r="E22" s="45" t="e">
        <f>IF($B22-#REF!&lt;0,0,$B22-#REF!)</f>
        <v>#REF!</v>
      </c>
      <c r="F22" s="45" t="e">
        <f>IF($B22-#REF!&lt;0,0,$B22-#REF!)</f>
        <v>#REF!</v>
      </c>
      <c r="G22" s="45" t="e">
        <f>IF($B22-#REF!&lt;0,0,$B22-#REF!)</f>
        <v>#REF!</v>
      </c>
      <c r="H22" s="45" t="e">
        <f>IF($B22-#REF!&lt;0,0,$B22-#REF!)</f>
        <v>#REF!</v>
      </c>
      <c r="I22" s="45" t="e">
        <f>IF($B22-#REF!&lt;0,0,$B22-#REF!)</f>
        <v>#REF!</v>
      </c>
      <c r="J22" s="45" t="e">
        <f>IF($B22-#REF!&lt;0,0,$B22-#REF!)</f>
        <v>#REF!</v>
      </c>
      <c r="K22" s="45" t="e">
        <f>IF($B22-#REF!&lt;0,0,$B22-#REF!)</f>
        <v>#REF!</v>
      </c>
      <c r="L22" s="45" t="e">
        <f>IF($B22-#REF!&lt;0,0,$B22-#REF!)</f>
        <v>#REF!</v>
      </c>
      <c r="M22" s="45" t="e">
        <f>IF($B22-#REF!&lt;0,0,$B22-#REF!)</f>
        <v>#REF!</v>
      </c>
      <c r="N22" s="45" t="e">
        <f>IF($B22-#REF!&lt;0,0,$B22-#REF!)</f>
        <v>#REF!</v>
      </c>
      <c r="O22" s="45" t="e">
        <f>IF($B22-#REF!&lt;0,0,$B22-#REF!)</f>
        <v>#REF!</v>
      </c>
      <c r="P22" s="45" t="e">
        <f>IF($B22-#REF!&lt;0,0,$B22-#REF!)</f>
        <v>#REF!</v>
      </c>
      <c r="Q22" s="45" t="e">
        <f>IF($B22-#REF!&lt;0,0,$B22-#REF!)</f>
        <v>#REF!</v>
      </c>
      <c r="R22" s="45" t="e">
        <f>IF($B22-#REF!&lt;0,0,$B22-#REF!)</f>
        <v>#REF!</v>
      </c>
      <c r="S22" s="45" t="e">
        <f>IF($B22-#REF!&lt;0,0,$B22-#REF!)</f>
        <v>#REF!</v>
      </c>
      <c r="T22" s="45" t="e">
        <f>IF($B22-#REF!&lt;0,0,$B22-#REF!)</f>
        <v>#REF!</v>
      </c>
      <c r="U22" s="45" t="e">
        <f>IF($B22-#REF!&lt;0,0,$B22-#REF!)</f>
        <v>#REF!</v>
      </c>
      <c r="V22" s="45" t="e">
        <f>IF($B22-#REF!&lt;0,0,$B22-#REF!)</f>
        <v>#REF!</v>
      </c>
      <c r="W22" s="45" t="e">
        <f>IF($B22-#REF!&lt;0,0,$B22-#REF!)</f>
        <v>#REF!</v>
      </c>
      <c r="X22" s="45" t="e">
        <f>IF($B22-#REF!&lt;0,0,$B22-#REF!)</f>
        <v>#REF!</v>
      </c>
      <c r="Y22" s="45" t="e">
        <f>IF($B22-#REF!&lt;0,0,$B22-#REF!)</f>
        <v>#REF!</v>
      </c>
      <c r="Z22" s="45" t="e">
        <f>IF($B22-#REF!&lt;0,0,$B22-#REF!)</f>
        <v>#REF!</v>
      </c>
      <c r="AA22" s="45" t="e">
        <f>IF($B22-#REF!&lt;0,0,$B22-#REF!)</f>
        <v>#REF!</v>
      </c>
      <c r="AB22" s="45" t="e">
        <f>IF($B22-#REF!&lt;0,0,$B22-#REF!)</f>
        <v>#REF!</v>
      </c>
      <c r="AC22" s="45" t="e">
        <f>IF($B22-#REF!&lt;0,0,$B22-#REF!)</f>
        <v>#REF!</v>
      </c>
      <c r="AD22" s="45" t="e">
        <f>IF($B22-#REF!&lt;0,0,$B22-#REF!)</f>
        <v>#REF!</v>
      </c>
      <c r="AE22" s="45" t="e">
        <f>IF($B22-#REF!&lt;0,0,$B22-#REF!)</f>
        <v>#REF!</v>
      </c>
      <c r="AF22" s="45" t="e">
        <f>IF($B22-#REF!&lt;0,0,$B22-#REF!)</f>
        <v>#REF!</v>
      </c>
      <c r="AG22" s="45" t="e">
        <f>IF($B22-#REF!&lt;0,0,$B22-#REF!)</f>
        <v>#REF!</v>
      </c>
      <c r="AH22" s="51">
        <v>28</v>
      </c>
      <c r="AI22" s="48" t="e">
        <f t="shared" si="2"/>
        <v>#REF!</v>
      </c>
      <c r="AJ22" s="49" t="e">
        <f t="shared" si="3"/>
        <v>#REF!</v>
      </c>
      <c r="AL22" s="170"/>
      <c r="AM22" s="28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</row>
    <row r="23" spans="1:89" x14ac:dyDescent="0.25">
      <c r="A23" s="44" t="s">
        <v>25</v>
      </c>
      <c r="B23" s="45">
        <v>23</v>
      </c>
      <c r="C23" s="45" t="e">
        <f>IF($B23-#REF!&lt;0,0,$B23-#REF!)</f>
        <v>#REF!</v>
      </c>
      <c r="D23" s="45" t="e">
        <f>IF($B23-#REF!&lt;0,0,$B23-#REF!)</f>
        <v>#REF!</v>
      </c>
      <c r="E23" s="45" t="e">
        <f>IF($B23-#REF!&lt;0,0,$B23-#REF!)</f>
        <v>#REF!</v>
      </c>
      <c r="F23" s="45" t="e">
        <f>IF($B23-#REF!&lt;0,0,$B23-#REF!)</f>
        <v>#REF!</v>
      </c>
      <c r="G23" s="45" t="e">
        <f>IF($B23-#REF!&lt;0,0,$B23-#REF!)</f>
        <v>#REF!</v>
      </c>
      <c r="H23" s="45" t="e">
        <f>IF($B23-#REF!&lt;0,0,$B23-#REF!)</f>
        <v>#REF!</v>
      </c>
      <c r="I23" s="45" t="e">
        <f>IF($B23-#REF!&lt;0,0,$B23-#REF!)</f>
        <v>#REF!</v>
      </c>
      <c r="J23" s="45" t="e">
        <f>IF($B23-#REF!&lt;0,0,$B23-#REF!)</f>
        <v>#REF!</v>
      </c>
      <c r="K23" s="45" t="e">
        <f>IF($B23-#REF!&lt;0,0,$B23-#REF!)</f>
        <v>#REF!</v>
      </c>
      <c r="L23" s="45" t="e">
        <f>IF($B23-#REF!&lt;0,0,$B23-#REF!)</f>
        <v>#REF!</v>
      </c>
      <c r="M23" s="45" t="e">
        <f>IF($B23-#REF!&lt;0,0,$B23-#REF!)</f>
        <v>#REF!</v>
      </c>
      <c r="N23" s="45" t="e">
        <f>IF($B23-#REF!&lt;0,0,$B23-#REF!)</f>
        <v>#REF!</v>
      </c>
      <c r="O23" s="45" t="e">
        <f>IF($B23-#REF!&lt;0,0,$B23-#REF!)</f>
        <v>#REF!</v>
      </c>
      <c r="P23" s="45" t="e">
        <f>IF($B23-#REF!&lt;0,0,$B23-#REF!)</f>
        <v>#REF!</v>
      </c>
      <c r="Q23" s="45" t="e">
        <f>IF($B23-#REF!&lt;0,0,$B23-#REF!)</f>
        <v>#REF!</v>
      </c>
      <c r="R23" s="45" t="e">
        <f>IF($B23-#REF!&lt;0,0,$B23-#REF!)</f>
        <v>#REF!</v>
      </c>
      <c r="S23" s="45" t="e">
        <f>IF($B23-#REF!&lt;0,0,$B23-#REF!)</f>
        <v>#REF!</v>
      </c>
      <c r="T23" s="45" t="e">
        <f>IF($B23-#REF!&lt;0,0,$B23-#REF!)</f>
        <v>#REF!</v>
      </c>
      <c r="U23" s="45" t="e">
        <f>IF($B23-#REF!&lt;0,0,$B23-#REF!)</f>
        <v>#REF!</v>
      </c>
      <c r="V23" s="45" t="e">
        <f>IF($B23-#REF!&lt;0,0,$B23-#REF!)</f>
        <v>#REF!</v>
      </c>
      <c r="W23" s="45" t="e">
        <f>IF($B23-#REF!&lt;0,0,$B23-#REF!)</f>
        <v>#REF!</v>
      </c>
      <c r="X23" s="45" t="e">
        <f>IF($B23-#REF!&lt;0,0,$B23-#REF!)</f>
        <v>#REF!</v>
      </c>
      <c r="Y23" s="45" t="e">
        <f>IF($B23-#REF!&lt;0,0,$B23-#REF!)</f>
        <v>#REF!</v>
      </c>
      <c r="Z23" s="45" t="e">
        <f>IF($B23-#REF!&lt;0,0,$B23-#REF!)</f>
        <v>#REF!</v>
      </c>
      <c r="AA23" s="45" t="e">
        <f>IF($B23-#REF!&lt;0,0,$B23-#REF!)</f>
        <v>#REF!</v>
      </c>
      <c r="AB23" s="45" t="e">
        <f>IF($B23-#REF!&lt;0,0,$B23-#REF!)</f>
        <v>#REF!</v>
      </c>
      <c r="AC23" s="45" t="e">
        <f>IF($B23-#REF!&lt;0,0,$B23-#REF!)</f>
        <v>#REF!</v>
      </c>
      <c r="AD23" s="45" t="e">
        <f>IF($B23-#REF!&lt;0,0,$B23-#REF!)</f>
        <v>#REF!</v>
      </c>
      <c r="AE23" s="45" t="e">
        <f>IF($B23-#REF!&lt;0,0,$B23-#REF!)</f>
        <v>#REF!</v>
      </c>
      <c r="AF23" s="45" t="e">
        <f>IF($B23-#REF!&lt;0,0,$B23-#REF!)</f>
        <v>#REF!</v>
      </c>
      <c r="AG23" s="45" t="e">
        <f>IF($B23-#REF!&lt;0,0,$B23-#REF!)</f>
        <v>#REF!</v>
      </c>
      <c r="AH23" s="52">
        <v>30</v>
      </c>
      <c r="AI23" s="48" t="e">
        <f t="shared" si="2"/>
        <v>#REF!</v>
      </c>
      <c r="AJ23" s="49" t="e">
        <f t="shared" si="3"/>
        <v>#REF!</v>
      </c>
      <c r="AL23" s="170"/>
      <c r="AM23" s="28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</row>
    <row r="24" spans="1:89" x14ac:dyDescent="0.25">
      <c r="A24" s="44" t="s">
        <v>26</v>
      </c>
      <c r="B24" s="45">
        <v>22.3</v>
      </c>
      <c r="C24" s="45" t="e">
        <f>IF($B24-#REF!&lt;0,0,$B24-#REF!)</f>
        <v>#REF!</v>
      </c>
      <c r="D24" s="45" t="e">
        <f>IF($B24-#REF!&lt;0,0,$B24-#REF!)</f>
        <v>#REF!</v>
      </c>
      <c r="E24" s="45" t="e">
        <f>IF($B24-#REF!&lt;0,0,$B24-#REF!)</f>
        <v>#REF!</v>
      </c>
      <c r="F24" s="45" t="e">
        <f>IF($B24-#REF!&lt;0,0,$B24-#REF!)</f>
        <v>#REF!</v>
      </c>
      <c r="G24" s="45" t="e">
        <f>IF($B24-#REF!&lt;0,0,$B24-#REF!)</f>
        <v>#REF!</v>
      </c>
      <c r="H24" s="45" t="e">
        <f>IF($B24-#REF!&lt;0,0,$B24-#REF!)</f>
        <v>#REF!</v>
      </c>
      <c r="I24" s="45" t="e">
        <f>IF($B24-#REF!&lt;0,0,$B24-#REF!)</f>
        <v>#REF!</v>
      </c>
      <c r="J24" s="45" t="e">
        <f>IF($B24-#REF!&lt;0,0,$B24-#REF!)</f>
        <v>#REF!</v>
      </c>
      <c r="K24" s="45" t="e">
        <f>IF($B24-#REF!&lt;0,0,$B24-#REF!)</f>
        <v>#REF!</v>
      </c>
      <c r="L24" s="45" t="e">
        <f>IF($B24-#REF!&lt;0,0,$B24-#REF!)</f>
        <v>#REF!</v>
      </c>
      <c r="M24" s="45" t="e">
        <f>IF($B24-#REF!&lt;0,0,$B24-#REF!)</f>
        <v>#REF!</v>
      </c>
      <c r="N24" s="45" t="e">
        <f>IF($B24-#REF!&lt;0,0,$B24-#REF!)</f>
        <v>#REF!</v>
      </c>
      <c r="O24" s="45" t="e">
        <f>IF($B24-#REF!&lt;0,0,$B24-#REF!)</f>
        <v>#REF!</v>
      </c>
      <c r="P24" s="45" t="e">
        <f>IF($B24-#REF!&lt;0,0,$B24-#REF!)</f>
        <v>#REF!</v>
      </c>
      <c r="Q24" s="45" t="e">
        <f>IF($B24-#REF!&lt;0,0,$B24-#REF!)</f>
        <v>#REF!</v>
      </c>
      <c r="R24" s="45" t="e">
        <f>IF($B24-#REF!&lt;0,0,$B24-#REF!)</f>
        <v>#REF!</v>
      </c>
      <c r="S24" s="45" t="e">
        <f>IF($B24-#REF!&lt;0,0,$B24-#REF!)</f>
        <v>#REF!</v>
      </c>
      <c r="T24" s="45" t="e">
        <f>IF($B24-#REF!&lt;0,0,$B24-#REF!)</f>
        <v>#REF!</v>
      </c>
      <c r="U24" s="45" t="e">
        <f>IF($B24-#REF!&lt;0,0,$B24-#REF!)</f>
        <v>#REF!</v>
      </c>
      <c r="V24" s="45" t="e">
        <f>IF($B24-#REF!&lt;0,0,$B24-#REF!)</f>
        <v>#REF!</v>
      </c>
      <c r="W24" s="45" t="e">
        <f>IF($B24-#REF!&lt;0,0,$B24-#REF!)</f>
        <v>#REF!</v>
      </c>
      <c r="X24" s="45" t="e">
        <f>IF($B24-#REF!&lt;0,0,$B24-#REF!)</f>
        <v>#REF!</v>
      </c>
      <c r="Y24" s="45" t="e">
        <f>IF($B24-#REF!&lt;0,0,$B24-#REF!)</f>
        <v>#REF!</v>
      </c>
      <c r="Z24" s="45" t="e">
        <f>IF($B24-#REF!&lt;0,0,$B24-#REF!)</f>
        <v>#REF!</v>
      </c>
      <c r="AA24" s="45" t="e">
        <f>IF($B24-#REF!&lt;0,0,$B24-#REF!)</f>
        <v>#REF!</v>
      </c>
      <c r="AB24" s="45" t="e">
        <f>IF($B24-#REF!&lt;0,0,$B24-#REF!)</f>
        <v>#REF!</v>
      </c>
      <c r="AC24" s="45" t="e">
        <f>IF($B24-#REF!&lt;0,0,$B24-#REF!)</f>
        <v>#REF!</v>
      </c>
      <c r="AD24" s="45" t="e">
        <f>IF($B24-#REF!&lt;0,0,$B24-#REF!)</f>
        <v>#REF!</v>
      </c>
      <c r="AE24" s="45" t="e">
        <f>IF($B24-#REF!&lt;0,0,$B24-#REF!)</f>
        <v>#REF!</v>
      </c>
      <c r="AF24" s="45" t="e">
        <f>IF($B24-#REF!&lt;0,0,$B24-#REF!)</f>
        <v>#REF!</v>
      </c>
      <c r="AG24" s="45" t="e">
        <f>IF($B24-#REF!&lt;0,0,$B24-#REF!)</f>
        <v>#REF!</v>
      </c>
      <c r="AH24" s="51">
        <v>25</v>
      </c>
      <c r="AI24" s="48" t="e">
        <f t="shared" si="2"/>
        <v>#REF!</v>
      </c>
      <c r="AJ24" s="49" t="e">
        <f t="shared" si="3"/>
        <v>#REF!</v>
      </c>
      <c r="AL24" s="170"/>
      <c r="AM24" s="28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</row>
    <row r="25" spans="1:89" x14ac:dyDescent="0.25">
      <c r="A25" s="44" t="s">
        <v>27</v>
      </c>
      <c r="B25" s="45">
        <v>0</v>
      </c>
      <c r="C25" s="45" t="e">
        <f>IF($B25-#REF!&lt;0,0,$B25-#REF!)</f>
        <v>#REF!</v>
      </c>
      <c r="D25" s="45" t="e">
        <f>IF($B25-#REF!&lt;0,0,$B25-#REF!)</f>
        <v>#REF!</v>
      </c>
      <c r="E25" s="45" t="e">
        <f>IF($B25-#REF!&lt;0,0,$B25-#REF!)</f>
        <v>#REF!</v>
      </c>
      <c r="F25" s="45" t="e">
        <f>IF($B25-#REF!&lt;0,0,$B25-#REF!)</f>
        <v>#REF!</v>
      </c>
      <c r="G25" s="45" t="e">
        <f>IF($B25-#REF!&lt;0,0,$B25-#REF!)</f>
        <v>#REF!</v>
      </c>
      <c r="H25" s="45" t="e">
        <f>IF($B25-#REF!&lt;0,0,$B25-#REF!)</f>
        <v>#REF!</v>
      </c>
      <c r="I25" s="45" t="e">
        <f>IF($B25-#REF!&lt;0,0,$B25-#REF!)</f>
        <v>#REF!</v>
      </c>
      <c r="J25" s="45" t="e">
        <f>IF($B25-#REF!&lt;0,0,$B25-#REF!)</f>
        <v>#REF!</v>
      </c>
      <c r="K25" s="45" t="e">
        <f>IF($B25-#REF!&lt;0,0,$B25-#REF!)</f>
        <v>#REF!</v>
      </c>
      <c r="L25" s="45" t="e">
        <f>IF($B25-#REF!&lt;0,0,$B25-#REF!)</f>
        <v>#REF!</v>
      </c>
      <c r="M25" s="45" t="e">
        <f>IF($B25-#REF!&lt;0,0,$B25-#REF!)</f>
        <v>#REF!</v>
      </c>
      <c r="N25" s="45" t="e">
        <f>IF($B25-#REF!&lt;0,0,$B25-#REF!)</f>
        <v>#REF!</v>
      </c>
      <c r="O25" s="45" t="e">
        <f>IF($B25-#REF!&lt;0,0,$B25-#REF!)</f>
        <v>#REF!</v>
      </c>
      <c r="P25" s="45" t="e">
        <f>IF($B25-#REF!&lt;0,0,$B25-#REF!)</f>
        <v>#REF!</v>
      </c>
      <c r="Q25" s="45" t="e">
        <f>IF($B25-#REF!&lt;0,0,$B25-#REF!)</f>
        <v>#REF!</v>
      </c>
      <c r="R25" s="45" t="e">
        <f>IF($B25-#REF!&lt;0,0,$B25-#REF!)</f>
        <v>#REF!</v>
      </c>
      <c r="S25" s="45" t="e">
        <f>IF($B25-#REF!&lt;0,0,$B25-#REF!)</f>
        <v>#REF!</v>
      </c>
      <c r="T25" s="45" t="e">
        <f>IF($B25-#REF!&lt;0,0,$B25-#REF!)</f>
        <v>#REF!</v>
      </c>
      <c r="U25" s="45" t="e">
        <f>IF($B25-#REF!&lt;0,0,$B25-#REF!)</f>
        <v>#REF!</v>
      </c>
      <c r="V25" s="45" t="e">
        <f>IF($B25-#REF!&lt;0,0,$B25-#REF!)</f>
        <v>#REF!</v>
      </c>
      <c r="W25" s="45" t="e">
        <f>IF($B25-#REF!&lt;0,0,$B25-#REF!)</f>
        <v>#REF!</v>
      </c>
      <c r="X25" s="45" t="e">
        <f>IF($B25-#REF!&lt;0,0,$B25-#REF!)</f>
        <v>#REF!</v>
      </c>
      <c r="Y25" s="45" t="e">
        <f>IF($B25-#REF!&lt;0,0,$B25-#REF!)</f>
        <v>#REF!</v>
      </c>
      <c r="Z25" s="45" t="e">
        <f>IF($B25-#REF!&lt;0,0,$B25-#REF!)</f>
        <v>#REF!</v>
      </c>
      <c r="AA25" s="45" t="e">
        <f>IF($B25-#REF!&lt;0,0,$B25-#REF!)</f>
        <v>#REF!</v>
      </c>
      <c r="AB25" s="45" t="e">
        <f>IF($B25-#REF!&lt;0,0,$B25-#REF!)</f>
        <v>#REF!</v>
      </c>
      <c r="AC25" s="45" t="e">
        <f>IF($B25-#REF!&lt;0,0,$B25-#REF!)</f>
        <v>#REF!</v>
      </c>
      <c r="AD25" s="45" t="e">
        <f>IF($B25-#REF!&lt;0,0,$B25-#REF!)</f>
        <v>#REF!</v>
      </c>
      <c r="AE25" s="45" t="e">
        <f>IF($B25-#REF!&lt;0,0,$B25-#REF!)</f>
        <v>#REF!</v>
      </c>
      <c r="AF25" s="45" t="e">
        <f>IF($B25-#REF!&lt;0,0,$B25-#REF!)</f>
        <v>#REF!</v>
      </c>
      <c r="AG25" s="45" t="e">
        <f>IF($B25-#REF!&lt;0,0,$B25-#REF!)</f>
        <v>#REF!</v>
      </c>
      <c r="AH25" s="51">
        <v>25</v>
      </c>
      <c r="AI25" s="48" t="e">
        <f t="shared" si="2"/>
        <v>#REF!</v>
      </c>
      <c r="AJ25" s="49" t="e">
        <f t="shared" si="3"/>
        <v>#REF!</v>
      </c>
      <c r="AL25" s="170"/>
      <c r="AM25" s="28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</row>
    <row r="26" spans="1:89" x14ac:dyDescent="0.25">
      <c r="A26" s="44" t="s">
        <v>28</v>
      </c>
      <c r="B26" s="45">
        <v>19</v>
      </c>
      <c r="C26" s="45" t="e">
        <f>IF($B26-#REF!&lt;0,0,$B26-#REF!)</f>
        <v>#REF!</v>
      </c>
      <c r="D26" s="45" t="e">
        <f>IF($B26-#REF!&lt;0,0,$B26-#REF!)</f>
        <v>#REF!</v>
      </c>
      <c r="E26" s="45" t="e">
        <f>IF($B26-#REF!&lt;0,0,$B26-#REF!)</f>
        <v>#REF!</v>
      </c>
      <c r="F26" s="45" t="e">
        <f>IF($B26-#REF!&lt;0,0,$B26-#REF!)</f>
        <v>#REF!</v>
      </c>
      <c r="G26" s="45" t="e">
        <f>IF($B26-#REF!&lt;0,0,$B26-#REF!)</f>
        <v>#REF!</v>
      </c>
      <c r="H26" s="45" t="e">
        <f>IF($B26-#REF!&lt;0,0,$B26-#REF!)</f>
        <v>#REF!</v>
      </c>
      <c r="I26" s="45" t="e">
        <f>IF($B26-#REF!&lt;0,0,$B26-#REF!)</f>
        <v>#REF!</v>
      </c>
      <c r="J26" s="45" t="e">
        <f>IF($B26-#REF!&lt;0,0,$B26-#REF!)</f>
        <v>#REF!</v>
      </c>
      <c r="K26" s="45" t="e">
        <f>IF($B26-#REF!&lt;0,0,$B26-#REF!)</f>
        <v>#REF!</v>
      </c>
      <c r="L26" s="45" t="e">
        <f>IF($B26-#REF!&lt;0,0,$B26-#REF!)</f>
        <v>#REF!</v>
      </c>
      <c r="M26" s="45" t="e">
        <f>IF($B26-#REF!&lt;0,0,$B26-#REF!)</f>
        <v>#REF!</v>
      </c>
      <c r="N26" s="45" t="e">
        <f>IF($B26-#REF!&lt;0,0,$B26-#REF!)</f>
        <v>#REF!</v>
      </c>
      <c r="O26" s="45" t="e">
        <f>IF($B26-#REF!&lt;0,0,$B26-#REF!)</f>
        <v>#REF!</v>
      </c>
      <c r="P26" s="45" t="e">
        <f>IF($B26-#REF!&lt;0,0,$B26-#REF!)</f>
        <v>#REF!</v>
      </c>
      <c r="Q26" s="45" t="e">
        <f>IF($B26-#REF!&lt;0,0,$B26-#REF!)</f>
        <v>#REF!</v>
      </c>
      <c r="R26" s="45" t="e">
        <f>IF($B26-#REF!&lt;0,0,$B26-#REF!)</f>
        <v>#REF!</v>
      </c>
      <c r="S26" s="45" t="e">
        <f>IF($B26-#REF!&lt;0,0,$B26-#REF!)</f>
        <v>#REF!</v>
      </c>
      <c r="T26" s="45" t="e">
        <f>IF($B26-#REF!&lt;0,0,$B26-#REF!)</f>
        <v>#REF!</v>
      </c>
      <c r="U26" s="45" t="e">
        <f>IF($B26-#REF!&lt;0,0,$B26-#REF!)</f>
        <v>#REF!</v>
      </c>
      <c r="V26" s="45" t="e">
        <f>IF($B26-#REF!&lt;0,0,$B26-#REF!)</f>
        <v>#REF!</v>
      </c>
      <c r="W26" s="45" t="e">
        <f>IF($B26-#REF!&lt;0,0,$B26-#REF!)</f>
        <v>#REF!</v>
      </c>
      <c r="X26" s="45" t="e">
        <f>IF($B26-#REF!&lt;0,0,$B26-#REF!)</f>
        <v>#REF!</v>
      </c>
      <c r="Y26" s="45" t="e">
        <f>IF($B26-#REF!&lt;0,0,$B26-#REF!)</f>
        <v>#REF!</v>
      </c>
      <c r="Z26" s="45" t="e">
        <f>IF($B26-#REF!&lt;0,0,$B26-#REF!)</f>
        <v>#REF!</v>
      </c>
      <c r="AA26" s="45" t="e">
        <f>IF($B26-#REF!&lt;0,0,$B26-#REF!)</f>
        <v>#REF!</v>
      </c>
      <c r="AB26" s="45" t="e">
        <f>IF($B26-#REF!&lt;0,0,$B26-#REF!)</f>
        <v>#REF!</v>
      </c>
      <c r="AC26" s="45" t="e">
        <f>IF($B26-#REF!&lt;0,0,$B26-#REF!)</f>
        <v>#REF!</v>
      </c>
      <c r="AD26" s="45" t="e">
        <f>IF($B26-#REF!&lt;0,0,$B26-#REF!)</f>
        <v>#REF!</v>
      </c>
      <c r="AE26" s="45" t="e">
        <f>IF($B26-#REF!&lt;0,0,$B26-#REF!)</f>
        <v>#REF!</v>
      </c>
      <c r="AF26" s="45" t="e">
        <f>IF($B26-#REF!&lt;0,0,$B26-#REF!)</f>
        <v>#REF!</v>
      </c>
      <c r="AG26" s="45" t="e">
        <f>IF($B26-#REF!&lt;0,0,$B26-#REF!)</f>
        <v>#REF!</v>
      </c>
      <c r="AH26" s="51">
        <v>25</v>
      </c>
      <c r="AI26" s="48" t="e">
        <f t="shared" si="2"/>
        <v>#REF!</v>
      </c>
      <c r="AJ26" s="49" t="e">
        <f t="shared" si="3"/>
        <v>#REF!</v>
      </c>
      <c r="AL26" s="170"/>
      <c r="AM26" s="28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</row>
    <row r="27" spans="1:89" x14ac:dyDescent="0.25">
      <c r="A27" s="44" t="s">
        <v>258</v>
      </c>
      <c r="B27" s="45">
        <v>22</v>
      </c>
      <c r="C27" s="45" t="e">
        <f>IF($B27-#REF!&lt;0,0,$B27-#REF!)</f>
        <v>#REF!</v>
      </c>
      <c r="D27" s="45" t="e">
        <f>IF($B27-#REF!&lt;0,0,$B27-#REF!)</f>
        <v>#REF!</v>
      </c>
      <c r="E27" s="45" t="e">
        <f>IF($B27-#REF!&lt;0,0,$B27-#REF!)</f>
        <v>#REF!</v>
      </c>
      <c r="F27" s="45" t="e">
        <f>IF($B27-#REF!&lt;0,0,$B27-#REF!)</f>
        <v>#REF!</v>
      </c>
      <c r="G27" s="45" t="e">
        <f>IF($B27-#REF!&lt;0,0,$B27-#REF!)</f>
        <v>#REF!</v>
      </c>
      <c r="H27" s="45" t="e">
        <f>IF($B27-#REF!&lt;0,0,$B27-#REF!)</f>
        <v>#REF!</v>
      </c>
      <c r="I27" s="45" t="e">
        <f>IF($B27-#REF!&lt;0,0,$B27-#REF!)</f>
        <v>#REF!</v>
      </c>
      <c r="J27" s="45" t="e">
        <f>IF($B27-#REF!&lt;0,0,$B27-#REF!)</f>
        <v>#REF!</v>
      </c>
      <c r="K27" s="45" t="e">
        <f>IF($B27-#REF!&lt;0,0,$B27-#REF!)</f>
        <v>#REF!</v>
      </c>
      <c r="L27" s="45" t="e">
        <f>IF($B27-#REF!&lt;0,0,$B27-#REF!)</f>
        <v>#REF!</v>
      </c>
      <c r="M27" s="45" t="e">
        <f>IF($B27-#REF!&lt;0,0,$B27-#REF!)</f>
        <v>#REF!</v>
      </c>
      <c r="N27" s="45" t="e">
        <f>IF($B27-#REF!&lt;0,0,$B27-#REF!)</f>
        <v>#REF!</v>
      </c>
      <c r="O27" s="45" t="e">
        <f>IF($B27-#REF!&lt;0,0,$B27-#REF!)</f>
        <v>#REF!</v>
      </c>
      <c r="P27" s="45" t="e">
        <f>IF($B27-#REF!&lt;0,0,$B27-#REF!)</f>
        <v>#REF!</v>
      </c>
      <c r="Q27" s="45" t="e">
        <f>IF($B27-#REF!&lt;0,0,$B27-#REF!)</f>
        <v>#REF!</v>
      </c>
      <c r="R27" s="45" t="e">
        <f>IF($B27-#REF!&lt;0,0,$B27-#REF!)</f>
        <v>#REF!</v>
      </c>
      <c r="S27" s="45" t="e">
        <f>IF($B27-#REF!&lt;0,0,$B27-#REF!)</f>
        <v>#REF!</v>
      </c>
      <c r="T27" s="45" t="e">
        <f>IF($B27-#REF!&lt;0,0,$B27-#REF!)</f>
        <v>#REF!</v>
      </c>
      <c r="U27" s="45" t="e">
        <f>IF($B27-#REF!&lt;0,0,$B27-#REF!)</f>
        <v>#REF!</v>
      </c>
      <c r="V27" s="45" t="e">
        <f>IF($B27-#REF!&lt;0,0,$B27-#REF!)</f>
        <v>#REF!</v>
      </c>
      <c r="W27" s="45" t="e">
        <f>IF($B27-#REF!&lt;0,0,$B27-#REF!)</f>
        <v>#REF!</v>
      </c>
      <c r="X27" s="45" t="e">
        <f>IF($B27-#REF!&lt;0,0,$B27-#REF!)</f>
        <v>#REF!</v>
      </c>
      <c r="Y27" s="45" t="e">
        <f>IF($B27-#REF!&lt;0,0,$B27-#REF!)</f>
        <v>#REF!</v>
      </c>
      <c r="Z27" s="45" t="e">
        <f>IF($B27-#REF!&lt;0,0,$B27-#REF!)</f>
        <v>#REF!</v>
      </c>
      <c r="AA27" s="45" t="e">
        <f>IF($B27-#REF!&lt;0,0,$B27-#REF!)</f>
        <v>#REF!</v>
      </c>
      <c r="AB27" s="45" t="e">
        <f>IF($B27-#REF!&lt;0,0,$B27-#REF!)</f>
        <v>#REF!</v>
      </c>
      <c r="AC27" s="45" t="e">
        <f>IF($B27-#REF!&lt;0,0,$B27-#REF!)</f>
        <v>#REF!</v>
      </c>
      <c r="AD27" s="45" t="e">
        <f>IF($B27-#REF!&lt;0,0,$B27-#REF!)</f>
        <v>#REF!</v>
      </c>
      <c r="AE27" s="45" t="e">
        <f>IF($B27-#REF!&lt;0,0,$B27-#REF!)</f>
        <v>#REF!</v>
      </c>
      <c r="AF27" s="45" t="e">
        <f>IF($B27-#REF!&lt;0,0,$B27-#REF!)</f>
        <v>#REF!</v>
      </c>
      <c r="AG27" s="45" t="e">
        <f>IF($B27-#REF!&lt;0,0,$B27-#REF!)</f>
        <v>#REF!</v>
      </c>
      <c r="AH27" s="51">
        <v>25</v>
      </c>
      <c r="AI27" s="48" t="e">
        <f t="shared" si="2"/>
        <v>#REF!</v>
      </c>
      <c r="AJ27" s="49" t="e">
        <f t="shared" si="3"/>
        <v>#REF!</v>
      </c>
      <c r="AL27" s="170"/>
      <c r="AM27" s="28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</row>
    <row r="28" spans="1:89" x14ac:dyDescent="0.25">
      <c r="A28" s="44" t="s">
        <v>29</v>
      </c>
      <c r="B28" s="45">
        <v>18</v>
      </c>
      <c r="C28" s="45" t="e">
        <f>IF($B28-#REF!&lt;0,0,$B28-#REF!)</f>
        <v>#REF!</v>
      </c>
      <c r="D28" s="45" t="e">
        <f>IF($B28-#REF!&lt;0,0,$B28-#REF!)</f>
        <v>#REF!</v>
      </c>
      <c r="E28" s="45" t="e">
        <f>IF($B28-#REF!&lt;0,0,$B28-#REF!)</f>
        <v>#REF!</v>
      </c>
      <c r="F28" s="45" t="e">
        <f>IF($B28-#REF!&lt;0,0,$B28-#REF!)</f>
        <v>#REF!</v>
      </c>
      <c r="G28" s="45" t="e">
        <f>IF($B28-#REF!&lt;0,0,$B28-#REF!)</f>
        <v>#REF!</v>
      </c>
      <c r="H28" s="45" t="e">
        <f>IF($B28-#REF!&lt;0,0,$B28-#REF!)</f>
        <v>#REF!</v>
      </c>
      <c r="I28" s="45" t="e">
        <f>IF($B28-#REF!&lt;0,0,$B28-#REF!)</f>
        <v>#REF!</v>
      </c>
      <c r="J28" s="45" t="e">
        <f>IF($B28-#REF!&lt;0,0,$B28-#REF!)</f>
        <v>#REF!</v>
      </c>
      <c r="K28" s="45" t="e">
        <f>IF($B28-#REF!&lt;0,0,$B28-#REF!)</f>
        <v>#REF!</v>
      </c>
      <c r="L28" s="45" t="e">
        <f>IF($B28-#REF!&lt;0,0,$B28-#REF!)</f>
        <v>#REF!</v>
      </c>
      <c r="M28" s="45" t="e">
        <f>IF($B28-#REF!&lt;0,0,$B28-#REF!)</f>
        <v>#REF!</v>
      </c>
      <c r="N28" s="45" t="e">
        <f>IF($B28-#REF!&lt;0,0,$B28-#REF!)</f>
        <v>#REF!</v>
      </c>
      <c r="O28" s="45" t="e">
        <f>IF($B28-#REF!&lt;0,0,$B28-#REF!)</f>
        <v>#REF!</v>
      </c>
      <c r="P28" s="45" t="e">
        <f>IF($B28-#REF!&lt;0,0,$B28-#REF!)</f>
        <v>#REF!</v>
      </c>
      <c r="Q28" s="45" t="e">
        <f>IF($B28-#REF!&lt;0,0,$B28-#REF!)</f>
        <v>#REF!</v>
      </c>
      <c r="R28" s="45" t="e">
        <f>IF($B28-#REF!&lt;0,0,$B28-#REF!)</f>
        <v>#REF!</v>
      </c>
      <c r="S28" s="45" t="e">
        <f>IF($B28-#REF!&lt;0,0,$B28-#REF!)</f>
        <v>#REF!</v>
      </c>
      <c r="T28" s="45" t="e">
        <f>IF($B28-#REF!&lt;0,0,$B28-#REF!)</f>
        <v>#REF!</v>
      </c>
      <c r="U28" s="45" t="e">
        <f>IF($B28-#REF!&lt;0,0,$B28-#REF!)</f>
        <v>#REF!</v>
      </c>
      <c r="V28" s="45" t="e">
        <f>IF($B28-#REF!&lt;0,0,$B28-#REF!)</f>
        <v>#REF!</v>
      </c>
      <c r="W28" s="45" t="e">
        <f>IF($B28-#REF!&lt;0,0,$B28-#REF!)</f>
        <v>#REF!</v>
      </c>
      <c r="X28" s="45" t="e">
        <f>IF($B28-#REF!&lt;0,0,$B28-#REF!)</f>
        <v>#REF!</v>
      </c>
      <c r="Y28" s="45" t="e">
        <f>IF($B28-#REF!&lt;0,0,$B28-#REF!)</f>
        <v>#REF!</v>
      </c>
      <c r="Z28" s="45" t="e">
        <f>IF($B28-#REF!&lt;0,0,$B28-#REF!)</f>
        <v>#REF!</v>
      </c>
      <c r="AA28" s="45" t="e">
        <f>IF($B28-#REF!&lt;0,0,$B28-#REF!)</f>
        <v>#REF!</v>
      </c>
      <c r="AB28" s="45" t="e">
        <f>IF($B28-#REF!&lt;0,0,$B28-#REF!)</f>
        <v>#REF!</v>
      </c>
      <c r="AC28" s="45" t="e">
        <f>IF($B28-#REF!&lt;0,0,$B28-#REF!)</f>
        <v>#REF!</v>
      </c>
      <c r="AD28" s="45" t="e">
        <f>IF($B28-#REF!&lt;0,0,$B28-#REF!)</f>
        <v>#REF!</v>
      </c>
      <c r="AE28" s="45" t="e">
        <f>IF($B28-#REF!&lt;0,0,$B28-#REF!)</f>
        <v>#REF!</v>
      </c>
      <c r="AF28" s="45" t="e">
        <f>IF($B28-#REF!&lt;0,0,$B28-#REF!)</f>
        <v>#REF!</v>
      </c>
      <c r="AG28" s="45" t="e">
        <f>IF($B28-#REF!&lt;0,0,$B28-#REF!)</f>
        <v>#REF!</v>
      </c>
      <c r="AH28" s="51">
        <v>23.5</v>
      </c>
      <c r="AI28" s="48" t="e">
        <f t="shared" si="2"/>
        <v>#REF!</v>
      </c>
      <c r="AJ28" s="49" t="e">
        <f t="shared" si="3"/>
        <v>#REF!</v>
      </c>
      <c r="AL28" s="170"/>
      <c r="AM28" s="28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</row>
    <row r="29" spans="1:89" x14ac:dyDescent="0.25">
      <c r="A29" s="44" t="s">
        <v>30</v>
      </c>
      <c r="B29" s="45">
        <v>11</v>
      </c>
      <c r="C29" s="45" t="e">
        <f>IF($B29-#REF!&lt;0,0,$B29-#REF!)</f>
        <v>#REF!</v>
      </c>
      <c r="D29" s="45" t="e">
        <f>IF($B29-#REF!&lt;0,0,$B29-#REF!)</f>
        <v>#REF!</v>
      </c>
      <c r="E29" s="45" t="e">
        <f>IF($B29-#REF!&lt;0,0,$B29-#REF!)</f>
        <v>#REF!</v>
      </c>
      <c r="F29" s="45" t="e">
        <f>IF($B29-#REF!&lt;0,0,$B29-#REF!)</f>
        <v>#REF!</v>
      </c>
      <c r="G29" s="45" t="e">
        <f>IF($B29-#REF!&lt;0,0,$B29-#REF!)</f>
        <v>#REF!</v>
      </c>
      <c r="H29" s="45" t="e">
        <f>IF($B29-#REF!&lt;0,0,$B29-#REF!)</f>
        <v>#REF!</v>
      </c>
      <c r="I29" s="45" t="e">
        <f>IF($B29-#REF!&lt;0,0,$B29-#REF!)</f>
        <v>#REF!</v>
      </c>
      <c r="J29" s="45" t="e">
        <f>IF($B29-#REF!&lt;0,0,$B29-#REF!)</f>
        <v>#REF!</v>
      </c>
      <c r="K29" s="45" t="e">
        <f>IF($B29-#REF!&lt;0,0,$B29-#REF!)</f>
        <v>#REF!</v>
      </c>
      <c r="L29" s="45" t="e">
        <f>IF($B29-#REF!&lt;0,0,$B29-#REF!)</f>
        <v>#REF!</v>
      </c>
      <c r="M29" s="45" t="e">
        <f>IF($B29-#REF!&lt;0,0,$B29-#REF!)</f>
        <v>#REF!</v>
      </c>
      <c r="N29" s="45" t="e">
        <f>IF($B29-#REF!&lt;0,0,$B29-#REF!)</f>
        <v>#REF!</v>
      </c>
      <c r="O29" s="45" t="e">
        <f>IF($B29-#REF!&lt;0,0,$B29-#REF!)</f>
        <v>#REF!</v>
      </c>
      <c r="P29" s="45" t="e">
        <f>IF($B29-#REF!&lt;0,0,$B29-#REF!)</f>
        <v>#REF!</v>
      </c>
      <c r="Q29" s="45" t="e">
        <f>IF($B29-#REF!&lt;0,0,$B29-#REF!)</f>
        <v>#REF!</v>
      </c>
      <c r="R29" s="45" t="e">
        <f>IF($B29-#REF!&lt;0,0,$B29-#REF!)</f>
        <v>#REF!</v>
      </c>
      <c r="S29" s="45" t="e">
        <f>IF($B29-#REF!&lt;0,0,$B29-#REF!)</f>
        <v>#REF!</v>
      </c>
      <c r="T29" s="45" t="e">
        <f>IF($B29-#REF!&lt;0,0,$B29-#REF!)</f>
        <v>#REF!</v>
      </c>
      <c r="U29" s="45" t="e">
        <f>IF($B29-#REF!&lt;0,0,$B29-#REF!)</f>
        <v>#REF!</v>
      </c>
      <c r="V29" s="45" t="e">
        <f>IF($B29-#REF!&lt;0,0,$B29-#REF!)</f>
        <v>#REF!</v>
      </c>
      <c r="W29" s="45" t="e">
        <f>IF($B29-#REF!&lt;0,0,$B29-#REF!)</f>
        <v>#REF!</v>
      </c>
      <c r="X29" s="45" t="e">
        <f>IF($B29-#REF!&lt;0,0,$B29-#REF!)</f>
        <v>#REF!</v>
      </c>
      <c r="Y29" s="45" t="e">
        <f>IF($B29-#REF!&lt;0,0,$B29-#REF!)</f>
        <v>#REF!</v>
      </c>
      <c r="Z29" s="45" t="e">
        <f>IF($B29-#REF!&lt;0,0,$B29-#REF!)</f>
        <v>#REF!</v>
      </c>
      <c r="AA29" s="45" t="e">
        <f>IF($B29-#REF!&lt;0,0,$B29-#REF!)</f>
        <v>#REF!</v>
      </c>
      <c r="AB29" s="45" t="e">
        <f>IF($B29-#REF!&lt;0,0,$B29-#REF!)</f>
        <v>#REF!</v>
      </c>
      <c r="AC29" s="45" t="e">
        <f>IF($B29-#REF!&lt;0,0,$B29-#REF!)</f>
        <v>#REF!</v>
      </c>
      <c r="AD29" s="45" t="e">
        <f>IF($B29-#REF!&lt;0,0,$B29-#REF!)</f>
        <v>#REF!</v>
      </c>
      <c r="AE29" s="45" t="e">
        <f>IF($B29-#REF!&lt;0,0,$B29-#REF!)</f>
        <v>#REF!</v>
      </c>
      <c r="AF29" s="45" t="e">
        <f>IF($B29-#REF!&lt;0,0,$B29-#REF!)</f>
        <v>#REF!</v>
      </c>
      <c r="AG29" s="45" t="e">
        <f>IF($B29-#REF!&lt;0,0,$B29-#REF!)</f>
        <v>#REF!</v>
      </c>
      <c r="AH29" s="51">
        <v>22.2</v>
      </c>
      <c r="AI29" s="48" t="e">
        <f t="shared" si="2"/>
        <v>#REF!</v>
      </c>
      <c r="AJ29" s="49" t="e">
        <f t="shared" si="3"/>
        <v>#REF!</v>
      </c>
      <c r="AL29" s="170"/>
      <c r="AM29" s="28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</row>
    <row r="30" spans="1:89" x14ac:dyDescent="0.25">
      <c r="A30" s="44" t="s">
        <v>31</v>
      </c>
      <c r="B30" s="45">
        <v>15</v>
      </c>
      <c r="C30" s="45" t="e">
        <f>IF($B30-#REF!&lt;0,0,$B30-#REF!)</f>
        <v>#REF!</v>
      </c>
      <c r="D30" s="45" t="e">
        <f>IF($B30-#REF!&lt;0,0,$B30-#REF!)</f>
        <v>#REF!</v>
      </c>
      <c r="E30" s="45" t="e">
        <f>IF($B30-#REF!&lt;0,0,$B30-#REF!)</f>
        <v>#REF!</v>
      </c>
      <c r="F30" s="45" t="e">
        <f>IF($B30-#REF!&lt;0,0,$B30-#REF!)</f>
        <v>#REF!</v>
      </c>
      <c r="G30" s="45" t="e">
        <f>IF($B30-#REF!&lt;0,0,$B30-#REF!)</f>
        <v>#REF!</v>
      </c>
      <c r="H30" s="45" t="e">
        <f>IF($B30-#REF!&lt;0,0,$B30-#REF!)</f>
        <v>#REF!</v>
      </c>
      <c r="I30" s="45" t="e">
        <f>IF($B30-#REF!&lt;0,0,$B30-#REF!)</f>
        <v>#REF!</v>
      </c>
      <c r="J30" s="45" t="e">
        <f>IF($B30-#REF!&lt;0,0,$B30-#REF!)</f>
        <v>#REF!</v>
      </c>
      <c r="K30" s="45" t="e">
        <f>IF($B30-#REF!&lt;0,0,$B30-#REF!)</f>
        <v>#REF!</v>
      </c>
      <c r="L30" s="45" t="e">
        <f>IF($B30-#REF!&lt;0,0,$B30-#REF!)</f>
        <v>#REF!</v>
      </c>
      <c r="M30" s="45" t="e">
        <f>IF($B30-#REF!&lt;0,0,$B30-#REF!)</f>
        <v>#REF!</v>
      </c>
      <c r="N30" s="45" t="e">
        <f>IF($B30-#REF!&lt;0,0,$B30-#REF!)</f>
        <v>#REF!</v>
      </c>
      <c r="O30" s="45" t="e">
        <f>IF($B30-#REF!&lt;0,0,$B30-#REF!)</f>
        <v>#REF!</v>
      </c>
      <c r="P30" s="45" t="e">
        <f>IF($B30-#REF!&lt;0,0,$B30-#REF!)</f>
        <v>#REF!</v>
      </c>
      <c r="Q30" s="45" t="e">
        <f>IF($B30-#REF!&lt;0,0,$B30-#REF!)</f>
        <v>#REF!</v>
      </c>
      <c r="R30" s="45" t="e">
        <f>IF($B30-#REF!&lt;0,0,$B30-#REF!)</f>
        <v>#REF!</v>
      </c>
      <c r="S30" s="45" t="e">
        <f>IF($B30-#REF!&lt;0,0,$B30-#REF!)</f>
        <v>#REF!</v>
      </c>
      <c r="T30" s="45" t="e">
        <f>IF($B30-#REF!&lt;0,0,$B30-#REF!)</f>
        <v>#REF!</v>
      </c>
      <c r="U30" s="45" t="e">
        <f>IF($B30-#REF!&lt;0,0,$B30-#REF!)</f>
        <v>#REF!</v>
      </c>
      <c r="V30" s="45" t="e">
        <f>IF($B30-#REF!&lt;0,0,$B30-#REF!)</f>
        <v>#REF!</v>
      </c>
      <c r="W30" s="45" t="e">
        <f>IF($B30-#REF!&lt;0,0,$B30-#REF!)</f>
        <v>#REF!</v>
      </c>
      <c r="X30" s="45" t="e">
        <f>IF($B30-#REF!&lt;0,0,$B30-#REF!)</f>
        <v>#REF!</v>
      </c>
      <c r="Y30" s="45" t="e">
        <f>IF($B30-#REF!&lt;0,0,$B30-#REF!)</f>
        <v>#REF!</v>
      </c>
      <c r="Z30" s="45" t="e">
        <f>IF($B30-#REF!&lt;0,0,$B30-#REF!)</f>
        <v>#REF!</v>
      </c>
      <c r="AA30" s="45" t="e">
        <f>IF($B30-#REF!&lt;0,0,$B30-#REF!)</f>
        <v>#REF!</v>
      </c>
      <c r="AB30" s="45" t="e">
        <f>IF($B30-#REF!&lt;0,0,$B30-#REF!)</f>
        <v>#REF!</v>
      </c>
      <c r="AC30" s="45" t="e">
        <f>IF($B30-#REF!&lt;0,0,$B30-#REF!)</f>
        <v>#REF!</v>
      </c>
      <c r="AD30" s="45" t="e">
        <f>IF($B30-#REF!&lt;0,0,$B30-#REF!)</f>
        <v>#REF!</v>
      </c>
      <c r="AE30" s="45" t="e">
        <f>IF($B30-#REF!&lt;0,0,$B30-#REF!)</f>
        <v>#REF!</v>
      </c>
      <c r="AF30" s="45" t="e">
        <f>IF($B30-#REF!&lt;0,0,$B30-#REF!)</f>
        <v>#REF!</v>
      </c>
      <c r="AG30" s="45" t="e">
        <f>IF($B30-#REF!&lt;0,0,$B30-#REF!)</f>
        <v>#REF!</v>
      </c>
      <c r="AH30" s="51">
        <v>22.1</v>
      </c>
      <c r="AI30" s="48" t="e">
        <f t="shared" si="2"/>
        <v>#REF!</v>
      </c>
      <c r="AJ30" s="49" t="e">
        <f t="shared" si="3"/>
        <v>#REF!</v>
      </c>
      <c r="AL30" s="170"/>
      <c r="AM30" s="28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</row>
    <row r="31" spans="1:89" x14ac:dyDescent="0.25">
      <c r="A31" s="44" t="s">
        <v>32</v>
      </c>
      <c r="B31" s="45">
        <v>13</v>
      </c>
      <c r="C31" s="45" t="e">
        <f>IF($B31-#REF!&lt;0,0,$B31-#REF!)</f>
        <v>#REF!</v>
      </c>
      <c r="D31" s="45" t="e">
        <f>IF($B31-#REF!&lt;0,0,$B31-#REF!)</f>
        <v>#REF!</v>
      </c>
      <c r="E31" s="45" t="e">
        <f>IF($B31-#REF!&lt;0,0,$B31-#REF!)</f>
        <v>#REF!</v>
      </c>
      <c r="F31" s="45" t="e">
        <f>IF($B31-#REF!&lt;0,0,$B31-#REF!)</f>
        <v>#REF!</v>
      </c>
      <c r="G31" s="45" t="e">
        <f>IF($B31-#REF!&lt;0,0,$B31-#REF!)</f>
        <v>#REF!</v>
      </c>
      <c r="H31" s="45" t="e">
        <f>IF($B31-#REF!&lt;0,0,$B31-#REF!)</f>
        <v>#REF!</v>
      </c>
      <c r="I31" s="45" t="e">
        <f>IF($B31-#REF!&lt;0,0,$B31-#REF!)</f>
        <v>#REF!</v>
      </c>
      <c r="J31" s="45" t="e">
        <f>IF($B31-#REF!&lt;0,0,$B31-#REF!)</f>
        <v>#REF!</v>
      </c>
      <c r="K31" s="45" t="e">
        <f>IF($B31-#REF!&lt;0,0,$B31-#REF!)</f>
        <v>#REF!</v>
      </c>
      <c r="L31" s="45" t="e">
        <f>IF($B31-#REF!&lt;0,0,$B31-#REF!)</f>
        <v>#REF!</v>
      </c>
      <c r="M31" s="45" t="e">
        <f>IF($B31-#REF!&lt;0,0,$B31-#REF!)</f>
        <v>#REF!</v>
      </c>
      <c r="N31" s="45" t="e">
        <f>IF($B31-#REF!&lt;0,0,$B31-#REF!)</f>
        <v>#REF!</v>
      </c>
      <c r="O31" s="45" t="e">
        <f>IF($B31-#REF!&lt;0,0,$B31-#REF!)</f>
        <v>#REF!</v>
      </c>
      <c r="P31" s="45" t="e">
        <f>IF($B31-#REF!&lt;0,0,$B31-#REF!)</f>
        <v>#REF!</v>
      </c>
      <c r="Q31" s="45" t="e">
        <f>IF($B31-#REF!&lt;0,0,$B31-#REF!)</f>
        <v>#REF!</v>
      </c>
      <c r="R31" s="45" t="e">
        <f>IF($B31-#REF!&lt;0,0,$B31-#REF!)</f>
        <v>#REF!</v>
      </c>
      <c r="S31" s="45" t="e">
        <f>IF($B31-#REF!&lt;0,0,$B31-#REF!)</f>
        <v>#REF!</v>
      </c>
      <c r="T31" s="45" t="e">
        <f>IF($B31-#REF!&lt;0,0,$B31-#REF!)</f>
        <v>#REF!</v>
      </c>
      <c r="U31" s="45" t="e">
        <f>IF($B31-#REF!&lt;0,0,$B31-#REF!)</f>
        <v>#REF!</v>
      </c>
      <c r="V31" s="45" t="e">
        <f>IF($B31-#REF!&lt;0,0,$B31-#REF!)</f>
        <v>#REF!</v>
      </c>
      <c r="W31" s="45" t="e">
        <f>IF($B31-#REF!&lt;0,0,$B31-#REF!)</f>
        <v>#REF!</v>
      </c>
      <c r="X31" s="45" t="e">
        <f>IF($B31-#REF!&lt;0,0,$B31-#REF!)</f>
        <v>#REF!</v>
      </c>
      <c r="Y31" s="45" t="e">
        <f>IF($B31-#REF!&lt;0,0,$B31-#REF!)</f>
        <v>#REF!</v>
      </c>
      <c r="Z31" s="45" t="e">
        <f>IF($B31-#REF!&lt;0,0,$B31-#REF!)</f>
        <v>#REF!</v>
      </c>
      <c r="AA31" s="45" t="e">
        <f>IF($B31-#REF!&lt;0,0,$B31-#REF!)</f>
        <v>#REF!</v>
      </c>
      <c r="AB31" s="45" t="e">
        <f>IF($B31-#REF!&lt;0,0,$B31-#REF!)</f>
        <v>#REF!</v>
      </c>
      <c r="AC31" s="45" t="e">
        <f>IF($B31-#REF!&lt;0,0,$B31-#REF!)</f>
        <v>#REF!</v>
      </c>
      <c r="AD31" s="45" t="e">
        <f>IF($B31-#REF!&lt;0,0,$B31-#REF!)</f>
        <v>#REF!</v>
      </c>
      <c r="AE31" s="45" t="e">
        <f>IF($B31-#REF!&lt;0,0,$B31-#REF!)</f>
        <v>#REF!</v>
      </c>
      <c r="AF31" s="45" t="e">
        <f>IF($B31-#REF!&lt;0,0,$B31-#REF!)</f>
        <v>#REF!</v>
      </c>
      <c r="AG31" s="45" t="e">
        <f>IF($B31-#REF!&lt;0,0,$B31-#REF!)</f>
        <v>#REF!</v>
      </c>
      <c r="AH31" s="51">
        <v>22</v>
      </c>
      <c r="AI31" s="48" t="e">
        <f t="shared" si="2"/>
        <v>#REF!</v>
      </c>
      <c r="AJ31" s="49" t="e">
        <f t="shared" si="3"/>
        <v>#REF!</v>
      </c>
      <c r="AL31" s="170"/>
      <c r="AM31" s="28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</row>
    <row r="32" spans="1:89" x14ac:dyDescent="0.25">
      <c r="A32" s="44" t="s">
        <v>33</v>
      </c>
      <c r="B32" s="45">
        <v>14</v>
      </c>
      <c r="C32" s="45" t="e">
        <f>IF($B32-#REF!&lt;0,0,$B32-#REF!)</f>
        <v>#REF!</v>
      </c>
      <c r="D32" s="45" t="e">
        <f>IF($B32-#REF!&lt;0,0,$B32-#REF!)</f>
        <v>#REF!</v>
      </c>
      <c r="E32" s="45" t="e">
        <f>IF($B32-#REF!&lt;0,0,$B32-#REF!)</f>
        <v>#REF!</v>
      </c>
      <c r="F32" s="45" t="e">
        <f>IF($B32-#REF!&lt;0,0,$B32-#REF!)</f>
        <v>#REF!</v>
      </c>
      <c r="G32" s="45" t="e">
        <f>IF($B32-#REF!&lt;0,0,$B32-#REF!)</f>
        <v>#REF!</v>
      </c>
      <c r="H32" s="45" t="e">
        <f>IF($B32-#REF!&lt;0,0,$B32-#REF!)</f>
        <v>#REF!</v>
      </c>
      <c r="I32" s="45" t="e">
        <f>IF($B32-#REF!&lt;0,0,$B32-#REF!)</f>
        <v>#REF!</v>
      </c>
      <c r="J32" s="45" t="e">
        <f>IF($B32-#REF!&lt;0,0,$B32-#REF!)</f>
        <v>#REF!</v>
      </c>
      <c r="K32" s="45" t="e">
        <f>IF($B32-#REF!&lt;0,0,$B32-#REF!)</f>
        <v>#REF!</v>
      </c>
      <c r="L32" s="45" t="e">
        <f>IF($B32-#REF!&lt;0,0,$B32-#REF!)</f>
        <v>#REF!</v>
      </c>
      <c r="M32" s="45" t="e">
        <f>IF($B32-#REF!&lt;0,0,$B32-#REF!)</f>
        <v>#REF!</v>
      </c>
      <c r="N32" s="45" t="e">
        <f>IF($B32-#REF!&lt;0,0,$B32-#REF!)</f>
        <v>#REF!</v>
      </c>
      <c r="O32" s="45" t="e">
        <f>IF($B32-#REF!&lt;0,0,$B32-#REF!)</f>
        <v>#REF!</v>
      </c>
      <c r="P32" s="45" t="e">
        <f>IF($B32-#REF!&lt;0,0,$B32-#REF!)</f>
        <v>#REF!</v>
      </c>
      <c r="Q32" s="45" t="e">
        <f>IF($B32-#REF!&lt;0,0,$B32-#REF!)</f>
        <v>#REF!</v>
      </c>
      <c r="R32" s="45" t="e">
        <f>IF($B32-#REF!&lt;0,0,$B32-#REF!)</f>
        <v>#REF!</v>
      </c>
      <c r="S32" s="45" t="e">
        <f>IF($B32-#REF!&lt;0,0,$B32-#REF!)</f>
        <v>#REF!</v>
      </c>
      <c r="T32" s="45" t="e">
        <f>IF($B32-#REF!&lt;0,0,$B32-#REF!)</f>
        <v>#REF!</v>
      </c>
      <c r="U32" s="45" t="e">
        <f>IF($B32-#REF!&lt;0,0,$B32-#REF!)</f>
        <v>#REF!</v>
      </c>
      <c r="V32" s="45" t="e">
        <f>IF($B32-#REF!&lt;0,0,$B32-#REF!)</f>
        <v>#REF!</v>
      </c>
      <c r="W32" s="45" t="e">
        <f>IF($B32-#REF!&lt;0,0,$B32-#REF!)</f>
        <v>#REF!</v>
      </c>
      <c r="X32" s="45" t="e">
        <f>IF($B32-#REF!&lt;0,0,$B32-#REF!)</f>
        <v>#REF!</v>
      </c>
      <c r="Y32" s="45" t="e">
        <f>IF($B32-#REF!&lt;0,0,$B32-#REF!)</f>
        <v>#REF!</v>
      </c>
      <c r="Z32" s="45" t="e">
        <f>IF($B32-#REF!&lt;0,0,$B32-#REF!)</f>
        <v>#REF!</v>
      </c>
      <c r="AA32" s="45" t="e">
        <f>IF($B32-#REF!&lt;0,0,$B32-#REF!)</f>
        <v>#REF!</v>
      </c>
      <c r="AB32" s="45" t="e">
        <f>IF($B32-#REF!&lt;0,0,$B32-#REF!)</f>
        <v>#REF!</v>
      </c>
      <c r="AC32" s="45" t="e">
        <f>IF($B32-#REF!&lt;0,0,$B32-#REF!)</f>
        <v>#REF!</v>
      </c>
      <c r="AD32" s="45" t="e">
        <f>IF($B32-#REF!&lt;0,0,$B32-#REF!)</f>
        <v>#REF!</v>
      </c>
      <c r="AE32" s="45" t="e">
        <f>IF($B32-#REF!&lt;0,0,$B32-#REF!)</f>
        <v>#REF!</v>
      </c>
      <c r="AF32" s="45" t="e">
        <f>IF($B32-#REF!&lt;0,0,$B32-#REF!)</f>
        <v>#REF!</v>
      </c>
      <c r="AG32" s="45" t="e">
        <f>IF($B32-#REF!&lt;0,0,$B32-#REF!)</f>
        <v>#REF!</v>
      </c>
      <c r="AH32" s="51">
        <v>22</v>
      </c>
      <c r="AI32" s="48" t="e">
        <f t="shared" si="2"/>
        <v>#REF!</v>
      </c>
      <c r="AJ32" s="49" t="e">
        <f t="shared" si="3"/>
        <v>#REF!</v>
      </c>
      <c r="AL32" s="170"/>
      <c r="AM32" s="28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</row>
    <row r="33" spans="1:89" x14ac:dyDescent="0.25">
      <c r="A33" s="44" t="s">
        <v>34</v>
      </c>
      <c r="B33" s="45">
        <v>14</v>
      </c>
      <c r="C33" s="45" t="e">
        <f>IF($B33-#REF!&lt;0,0,$B33-#REF!)</f>
        <v>#REF!</v>
      </c>
      <c r="D33" s="45" t="e">
        <f>IF($B33-#REF!&lt;0,0,$B33-#REF!)</f>
        <v>#REF!</v>
      </c>
      <c r="E33" s="45" t="e">
        <f>IF($B33-#REF!&lt;0,0,$B33-#REF!)</f>
        <v>#REF!</v>
      </c>
      <c r="F33" s="45" t="e">
        <f>IF($B33-#REF!&lt;0,0,$B33-#REF!)</f>
        <v>#REF!</v>
      </c>
      <c r="G33" s="45" t="e">
        <f>IF($B33-#REF!&lt;0,0,$B33-#REF!)</f>
        <v>#REF!</v>
      </c>
      <c r="H33" s="45" t="e">
        <f>IF($B33-#REF!&lt;0,0,$B33-#REF!)</f>
        <v>#REF!</v>
      </c>
      <c r="I33" s="45" t="e">
        <f>IF($B33-#REF!&lt;0,0,$B33-#REF!)</f>
        <v>#REF!</v>
      </c>
      <c r="J33" s="45" t="e">
        <f>IF($B33-#REF!&lt;0,0,$B33-#REF!)</f>
        <v>#REF!</v>
      </c>
      <c r="K33" s="45" t="e">
        <f>IF($B33-#REF!&lt;0,0,$B33-#REF!)</f>
        <v>#REF!</v>
      </c>
      <c r="L33" s="45" t="e">
        <f>IF($B33-#REF!&lt;0,0,$B33-#REF!)</f>
        <v>#REF!</v>
      </c>
      <c r="M33" s="45" t="e">
        <f>IF($B33-#REF!&lt;0,0,$B33-#REF!)</f>
        <v>#REF!</v>
      </c>
      <c r="N33" s="45" t="e">
        <f>IF($B33-#REF!&lt;0,0,$B33-#REF!)</f>
        <v>#REF!</v>
      </c>
      <c r="O33" s="45" t="e">
        <f>IF($B33-#REF!&lt;0,0,$B33-#REF!)</f>
        <v>#REF!</v>
      </c>
      <c r="P33" s="45" t="e">
        <f>IF($B33-#REF!&lt;0,0,$B33-#REF!)</f>
        <v>#REF!</v>
      </c>
      <c r="Q33" s="45" t="e">
        <f>IF($B33-#REF!&lt;0,0,$B33-#REF!)</f>
        <v>#REF!</v>
      </c>
      <c r="R33" s="45" t="e">
        <f>IF($B33-#REF!&lt;0,0,$B33-#REF!)</f>
        <v>#REF!</v>
      </c>
      <c r="S33" s="45" t="e">
        <f>IF($B33-#REF!&lt;0,0,$B33-#REF!)</f>
        <v>#REF!</v>
      </c>
      <c r="T33" s="45" t="e">
        <f>IF($B33-#REF!&lt;0,0,$B33-#REF!)</f>
        <v>#REF!</v>
      </c>
      <c r="U33" s="45" t="e">
        <f>IF($B33-#REF!&lt;0,0,$B33-#REF!)</f>
        <v>#REF!</v>
      </c>
      <c r="V33" s="45" t="e">
        <f>IF($B33-#REF!&lt;0,0,$B33-#REF!)</f>
        <v>#REF!</v>
      </c>
      <c r="W33" s="45" t="e">
        <f>IF($B33-#REF!&lt;0,0,$B33-#REF!)</f>
        <v>#REF!</v>
      </c>
      <c r="X33" s="45" t="e">
        <f>IF($B33-#REF!&lt;0,0,$B33-#REF!)</f>
        <v>#REF!</v>
      </c>
      <c r="Y33" s="45" t="e">
        <f>IF($B33-#REF!&lt;0,0,$B33-#REF!)</f>
        <v>#REF!</v>
      </c>
      <c r="Z33" s="45" t="e">
        <f>IF($B33-#REF!&lt;0,0,$B33-#REF!)</f>
        <v>#REF!</v>
      </c>
      <c r="AA33" s="45" t="e">
        <f>IF($B33-#REF!&lt;0,0,$B33-#REF!)</f>
        <v>#REF!</v>
      </c>
      <c r="AB33" s="45" t="e">
        <f>IF($B33-#REF!&lt;0,0,$B33-#REF!)</f>
        <v>#REF!</v>
      </c>
      <c r="AC33" s="45" t="e">
        <f>IF($B33-#REF!&lt;0,0,$B33-#REF!)</f>
        <v>#REF!</v>
      </c>
      <c r="AD33" s="45" t="e">
        <f>IF($B33-#REF!&lt;0,0,$B33-#REF!)</f>
        <v>#REF!</v>
      </c>
      <c r="AE33" s="45" t="e">
        <f>IF($B33-#REF!&lt;0,0,$B33-#REF!)</f>
        <v>#REF!</v>
      </c>
      <c r="AF33" s="45" t="e">
        <f>IF($B33-#REF!&lt;0,0,$B33-#REF!)</f>
        <v>#REF!</v>
      </c>
      <c r="AG33" s="45" t="e">
        <f>IF($B33-#REF!&lt;0,0,$B33-#REF!)</f>
        <v>#REF!</v>
      </c>
      <c r="AH33" s="51">
        <v>20</v>
      </c>
      <c r="AI33" s="48" t="e">
        <f t="shared" si="2"/>
        <v>#REF!</v>
      </c>
      <c r="AJ33" s="49" t="e">
        <f t="shared" si="3"/>
        <v>#REF!</v>
      </c>
      <c r="AL33" s="170"/>
      <c r="AM33" s="28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</row>
    <row r="34" spans="1:89" x14ac:dyDescent="0.25">
      <c r="A34" s="44" t="s">
        <v>259</v>
      </c>
      <c r="B34" s="45">
        <v>9</v>
      </c>
      <c r="C34" s="45" t="e">
        <f>IF($B34-#REF!&lt;0,0,$B34-#REF!)</f>
        <v>#REF!</v>
      </c>
      <c r="D34" s="45" t="e">
        <f>IF($B34-#REF!&lt;0,0,$B34-#REF!)</f>
        <v>#REF!</v>
      </c>
      <c r="E34" s="45" t="e">
        <f>IF($B34-#REF!&lt;0,0,$B34-#REF!)</f>
        <v>#REF!</v>
      </c>
      <c r="F34" s="45" t="e">
        <f>IF($B34-#REF!&lt;0,0,$B34-#REF!)</f>
        <v>#REF!</v>
      </c>
      <c r="G34" s="45" t="e">
        <f>IF($B34-#REF!&lt;0,0,$B34-#REF!)</f>
        <v>#REF!</v>
      </c>
      <c r="H34" s="45" t="e">
        <f>IF($B34-#REF!&lt;0,0,$B34-#REF!)</f>
        <v>#REF!</v>
      </c>
      <c r="I34" s="45" t="e">
        <f>IF($B34-#REF!&lt;0,0,$B34-#REF!)</f>
        <v>#REF!</v>
      </c>
      <c r="J34" s="45" t="e">
        <f>IF($B34-#REF!&lt;0,0,$B34-#REF!)</f>
        <v>#REF!</v>
      </c>
      <c r="K34" s="45" t="e">
        <f>IF($B34-#REF!&lt;0,0,$B34-#REF!)</f>
        <v>#REF!</v>
      </c>
      <c r="L34" s="45" t="e">
        <f>IF($B34-#REF!&lt;0,0,$B34-#REF!)</f>
        <v>#REF!</v>
      </c>
      <c r="M34" s="45" t="e">
        <f>IF($B34-#REF!&lt;0,0,$B34-#REF!)</f>
        <v>#REF!</v>
      </c>
      <c r="N34" s="45" t="e">
        <f>IF($B34-#REF!&lt;0,0,$B34-#REF!)</f>
        <v>#REF!</v>
      </c>
      <c r="O34" s="45" t="e">
        <f>IF($B34-#REF!&lt;0,0,$B34-#REF!)</f>
        <v>#REF!</v>
      </c>
      <c r="P34" s="45" t="e">
        <f>IF($B34-#REF!&lt;0,0,$B34-#REF!)</f>
        <v>#REF!</v>
      </c>
      <c r="Q34" s="45" t="e">
        <f>IF($B34-#REF!&lt;0,0,$B34-#REF!)</f>
        <v>#REF!</v>
      </c>
      <c r="R34" s="45" t="e">
        <f>IF($B34-#REF!&lt;0,0,$B34-#REF!)</f>
        <v>#REF!</v>
      </c>
      <c r="S34" s="45" t="e">
        <f>IF($B34-#REF!&lt;0,0,$B34-#REF!)</f>
        <v>#REF!</v>
      </c>
      <c r="T34" s="45" t="e">
        <f>IF($B34-#REF!&lt;0,0,$B34-#REF!)</f>
        <v>#REF!</v>
      </c>
      <c r="U34" s="45" t="e">
        <f>IF($B34-#REF!&lt;0,0,$B34-#REF!)</f>
        <v>#REF!</v>
      </c>
      <c r="V34" s="45" t="e">
        <f>IF($B34-#REF!&lt;0,0,$B34-#REF!)</f>
        <v>#REF!</v>
      </c>
      <c r="W34" s="45" t="e">
        <f>IF($B34-#REF!&lt;0,0,$B34-#REF!)</f>
        <v>#REF!</v>
      </c>
      <c r="X34" s="45" t="e">
        <f>IF($B34-#REF!&lt;0,0,$B34-#REF!)</f>
        <v>#REF!</v>
      </c>
      <c r="Y34" s="45" t="e">
        <f>IF($B34-#REF!&lt;0,0,$B34-#REF!)</f>
        <v>#REF!</v>
      </c>
      <c r="Z34" s="45" t="e">
        <f>IF($B34-#REF!&lt;0,0,$B34-#REF!)</f>
        <v>#REF!</v>
      </c>
      <c r="AA34" s="45" t="e">
        <f>IF($B34-#REF!&lt;0,0,$B34-#REF!)</f>
        <v>#REF!</v>
      </c>
      <c r="AB34" s="45" t="e">
        <f>IF($B34-#REF!&lt;0,0,$B34-#REF!)</f>
        <v>#REF!</v>
      </c>
      <c r="AC34" s="45" t="e">
        <f>IF($B34-#REF!&lt;0,0,$B34-#REF!)</f>
        <v>#REF!</v>
      </c>
      <c r="AD34" s="45" t="e">
        <f>IF($B34-#REF!&lt;0,0,$B34-#REF!)</f>
        <v>#REF!</v>
      </c>
      <c r="AE34" s="45" t="e">
        <f>IF($B34-#REF!&lt;0,0,$B34-#REF!)</f>
        <v>#REF!</v>
      </c>
      <c r="AF34" s="45" t="e">
        <f>IF($B34-#REF!&lt;0,0,$B34-#REF!)</f>
        <v>#REF!</v>
      </c>
      <c r="AG34" s="45" t="e">
        <f>IF($B34-#REF!&lt;0,0,$B34-#REF!)</f>
        <v>#REF!</v>
      </c>
      <c r="AH34" s="51">
        <v>18</v>
      </c>
      <c r="AI34" s="48" t="e">
        <f t="shared" si="2"/>
        <v>#REF!</v>
      </c>
      <c r="AJ34" s="49" t="e">
        <f t="shared" si="3"/>
        <v>#REF!</v>
      </c>
      <c r="AL34" s="170"/>
      <c r="AM34" s="28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</row>
    <row r="35" spans="1:89" x14ac:dyDescent="0.25">
      <c r="A35" s="44" t="s">
        <v>260</v>
      </c>
      <c r="B35" s="45">
        <v>5</v>
      </c>
      <c r="C35" s="45" t="e">
        <f>IF($B35-#REF!&lt;0,0,$B35-#REF!)</f>
        <v>#REF!</v>
      </c>
      <c r="D35" s="45" t="e">
        <f>IF($B35-#REF!&lt;0,0,$B35-#REF!)</f>
        <v>#REF!</v>
      </c>
      <c r="E35" s="45" t="e">
        <f>IF($B35-#REF!&lt;0,0,$B35-#REF!)</f>
        <v>#REF!</v>
      </c>
      <c r="F35" s="45" t="e">
        <f>IF($B35-#REF!&lt;0,0,$B35-#REF!)</f>
        <v>#REF!</v>
      </c>
      <c r="G35" s="45" t="e">
        <f>IF($B35-#REF!&lt;0,0,$B35-#REF!)</f>
        <v>#REF!</v>
      </c>
      <c r="H35" s="45" t="e">
        <f>IF($B35-#REF!&lt;0,0,$B35-#REF!)</f>
        <v>#REF!</v>
      </c>
      <c r="I35" s="45" t="e">
        <f>IF($B35-#REF!&lt;0,0,$B35-#REF!)</f>
        <v>#REF!</v>
      </c>
      <c r="J35" s="45" t="e">
        <f>IF($B35-#REF!&lt;0,0,$B35-#REF!)</f>
        <v>#REF!</v>
      </c>
      <c r="K35" s="45" t="e">
        <f>IF($B35-#REF!&lt;0,0,$B35-#REF!)</f>
        <v>#REF!</v>
      </c>
      <c r="L35" s="45" t="e">
        <f>IF($B35-#REF!&lt;0,0,$B35-#REF!)</f>
        <v>#REF!</v>
      </c>
      <c r="M35" s="45" t="e">
        <f>IF($B35-#REF!&lt;0,0,$B35-#REF!)</f>
        <v>#REF!</v>
      </c>
      <c r="N35" s="45" t="e">
        <f>IF($B35-#REF!&lt;0,0,$B35-#REF!)</f>
        <v>#REF!</v>
      </c>
      <c r="O35" s="45" t="e">
        <f>IF($B35-#REF!&lt;0,0,$B35-#REF!)</f>
        <v>#REF!</v>
      </c>
      <c r="P35" s="45" t="e">
        <f>IF($B35-#REF!&lt;0,0,$B35-#REF!)</f>
        <v>#REF!</v>
      </c>
      <c r="Q35" s="45" t="e">
        <f>IF($B35-#REF!&lt;0,0,$B35-#REF!)</f>
        <v>#REF!</v>
      </c>
      <c r="R35" s="45" t="e">
        <f>IF($B35-#REF!&lt;0,0,$B35-#REF!)</f>
        <v>#REF!</v>
      </c>
      <c r="S35" s="45" t="e">
        <f>IF($B35-#REF!&lt;0,0,$B35-#REF!)</f>
        <v>#REF!</v>
      </c>
      <c r="T35" s="45" t="e">
        <f>IF($B35-#REF!&lt;0,0,$B35-#REF!)</f>
        <v>#REF!</v>
      </c>
      <c r="U35" s="45" t="e">
        <f>IF($B35-#REF!&lt;0,0,$B35-#REF!)</f>
        <v>#REF!</v>
      </c>
      <c r="V35" s="45" t="e">
        <f>IF($B35-#REF!&lt;0,0,$B35-#REF!)</f>
        <v>#REF!</v>
      </c>
      <c r="W35" s="45" t="e">
        <f>IF($B35-#REF!&lt;0,0,$B35-#REF!)</f>
        <v>#REF!</v>
      </c>
      <c r="X35" s="45" t="e">
        <f>IF($B35-#REF!&lt;0,0,$B35-#REF!)</f>
        <v>#REF!</v>
      </c>
      <c r="Y35" s="45" t="e">
        <f>IF($B35-#REF!&lt;0,0,$B35-#REF!)</f>
        <v>#REF!</v>
      </c>
      <c r="Z35" s="45" t="e">
        <f>IF($B35-#REF!&lt;0,0,$B35-#REF!)</f>
        <v>#REF!</v>
      </c>
      <c r="AA35" s="45" t="e">
        <f>IF($B35-#REF!&lt;0,0,$B35-#REF!)</f>
        <v>#REF!</v>
      </c>
      <c r="AB35" s="45" t="e">
        <f>IF($B35-#REF!&lt;0,0,$B35-#REF!)</f>
        <v>#REF!</v>
      </c>
      <c r="AC35" s="45" t="e">
        <f>IF($B35-#REF!&lt;0,0,$B35-#REF!)</f>
        <v>#REF!</v>
      </c>
      <c r="AD35" s="45" t="e">
        <f>IF($B35-#REF!&lt;0,0,$B35-#REF!)</f>
        <v>#REF!</v>
      </c>
      <c r="AE35" s="45" t="e">
        <f>IF($B35-#REF!&lt;0,0,$B35-#REF!)</f>
        <v>#REF!</v>
      </c>
      <c r="AF35" s="45" t="e">
        <f>IF($B35-#REF!&lt;0,0,$B35-#REF!)</f>
        <v>#REF!</v>
      </c>
      <c r="AG35" s="45" t="e">
        <f>IF($B35-#REF!&lt;0,0,$B35-#REF!)</f>
        <v>#REF!</v>
      </c>
      <c r="AH35" s="51">
        <v>14.9</v>
      </c>
      <c r="AI35" s="48" t="e">
        <f t="shared" si="2"/>
        <v>#REF!</v>
      </c>
      <c r="AJ35" s="49" t="e">
        <f t="shared" si="3"/>
        <v>#REF!</v>
      </c>
      <c r="AL35" s="170"/>
      <c r="AM35" s="28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</row>
    <row r="36" spans="1:89" x14ac:dyDescent="0.25">
      <c r="A36" s="44" t="s">
        <v>35</v>
      </c>
      <c r="B36" s="45">
        <v>0</v>
      </c>
      <c r="C36" s="45" t="e">
        <f>IF($B36-#REF!&lt;0,0,$B36-#REF!)</f>
        <v>#REF!</v>
      </c>
      <c r="D36" s="45" t="e">
        <f>IF($B36-#REF!&lt;0,0,$B36-#REF!)</f>
        <v>#REF!</v>
      </c>
      <c r="E36" s="45" t="e">
        <f>IF($B36-#REF!&lt;0,0,$B36-#REF!)</f>
        <v>#REF!</v>
      </c>
      <c r="F36" s="45" t="e">
        <f>IF($B36-#REF!&lt;0,0,$B36-#REF!)</f>
        <v>#REF!</v>
      </c>
      <c r="G36" s="45" t="e">
        <f>IF($B36-#REF!&lt;0,0,$B36-#REF!)</f>
        <v>#REF!</v>
      </c>
      <c r="H36" s="45" t="e">
        <f>IF($B36-#REF!&lt;0,0,$B36-#REF!)</f>
        <v>#REF!</v>
      </c>
      <c r="I36" s="45" t="e">
        <f>IF($B36-#REF!&lt;0,0,$B36-#REF!)</f>
        <v>#REF!</v>
      </c>
      <c r="J36" s="45" t="e">
        <f>IF($B36-#REF!&lt;0,0,$B36-#REF!)</f>
        <v>#REF!</v>
      </c>
      <c r="K36" s="45" t="e">
        <f>IF($B36-#REF!&lt;0,0,$B36-#REF!)</f>
        <v>#REF!</v>
      </c>
      <c r="L36" s="45" t="e">
        <f>IF($B36-#REF!&lt;0,0,$B36-#REF!)</f>
        <v>#REF!</v>
      </c>
      <c r="M36" s="45" t="e">
        <f>IF($B36-#REF!&lt;0,0,$B36-#REF!)</f>
        <v>#REF!</v>
      </c>
      <c r="N36" s="45" t="e">
        <f>IF($B36-#REF!&lt;0,0,$B36-#REF!)</f>
        <v>#REF!</v>
      </c>
      <c r="O36" s="45" t="e">
        <f>IF($B36-#REF!&lt;0,0,$B36-#REF!)</f>
        <v>#REF!</v>
      </c>
      <c r="P36" s="45" t="e">
        <f>IF($B36-#REF!&lt;0,0,$B36-#REF!)</f>
        <v>#REF!</v>
      </c>
      <c r="Q36" s="45" t="e">
        <f>IF($B36-#REF!&lt;0,0,$B36-#REF!)</f>
        <v>#REF!</v>
      </c>
      <c r="R36" s="45" t="e">
        <f>IF($B36-#REF!&lt;0,0,$B36-#REF!)</f>
        <v>#REF!</v>
      </c>
      <c r="S36" s="45" t="e">
        <f>IF($B36-#REF!&lt;0,0,$B36-#REF!)</f>
        <v>#REF!</v>
      </c>
      <c r="T36" s="45" t="e">
        <f>IF($B36-#REF!&lt;0,0,$B36-#REF!)</f>
        <v>#REF!</v>
      </c>
      <c r="U36" s="45" t="e">
        <f>IF($B36-#REF!&lt;0,0,$B36-#REF!)</f>
        <v>#REF!</v>
      </c>
      <c r="V36" s="45" t="e">
        <f>IF($B36-#REF!&lt;0,0,$B36-#REF!)</f>
        <v>#REF!</v>
      </c>
      <c r="W36" s="45" t="e">
        <f>IF($B36-#REF!&lt;0,0,$B36-#REF!)</f>
        <v>#REF!</v>
      </c>
      <c r="X36" s="45" t="e">
        <f>IF($B36-#REF!&lt;0,0,$B36-#REF!)</f>
        <v>#REF!</v>
      </c>
      <c r="Y36" s="45" t="e">
        <f>IF($B36-#REF!&lt;0,0,$B36-#REF!)</f>
        <v>#REF!</v>
      </c>
      <c r="Z36" s="45" t="e">
        <f>IF($B36-#REF!&lt;0,0,$B36-#REF!)</f>
        <v>#REF!</v>
      </c>
      <c r="AA36" s="45" t="e">
        <f>IF($B36-#REF!&lt;0,0,$B36-#REF!)</f>
        <v>#REF!</v>
      </c>
      <c r="AB36" s="45" t="e">
        <f>IF($B36-#REF!&lt;0,0,$B36-#REF!)</f>
        <v>#REF!</v>
      </c>
      <c r="AC36" s="45" t="e">
        <f>IF($B36-#REF!&lt;0,0,$B36-#REF!)</f>
        <v>#REF!</v>
      </c>
      <c r="AD36" s="45" t="e">
        <f>IF($B36-#REF!&lt;0,0,$B36-#REF!)</f>
        <v>#REF!</v>
      </c>
      <c r="AE36" s="45" t="e">
        <f>IF($B36-#REF!&lt;0,0,$B36-#REF!)</f>
        <v>#REF!</v>
      </c>
      <c r="AF36" s="45" t="e">
        <f>IF($B36-#REF!&lt;0,0,$B36-#REF!)</f>
        <v>#REF!</v>
      </c>
      <c r="AG36" s="45" t="e">
        <f>IF($B36-#REF!&lt;0,0,$B36-#REF!)</f>
        <v>#REF!</v>
      </c>
      <c r="AH36" s="51">
        <v>14.9</v>
      </c>
      <c r="AI36" s="48" t="e">
        <f t="shared" si="2"/>
        <v>#REF!</v>
      </c>
      <c r="AJ36" s="49" t="e">
        <f t="shared" si="3"/>
        <v>#REF!</v>
      </c>
      <c r="AL36" s="170"/>
      <c r="AM36" s="28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</row>
    <row r="37" spans="1:89" x14ac:dyDescent="0.25">
      <c r="A37" s="44" t="s">
        <v>36</v>
      </c>
      <c r="B37" s="45">
        <v>6.5</v>
      </c>
      <c r="C37" s="45" t="e">
        <f>IF($B37-#REF!&lt;0,0,$B37-#REF!)</f>
        <v>#REF!</v>
      </c>
      <c r="D37" s="45" t="e">
        <f>IF($B37-#REF!&lt;0,0,$B37-#REF!)</f>
        <v>#REF!</v>
      </c>
      <c r="E37" s="45" t="e">
        <f>IF($B37-#REF!&lt;0,0,$B37-#REF!)</f>
        <v>#REF!</v>
      </c>
      <c r="F37" s="45" t="e">
        <f>IF($B37-#REF!&lt;0,0,$B37-#REF!)</f>
        <v>#REF!</v>
      </c>
      <c r="G37" s="45" t="e">
        <f>IF($B37-#REF!&lt;0,0,$B37-#REF!)</f>
        <v>#REF!</v>
      </c>
      <c r="H37" s="45" t="e">
        <f>IF($B37-#REF!&lt;0,0,$B37-#REF!)</f>
        <v>#REF!</v>
      </c>
      <c r="I37" s="45" t="e">
        <f>IF($B37-#REF!&lt;0,0,$B37-#REF!)</f>
        <v>#REF!</v>
      </c>
      <c r="J37" s="45" t="e">
        <f>IF($B37-#REF!&lt;0,0,$B37-#REF!)</f>
        <v>#REF!</v>
      </c>
      <c r="K37" s="45" t="e">
        <f>IF($B37-#REF!&lt;0,0,$B37-#REF!)</f>
        <v>#REF!</v>
      </c>
      <c r="L37" s="45" t="e">
        <f>IF($B37-#REF!&lt;0,0,$B37-#REF!)</f>
        <v>#REF!</v>
      </c>
      <c r="M37" s="45" t="e">
        <f>IF($B37-#REF!&lt;0,0,$B37-#REF!)</f>
        <v>#REF!</v>
      </c>
      <c r="N37" s="45" t="e">
        <f>IF($B37-#REF!&lt;0,0,$B37-#REF!)</f>
        <v>#REF!</v>
      </c>
      <c r="O37" s="45" t="e">
        <f>IF($B37-#REF!&lt;0,0,$B37-#REF!)</f>
        <v>#REF!</v>
      </c>
      <c r="P37" s="45" t="e">
        <f>IF($B37-#REF!&lt;0,0,$B37-#REF!)</f>
        <v>#REF!</v>
      </c>
      <c r="Q37" s="45" t="e">
        <f>IF($B37-#REF!&lt;0,0,$B37-#REF!)</f>
        <v>#REF!</v>
      </c>
      <c r="R37" s="45" t="e">
        <f>IF($B37-#REF!&lt;0,0,$B37-#REF!)</f>
        <v>#REF!</v>
      </c>
      <c r="S37" s="45" t="e">
        <f>IF($B37-#REF!&lt;0,0,$B37-#REF!)</f>
        <v>#REF!</v>
      </c>
      <c r="T37" s="45" t="e">
        <f>IF($B37-#REF!&lt;0,0,$B37-#REF!)</f>
        <v>#REF!</v>
      </c>
      <c r="U37" s="45" t="e">
        <f>IF($B37-#REF!&lt;0,0,$B37-#REF!)</f>
        <v>#REF!</v>
      </c>
      <c r="V37" s="45" t="e">
        <f>IF($B37-#REF!&lt;0,0,$B37-#REF!)</f>
        <v>#REF!</v>
      </c>
      <c r="W37" s="45" t="e">
        <f>IF($B37-#REF!&lt;0,0,$B37-#REF!)</f>
        <v>#REF!</v>
      </c>
      <c r="X37" s="45" t="e">
        <f>IF($B37-#REF!&lt;0,0,$B37-#REF!)</f>
        <v>#REF!</v>
      </c>
      <c r="Y37" s="45" t="e">
        <f>IF($B37-#REF!&lt;0,0,$B37-#REF!)</f>
        <v>#REF!</v>
      </c>
      <c r="Z37" s="45" t="e">
        <f>IF($B37-#REF!&lt;0,0,$B37-#REF!)</f>
        <v>#REF!</v>
      </c>
      <c r="AA37" s="45" t="e">
        <f>IF($B37-#REF!&lt;0,0,$B37-#REF!)</f>
        <v>#REF!</v>
      </c>
      <c r="AB37" s="45" t="e">
        <f>IF($B37-#REF!&lt;0,0,$B37-#REF!)</f>
        <v>#REF!</v>
      </c>
      <c r="AC37" s="45" t="e">
        <f>IF($B37-#REF!&lt;0,0,$B37-#REF!)</f>
        <v>#REF!</v>
      </c>
      <c r="AD37" s="45" t="e">
        <f>IF($B37-#REF!&lt;0,0,$B37-#REF!)</f>
        <v>#REF!</v>
      </c>
      <c r="AE37" s="45" t="e">
        <f>IF($B37-#REF!&lt;0,0,$B37-#REF!)</f>
        <v>#REF!</v>
      </c>
      <c r="AF37" s="45" t="e">
        <f>IF($B37-#REF!&lt;0,0,$B37-#REF!)</f>
        <v>#REF!</v>
      </c>
      <c r="AG37" s="45" t="e">
        <f>IF($B37-#REF!&lt;0,0,$B37-#REF!)</f>
        <v>#REF!</v>
      </c>
      <c r="AH37" s="51">
        <v>13.6</v>
      </c>
      <c r="AI37" s="48" t="e">
        <f t="shared" si="2"/>
        <v>#REF!</v>
      </c>
      <c r="AJ37" s="49" t="e">
        <f t="shared" si="3"/>
        <v>#REF!</v>
      </c>
      <c r="AL37" s="170"/>
      <c r="AM37" s="28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</row>
    <row r="38" spans="1:89" x14ac:dyDescent="0.25">
      <c r="A38" s="44" t="s">
        <v>37</v>
      </c>
      <c r="B38" s="45">
        <v>5</v>
      </c>
      <c r="C38" s="45" t="e">
        <f>IF($B38-#REF!&lt;0,0,$B38-#REF!)</f>
        <v>#REF!</v>
      </c>
      <c r="D38" s="45" t="e">
        <f>IF($B38-#REF!&lt;0,0,$B38-#REF!)</f>
        <v>#REF!</v>
      </c>
      <c r="E38" s="45" t="e">
        <f>IF($B38-#REF!&lt;0,0,$B38-#REF!)</f>
        <v>#REF!</v>
      </c>
      <c r="F38" s="45" t="e">
        <f>IF($B38-#REF!&lt;0,0,$B38-#REF!)</f>
        <v>#REF!</v>
      </c>
      <c r="G38" s="45" t="e">
        <f>IF($B38-#REF!&lt;0,0,$B38-#REF!)</f>
        <v>#REF!</v>
      </c>
      <c r="H38" s="45" t="e">
        <f>IF($B38-#REF!&lt;0,0,$B38-#REF!)</f>
        <v>#REF!</v>
      </c>
      <c r="I38" s="45" t="e">
        <f>IF($B38-#REF!&lt;0,0,$B38-#REF!)</f>
        <v>#REF!</v>
      </c>
      <c r="J38" s="45" t="e">
        <f>IF($B38-#REF!&lt;0,0,$B38-#REF!)</f>
        <v>#REF!</v>
      </c>
      <c r="K38" s="45" t="e">
        <f>IF($B38-#REF!&lt;0,0,$B38-#REF!)</f>
        <v>#REF!</v>
      </c>
      <c r="L38" s="45" t="e">
        <f>IF($B38-#REF!&lt;0,0,$B38-#REF!)</f>
        <v>#REF!</v>
      </c>
      <c r="M38" s="45" t="e">
        <f>IF($B38-#REF!&lt;0,0,$B38-#REF!)</f>
        <v>#REF!</v>
      </c>
      <c r="N38" s="45" t="e">
        <f>IF($B38-#REF!&lt;0,0,$B38-#REF!)</f>
        <v>#REF!</v>
      </c>
      <c r="O38" s="45" t="e">
        <f>IF($B38-#REF!&lt;0,0,$B38-#REF!)</f>
        <v>#REF!</v>
      </c>
      <c r="P38" s="45" t="e">
        <f>IF($B38-#REF!&lt;0,0,$B38-#REF!)</f>
        <v>#REF!</v>
      </c>
      <c r="Q38" s="45" t="e">
        <f>IF($B38-#REF!&lt;0,0,$B38-#REF!)</f>
        <v>#REF!</v>
      </c>
      <c r="R38" s="45" t="e">
        <f>IF($B38-#REF!&lt;0,0,$B38-#REF!)</f>
        <v>#REF!</v>
      </c>
      <c r="S38" s="45" t="e">
        <f>IF($B38-#REF!&lt;0,0,$B38-#REF!)</f>
        <v>#REF!</v>
      </c>
      <c r="T38" s="45" t="e">
        <f>IF($B38-#REF!&lt;0,0,$B38-#REF!)</f>
        <v>#REF!</v>
      </c>
      <c r="U38" s="45" t="e">
        <f>IF($B38-#REF!&lt;0,0,$B38-#REF!)</f>
        <v>#REF!</v>
      </c>
      <c r="V38" s="45" t="e">
        <f>IF($B38-#REF!&lt;0,0,$B38-#REF!)</f>
        <v>#REF!</v>
      </c>
      <c r="W38" s="45" t="e">
        <f>IF($B38-#REF!&lt;0,0,$B38-#REF!)</f>
        <v>#REF!</v>
      </c>
      <c r="X38" s="45" t="e">
        <f>IF($B38-#REF!&lt;0,0,$B38-#REF!)</f>
        <v>#REF!</v>
      </c>
      <c r="Y38" s="45" t="e">
        <f>IF($B38-#REF!&lt;0,0,$B38-#REF!)</f>
        <v>#REF!</v>
      </c>
      <c r="Z38" s="45" t="e">
        <f>IF($B38-#REF!&lt;0,0,$B38-#REF!)</f>
        <v>#REF!</v>
      </c>
      <c r="AA38" s="45" t="e">
        <f>IF($B38-#REF!&lt;0,0,$B38-#REF!)</f>
        <v>#REF!</v>
      </c>
      <c r="AB38" s="45" t="e">
        <f>IF($B38-#REF!&lt;0,0,$B38-#REF!)</f>
        <v>#REF!</v>
      </c>
      <c r="AC38" s="45" t="e">
        <f>IF($B38-#REF!&lt;0,0,$B38-#REF!)</f>
        <v>#REF!</v>
      </c>
      <c r="AD38" s="45" t="e">
        <f>IF($B38-#REF!&lt;0,0,$B38-#REF!)</f>
        <v>#REF!</v>
      </c>
      <c r="AE38" s="45" t="e">
        <f>IF($B38-#REF!&lt;0,0,$B38-#REF!)</f>
        <v>#REF!</v>
      </c>
      <c r="AF38" s="45" t="e">
        <f>IF($B38-#REF!&lt;0,0,$B38-#REF!)</f>
        <v>#REF!</v>
      </c>
      <c r="AG38" s="45" t="e">
        <f>IF($B38-#REF!&lt;0,0,$B38-#REF!)</f>
        <v>#REF!</v>
      </c>
      <c r="AH38" s="51">
        <v>13</v>
      </c>
      <c r="AI38" s="48" t="e">
        <f t="shared" si="2"/>
        <v>#REF!</v>
      </c>
      <c r="AJ38" s="49" t="e">
        <f t="shared" si="3"/>
        <v>#REF!</v>
      </c>
      <c r="AL38" s="170"/>
      <c r="AM38" s="28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</row>
    <row r="39" spans="1:89" x14ac:dyDescent="0.25">
      <c r="A39" s="44" t="s">
        <v>38</v>
      </c>
      <c r="B39" s="45">
        <v>10</v>
      </c>
      <c r="C39" s="45" t="e">
        <f>IF($B39-#REF!&lt;0,0,$B39-#REF!)</f>
        <v>#REF!</v>
      </c>
      <c r="D39" s="45" t="e">
        <f>IF($B39-#REF!&lt;0,0,$B39-#REF!)</f>
        <v>#REF!</v>
      </c>
      <c r="E39" s="45" t="e">
        <f>IF($B39-#REF!&lt;0,0,$B39-#REF!)</f>
        <v>#REF!</v>
      </c>
      <c r="F39" s="45" t="e">
        <f>IF($B39-#REF!&lt;0,0,$B39-#REF!)</f>
        <v>#REF!</v>
      </c>
      <c r="G39" s="45" t="e">
        <f>IF($B39-#REF!&lt;0,0,$B39-#REF!)</f>
        <v>#REF!</v>
      </c>
      <c r="H39" s="45" t="e">
        <f>IF($B39-#REF!&lt;0,0,$B39-#REF!)</f>
        <v>#REF!</v>
      </c>
      <c r="I39" s="45" t="e">
        <f>IF($B39-#REF!&lt;0,0,$B39-#REF!)</f>
        <v>#REF!</v>
      </c>
      <c r="J39" s="45" t="e">
        <f>IF($B39-#REF!&lt;0,0,$B39-#REF!)</f>
        <v>#REF!</v>
      </c>
      <c r="K39" s="45" t="e">
        <f>IF($B39-#REF!&lt;0,0,$B39-#REF!)</f>
        <v>#REF!</v>
      </c>
      <c r="L39" s="45" t="e">
        <f>IF($B39-#REF!&lt;0,0,$B39-#REF!)</f>
        <v>#REF!</v>
      </c>
      <c r="M39" s="45" t="e">
        <f>IF($B39-#REF!&lt;0,0,$B39-#REF!)</f>
        <v>#REF!</v>
      </c>
      <c r="N39" s="45" t="e">
        <f>IF($B39-#REF!&lt;0,0,$B39-#REF!)</f>
        <v>#REF!</v>
      </c>
      <c r="O39" s="45" t="e">
        <f>IF($B39-#REF!&lt;0,0,$B39-#REF!)</f>
        <v>#REF!</v>
      </c>
      <c r="P39" s="45" t="e">
        <f>IF($B39-#REF!&lt;0,0,$B39-#REF!)</f>
        <v>#REF!</v>
      </c>
      <c r="Q39" s="45" t="e">
        <f>IF($B39-#REF!&lt;0,0,$B39-#REF!)</f>
        <v>#REF!</v>
      </c>
      <c r="R39" s="45" t="e">
        <f>IF($B39-#REF!&lt;0,0,$B39-#REF!)</f>
        <v>#REF!</v>
      </c>
      <c r="S39" s="45" t="e">
        <f>IF($B39-#REF!&lt;0,0,$B39-#REF!)</f>
        <v>#REF!</v>
      </c>
      <c r="T39" s="45" t="e">
        <f>IF($B39-#REF!&lt;0,0,$B39-#REF!)</f>
        <v>#REF!</v>
      </c>
      <c r="U39" s="45" t="e">
        <f>IF($B39-#REF!&lt;0,0,$B39-#REF!)</f>
        <v>#REF!</v>
      </c>
      <c r="V39" s="45" t="e">
        <f>IF($B39-#REF!&lt;0,0,$B39-#REF!)</f>
        <v>#REF!</v>
      </c>
      <c r="W39" s="45" t="e">
        <f>IF($B39-#REF!&lt;0,0,$B39-#REF!)</f>
        <v>#REF!</v>
      </c>
      <c r="X39" s="45" t="e">
        <f>IF($B39-#REF!&lt;0,0,$B39-#REF!)</f>
        <v>#REF!</v>
      </c>
      <c r="Y39" s="45" t="e">
        <f>IF($B39-#REF!&lt;0,0,$B39-#REF!)</f>
        <v>#REF!</v>
      </c>
      <c r="Z39" s="45" t="e">
        <f>IF($B39-#REF!&lt;0,0,$B39-#REF!)</f>
        <v>#REF!</v>
      </c>
      <c r="AA39" s="45" t="e">
        <f>IF($B39-#REF!&lt;0,0,$B39-#REF!)</f>
        <v>#REF!</v>
      </c>
      <c r="AB39" s="45" t="e">
        <f>IF($B39-#REF!&lt;0,0,$B39-#REF!)</f>
        <v>#REF!</v>
      </c>
      <c r="AC39" s="45" t="e">
        <f>IF($B39-#REF!&lt;0,0,$B39-#REF!)</f>
        <v>#REF!</v>
      </c>
      <c r="AD39" s="45" t="e">
        <f>IF($B39-#REF!&lt;0,0,$B39-#REF!)</f>
        <v>#REF!</v>
      </c>
      <c r="AE39" s="45" t="e">
        <f>IF($B39-#REF!&lt;0,0,$B39-#REF!)</f>
        <v>#REF!</v>
      </c>
      <c r="AF39" s="45" t="e">
        <f>IF($B39-#REF!&lt;0,0,$B39-#REF!)</f>
        <v>#REF!</v>
      </c>
      <c r="AG39" s="45" t="e">
        <f>IF($B39-#REF!&lt;0,0,$B39-#REF!)</f>
        <v>#REF!</v>
      </c>
      <c r="AH39" s="51">
        <v>12</v>
      </c>
      <c r="AI39" s="48" t="e">
        <f t="shared" si="2"/>
        <v>#REF!</v>
      </c>
      <c r="AJ39" s="49" t="e">
        <f t="shared" si="3"/>
        <v>#REF!</v>
      </c>
      <c r="AL39" s="170"/>
      <c r="AM39" s="28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</row>
    <row r="40" spans="1:89" x14ac:dyDescent="0.25">
      <c r="A40" s="44" t="s">
        <v>39</v>
      </c>
      <c r="B40" s="45">
        <v>12</v>
      </c>
      <c r="C40" s="45" t="e">
        <f>IF($B40-#REF!&lt;0,0,$B40-#REF!)</f>
        <v>#REF!</v>
      </c>
      <c r="D40" s="45" t="e">
        <f>IF($B40-#REF!&lt;0,0,$B40-#REF!)</f>
        <v>#REF!</v>
      </c>
      <c r="E40" s="45" t="e">
        <f>IF($B40-#REF!&lt;0,0,$B40-#REF!)</f>
        <v>#REF!</v>
      </c>
      <c r="F40" s="45" t="e">
        <f>IF($B40-#REF!&lt;0,0,$B40-#REF!)</f>
        <v>#REF!</v>
      </c>
      <c r="G40" s="45" t="e">
        <f>IF($B40-#REF!&lt;0,0,$B40-#REF!)</f>
        <v>#REF!</v>
      </c>
      <c r="H40" s="45" t="e">
        <f>IF($B40-#REF!&lt;0,0,$B40-#REF!)</f>
        <v>#REF!</v>
      </c>
      <c r="I40" s="45" t="e">
        <f>IF($B40-#REF!&lt;0,0,$B40-#REF!)</f>
        <v>#REF!</v>
      </c>
      <c r="J40" s="45" t="e">
        <f>IF($B40-#REF!&lt;0,0,$B40-#REF!)</f>
        <v>#REF!</v>
      </c>
      <c r="K40" s="45" t="e">
        <f>IF($B40-#REF!&lt;0,0,$B40-#REF!)</f>
        <v>#REF!</v>
      </c>
      <c r="L40" s="45" t="e">
        <f>IF($B40-#REF!&lt;0,0,$B40-#REF!)</f>
        <v>#REF!</v>
      </c>
      <c r="M40" s="45" t="e">
        <f>IF($B40-#REF!&lt;0,0,$B40-#REF!)</f>
        <v>#REF!</v>
      </c>
      <c r="N40" s="45" t="e">
        <f>IF($B40-#REF!&lt;0,0,$B40-#REF!)</f>
        <v>#REF!</v>
      </c>
      <c r="O40" s="45" t="e">
        <f>IF($B40-#REF!&lt;0,0,$B40-#REF!)</f>
        <v>#REF!</v>
      </c>
      <c r="P40" s="45" t="e">
        <f>IF($B40-#REF!&lt;0,0,$B40-#REF!)</f>
        <v>#REF!</v>
      </c>
      <c r="Q40" s="45" t="e">
        <f>IF($B40-#REF!&lt;0,0,$B40-#REF!)</f>
        <v>#REF!</v>
      </c>
      <c r="R40" s="45" t="e">
        <f>IF($B40-#REF!&lt;0,0,$B40-#REF!)</f>
        <v>#REF!</v>
      </c>
      <c r="S40" s="45" t="e">
        <f>IF($B40-#REF!&lt;0,0,$B40-#REF!)</f>
        <v>#REF!</v>
      </c>
      <c r="T40" s="45" t="e">
        <f>IF($B40-#REF!&lt;0,0,$B40-#REF!)</f>
        <v>#REF!</v>
      </c>
      <c r="U40" s="45" t="e">
        <f>IF($B40-#REF!&lt;0,0,$B40-#REF!)</f>
        <v>#REF!</v>
      </c>
      <c r="V40" s="45" t="e">
        <f>IF($B40-#REF!&lt;0,0,$B40-#REF!)</f>
        <v>#REF!</v>
      </c>
      <c r="W40" s="45" t="e">
        <f>IF($B40-#REF!&lt;0,0,$B40-#REF!)</f>
        <v>#REF!</v>
      </c>
      <c r="X40" s="45" t="e">
        <f>IF($B40-#REF!&lt;0,0,$B40-#REF!)</f>
        <v>#REF!</v>
      </c>
      <c r="Y40" s="45" t="e">
        <f>IF($B40-#REF!&lt;0,0,$B40-#REF!)</f>
        <v>#REF!</v>
      </c>
      <c r="Z40" s="45" t="e">
        <f>IF($B40-#REF!&lt;0,0,$B40-#REF!)</f>
        <v>#REF!</v>
      </c>
      <c r="AA40" s="45" t="e">
        <f>IF($B40-#REF!&lt;0,0,$B40-#REF!)</f>
        <v>#REF!</v>
      </c>
      <c r="AB40" s="45" t="e">
        <f>IF($B40-#REF!&lt;0,0,$B40-#REF!)</f>
        <v>#REF!</v>
      </c>
      <c r="AC40" s="45" t="e">
        <f>IF($B40-#REF!&lt;0,0,$B40-#REF!)</f>
        <v>#REF!</v>
      </c>
      <c r="AD40" s="45" t="e">
        <f>IF($B40-#REF!&lt;0,0,$B40-#REF!)</f>
        <v>#REF!</v>
      </c>
      <c r="AE40" s="45" t="e">
        <f>IF($B40-#REF!&lt;0,0,$B40-#REF!)</f>
        <v>#REF!</v>
      </c>
      <c r="AF40" s="45" t="e">
        <f>IF($B40-#REF!&lt;0,0,$B40-#REF!)</f>
        <v>#REF!</v>
      </c>
      <c r="AG40" s="45" t="e">
        <f>IF($B40-#REF!&lt;0,0,$B40-#REF!)</f>
        <v>#REF!</v>
      </c>
      <c r="AH40" s="51">
        <v>12</v>
      </c>
      <c r="AI40" s="48" t="e">
        <f t="shared" si="2"/>
        <v>#REF!</v>
      </c>
      <c r="AJ40" s="49" t="e">
        <f t="shared" si="3"/>
        <v>#REF!</v>
      </c>
      <c r="AL40" s="170"/>
      <c r="AM40" s="28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</row>
    <row r="41" spans="1:89" x14ac:dyDescent="0.25">
      <c r="A41" s="44" t="s">
        <v>261</v>
      </c>
      <c r="B41" s="45">
        <v>6.9</v>
      </c>
      <c r="C41" s="45" t="e">
        <f>IF($B41-#REF!&lt;0,0,$B41-#REF!)</f>
        <v>#REF!</v>
      </c>
      <c r="D41" s="45" t="e">
        <f>IF($B41-#REF!&lt;0,0,$B41-#REF!)</f>
        <v>#REF!</v>
      </c>
      <c r="E41" s="45" t="e">
        <f>IF($B41-#REF!&lt;0,0,$B41-#REF!)</f>
        <v>#REF!</v>
      </c>
      <c r="F41" s="45" t="e">
        <f>IF($B41-#REF!&lt;0,0,$B41-#REF!)</f>
        <v>#REF!</v>
      </c>
      <c r="G41" s="45" t="e">
        <f>IF($B41-#REF!&lt;0,0,$B41-#REF!)</f>
        <v>#REF!</v>
      </c>
      <c r="H41" s="45" t="e">
        <f>IF($B41-#REF!&lt;0,0,$B41-#REF!)</f>
        <v>#REF!</v>
      </c>
      <c r="I41" s="45" t="e">
        <f>IF($B41-#REF!&lt;0,0,$B41-#REF!)</f>
        <v>#REF!</v>
      </c>
      <c r="J41" s="45" t="e">
        <f>IF($B41-#REF!&lt;0,0,$B41-#REF!)</f>
        <v>#REF!</v>
      </c>
      <c r="K41" s="45" t="e">
        <f>IF($B41-#REF!&lt;0,0,$B41-#REF!)</f>
        <v>#REF!</v>
      </c>
      <c r="L41" s="45" t="e">
        <f>IF($B41-#REF!&lt;0,0,$B41-#REF!)</f>
        <v>#REF!</v>
      </c>
      <c r="M41" s="45" t="e">
        <f>IF($B41-#REF!&lt;0,0,$B41-#REF!)</f>
        <v>#REF!</v>
      </c>
      <c r="N41" s="45" t="e">
        <f>IF($B41-#REF!&lt;0,0,$B41-#REF!)</f>
        <v>#REF!</v>
      </c>
      <c r="O41" s="45" t="e">
        <f>IF($B41-#REF!&lt;0,0,$B41-#REF!)</f>
        <v>#REF!</v>
      </c>
      <c r="P41" s="45" t="e">
        <f>IF($B41-#REF!&lt;0,0,$B41-#REF!)</f>
        <v>#REF!</v>
      </c>
      <c r="Q41" s="45" t="e">
        <f>IF($B41-#REF!&lt;0,0,$B41-#REF!)</f>
        <v>#REF!</v>
      </c>
      <c r="R41" s="45" t="e">
        <f>IF($B41-#REF!&lt;0,0,$B41-#REF!)</f>
        <v>#REF!</v>
      </c>
      <c r="S41" s="45" t="e">
        <f>IF($B41-#REF!&lt;0,0,$B41-#REF!)</f>
        <v>#REF!</v>
      </c>
      <c r="T41" s="45" t="e">
        <f>IF($B41-#REF!&lt;0,0,$B41-#REF!)</f>
        <v>#REF!</v>
      </c>
      <c r="U41" s="45" t="e">
        <f>IF($B41-#REF!&lt;0,0,$B41-#REF!)</f>
        <v>#REF!</v>
      </c>
      <c r="V41" s="45" t="e">
        <f>IF($B41-#REF!&lt;0,0,$B41-#REF!)</f>
        <v>#REF!</v>
      </c>
      <c r="W41" s="45" t="e">
        <f>IF($B41-#REF!&lt;0,0,$B41-#REF!)</f>
        <v>#REF!</v>
      </c>
      <c r="X41" s="45" t="e">
        <f>IF($B41-#REF!&lt;0,0,$B41-#REF!)</f>
        <v>#REF!</v>
      </c>
      <c r="Y41" s="45" t="e">
        <f>IF($B41-#REF!&lt;0,0,$B41-#REF!)</f>
        <v>#REF!</v>
      </c>
      <c r="Z41" s="45" t="e">
        <f>IF($B41-#REF!&lt;0,0,$B41-#REF!)</f>
        <v>#REF!</v>
      </c>
      <c r="AA41" s="45" t="e">
        <f>IF($B41-#REF!&lt;0,0,$B41-#REF!)</f>
        <v>#REF!</v>
      </c>
      <c r="AB41" s="45" t="e">
        <f>IF($B41-#REF!&lt;0,0,$B41-#REF!)</f>
        <v>#REF!</v>
      </c>
      <c r="AC41" s="45" t="e">
        <f>IF($B41-#REF!&lt;0,0,$B41-#REF!)</f>
        <v>#REF!</v>
      </c>
      <c r="AD41" s="45" t="e">
        <f>IF($B41-#REF!&lt;0,0,$B41-#REF!)</f>
        <v>#REF!</v>
      </c>
      <c r="AE41" s="45" t="e">
        <f>IF($B41-#REF!&lt;0,0,$B41-#REF!)</f>
        <v>#REF!</v>
      </c>
      <c r="AF41" s="45" t="e">
        <f>IF($B41-#REF!&lt;0,0,$B41-#REF!)</f>
        <v>#REF!</v>
      </c>
      <c r="AG41" s="45" t="e">
        <f>IF($B41-#REF!&lt;0,0,$B41-#REF!)</f>
        <v>#REF!</v>
      </c>
      <c r="AH41" s="51">
        <v>12</v>
      </c>
      <c r="AI41" s="48" t="e">
        <f t="shared" si="2"/>
        <v>#REF!</v>
      </c>
      <c r="AJ41" s="49" t="e">
        <f t="shared" si="3"/>
        <v>#REF!</v>
      </c>
      <c r="AL41" s="170"/>
      <c r="AM41" s="28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</row>
    <row r="42" spans="1:89" ht="14.25" customHeight="1" x14ac:dyDescent="0.25">
      <c r="A42" s="44" t="s">
        <v>41</v>
      </c>
      <c r="B42" s="45">
        <v>8</v>
      </c>
      <c r="C42" s="45" t="e">
        <f>IF($B42-#REF!&lt;0,0,$B42-#REF!)</f>
        <v>#REF!</v>
      </c>
      <c r="D42" s="45" t="e">
        <f>IF($B42-#REF!&lt;0,0,$B42-#REF!)</f>
        <v>#REF!</v>
      </c>
      <c r="E42" s="45" t="e">
        <f>IF($B42-#REF!&lt;0,0,$B42-#REF!)</f>
        <v>#REF!</v>
      </c>
      <c r="F42" s="45" t="e">
        <f>IF($B42-#REF!&lt;0,0,$B42-#REF!)</f>
        <v>#REF!</v>
      </c>
      <c r="G42" s="45" t="e">
        <f>IF($B42-#REF!&lt;0,0,$B42-#REF!)</f>
        <v>#REF!</v>
      </c>
      <c r="H42" s="45" t="e">
        <f>IF($B42-#REF!&lt;0,0,$B42-#REF!)</f>
        <v>#REF!</v>
      </c>
      <c r="I42" s="45" t="e">
        <f>IF($B42-#REF!&lt;0,0,$B42-#REF!)</f>
        <v>#REF!</v>
      </c>
      <c r="J42" s="45" t="e">
        <f>IF($B42-#REF!&lt;0,0,$B42-#REF!)</f>
        <v>#REF!</v>
      </c>
      <c r="K42" s="45" t="e">
        <f>IF($B42-#REF!&lt;0,0,$B42-#REF!)</f>
        <v>#REF!</v>
      </c>
      <c r="L42" s="45" t="e">
        <f>IF($B42-#REF!&lt;0,0,$B42-#REF!)</f>
        <v>#REF!</v>
      </c>
      <c r="M42" s="45" t="e">
        <f>IF($B42-#REF!&lt;0,0,$B42-#REF!)</f>
        <v>#REF!</v>
      </c>
      <c r="N42" s="45" t="e">
        <f>IF($B42-#REF!&lt;0,0,$B42-#REF!)</f>
        <v>#REF!</v>
      </c>
      <c r="O42" s="45" t="e">
        <f>IF($B42-#REF!&lt;0,0,$B42-#REF!)</f>
        <v>#REF!</v>
      </c>
      <c r="P42" s="45" t="e">
        <f>IF($B42-#REF!&lt;0,0,$B42-#REF!)</f>
        <v>#REF!</v>
      </c>
      <c r="Q42" s="45" t="e">
        <f>IF($B42-#REF!&lt;0,0,$B42-#REF!)</f>
        <v>#REF!</v>
      </c>
      <c r="R42" s="45" t="e">
        <f>IF($B42-#REF!&lt;0,0,$B42-#REF!)</f>
        <v>#REF!</v>
      </c>
      <c r="S42" s="45" t="e">
        <f>IF($B42-#REF!&lt;0,0,$B42-#REF!)</f>
        <v>#REF!</v>
      </c>
      <c r="T42" s="45" t="e">
        <f>IF($B42-#REF!&lt;0,0,$B42-#REF!)</f>
        <v>#REF!</v>
      </c>
      <c r="U42" s="45" t="e">
        <f>IF($B42-#REF!&lt;0,0,$B42-#REF!)</f>
        <v>#REF!</v>
      </c>
      <c r="V42" s="45" t="e">
        <f>IF($B42-#REF!&lt;0,0,$B42-#REF!)</f>
        <v>#REF!</v>
      </c>
      <c r="W42" s="45" t="e">
        <f>IF($B42-#REF!&lt;0,0,$B42-#REF!)</f>
        <v>#REF!</v>
      </c>
      <c r="X42" s="45" t="e">
        <f>IF($B42-#REF!&lt;0,0,$B42-#REF!)</f>
        <v>#REF!</v>
      </c>
      <c r="Y42" s="45" t="e">
        <f>IF($B42-#REF!&lt;0,0,$B42-#REF!)</f>
        <v>#REF!</v>
      </c>
      <c r="Z42" s="45" t="e">
        <f>IF($B42-#REF!&lt;0,0,$B42-#REF!)</f>
        <v>#REF!</v>
      </c>
      <c r="AA42" s="45" t="e">
        <f>IF($B42-#REF!&lt;0,0,$B42-#REF!)</f>
        <v>#REF!</v>
      </c>
      <c r="AB42" s="45" t="e">
        <f>IF($B42-#REF!&lt;0,0,$B42-#REF!)</f>
        <v>#REF!</v>
      </c>
      <c r="AC42" s="45" t="e">
        <f>IF($B42-#REF!&lt;0,0,$B42-#REF!)</f>
        <v>#REF!</v>
      </c>
      <c r="AD42" s="45" t="e">
        <f>IF($B42-#REF!&lt;0,0,$B42-#REF!)</f>
        <v>#REF!</v>
      </c>
      <c r="AE42" s="45" t="e">
        <f>IF($B42-#REF!&lt;0,0,$B42-#REF!)</f>
        <v>#REF!</v>
      </c>
      <c r="AF42" s="45" t="e">
        <f>IF($B42-#REF!&lt;0,0,$B42-#REF!)</f>
        <v>#REF!</v>
      </c>
      <c r="AG42" s="45" t="e">
        <f>IF($B42-#REF!&lt;0,0,$B42-#REF!)</f>
        <v>#REF!</v>
      </c>
      <c r="AH42" s="53">
        <v>22</v>
      </c>
      <c r="AI42" s="48" t="e">
        <f t="shared" si="2"/>
        <v>#REF!</v>
      </c>
      <c r="AJ42" s="49" t="e">
        <f t="shared" si="3"/>
        <v>#REF!</v>
      </c>
      <c r="AL42" s="170"/>
      <c r="AM42" s="28"/>
      <c r="AN42" s="24"/>
      <c r="AO42" s="24"/>
      <c r="AP42" s="24"/>
      <c r="AQ42" s="24"/>
      <c r="AR42" s="15"/>
      <c r="AS42" s="21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</row>
    <row r="43" spans="1:89" ht="14.25" customHeight="1" x14ac:dyDescent="0.25">
      <c r="A43" s="44" t="s">
        <v>42</v>
      </c>
      <c r="B43" s="45">
        <v>8</v>
      </c>
      <c r="C43" s="45" t="e">
        <f>IF($B43-#REF!&lt;0,0,$B43-#REF!)</f>
        <v>#REF!</v>
      </c>
      <c r="D43" s="45" t="e">
        <f>IF($B43-#REF!&lt;0,0,$B43-#REF!)</f>
        <v>#REF!</v>
      </c>
      <c r="E43" s="45" t="e">
        <f>IF($B43-#REF!&lt;0,0,$B43-#REF!)</f>
        <v>#REF!</v>
      </c>
      <c r="F43" s="45" t="e">
        <f>IF($B43-#REF!&lt;0,0,$B43-#REF!)</f>
        <v>#REF!</v>
      </c>
      <c r="G43" s="45" t="e">
        <f>IF($B43-#REF!&lt;0,0,$B43-#REF!)</f>
        <v>#REF!</v>
      </c>
      <c r="H43" s="45" t="e">
        <f>IF($B43-#REF!&lt;0,0,$B43-#REF!)</f>
        <v>#REF!</v>
      </c>
      <c r="I43" s="45" t="e">
        <f>IF($B43-#REF!&lt;0,0,$B43-#REF!)</f>
        <v>#REF!</v>
      </c>
      <c r="J43" s="45" t="e">
        <f>IF($B43-#REF!&lt;0,0,$B43-#REF!)</f>
        <v>#REF!</v>
      </c>
      <c r="K43" s="45" t="e">
        <f>IF($B43-#REF!&lt;0,0,$B43-#REF!)</f>
        <v>#REF!</v>
      </c>
      <c r="L43" s="45" t="e">
        <f>IF($B43-#REF!&lt;0,0,$B43-#REF!)</f>
        <v>#REF!</v>
      </c>
      <c r="M43" s="45" t="e">
        <f>IF($B43-#REF!&lt;0,0,$B43-#REF!)</f>
        <v>#REF!</v>
      </c>
      <c r="N43" s="45" t="e">
        <f>IF($B43-#REF!&lt;0,0,$B43-#REF!)</f>
        <v>#REF!</v>
      </c>
      <c r="O43" s="45" t="e">
        <f>IF($B43-#REF!&lt;0,0,$B43-#REF!)</f>
        <v>#REF!</v>
      </c>
      <c r="P43" s="45" t="e">
        <f>IF($B43-#REF!&lt;0,0,$B43-#REF!)</f>
        <v>#REF!</v>
      </c>
      <c r="Q43" s="45" t="e">
        <f>IF($B43-#REF!&lt;0,0,$B43-#REF!)</f>
        <v>#REF!</v>
      </c>
      <c r="R43" s="45" t="e">
        <f>IF($B43-#REF!&lt;0,0,$B43-#REF!)</f>
        <v>#REF!</v>
      </c>
      <c r="S43" s="45" t="e">
        <f>IF($B43-#REF!&lt;0,0,$B43-#REF!)</f>
        <v>#REF!</v>
      </c>
      <c r="T43" s="45" t="e">
        <f>IF($B43-#REF!&lt;0,0,$B43-#REF!)</f>
        <v>#REF!</v>
      </c>
      <c r="U43" s="45" t="e">
        <f>IF($B43-#REF!&lt;0,0,$B43-#REF!)</f>
        <v>#REF!</v>
      </c>
      <c r="V43" s="45" t="e">
        <f>IF($B43-#REF!&lt;0,0,$B43-#REF!)</f>
        <v>#REF!</v>
      </c>
      <c r="W43" s="45" t="e">
        <f>IF($B43-#REF!&lt;0,0,$B43-#REF!)</f>
        <v>#REF!</v>
      </c>
      <c r="X43" s="45" t="e">
        <f>IF($B43-#REF!&lt;0,0,$B43-#REF!)</f>
        <v>#REF!</v>
      </c>
      <c r="Y43" s="45" t="e">
        <f>IF($B43-#REF!&lt;0,0,$B43-#REF!)</f>
        <v>#REF!</v>
      </c>
      <c r="Z43" s="45" t="e">
        <f>IF($B43-#REF!&lt;0,0,$B43-#REF!)</f>
        <v>#REF!</v>
      </c>
      <c r="AA43" s="45" t="e">
        <f>IF($B43-#REF!&lt;0,0,$B43-#REF!)</f>
        <v>#REF!</v>
      </c>
      <c r="AB43" s="45" t="e">
        <f>IF($B43-#REF!&lt;0,0,$B43-#REF!)</f>
        <v>#REF!</v>
      </c>
      <c r="AC43" s="45" t="e">
        <f>IF($B43-#REF!&lt;0,0,$B43-#REF!)</f>
        <v>#REF!</v>
      </c>
      <c r="AD43" s="45" t="e">
        <f>IF($B43-#REF!&lt;0,0,$B43-#REF!)</f>
        <v>#REF!</v>
      </c>
      <c r="AE43" s="45" t="e">
        <f>IF($B43-#REF!&lt;0,0,$B43-#REF!)</f>
        <v>#REF!</v>
      </c>
      <c r="AF43" s="45" t="e">
        <f>IF($B43-#REF!&lt;0,0,$B43-#REF!)</f>
        <v>#REF!</v>
      </c>
      <c r="AG43" s="45" t="e">
        <f>IF($B43-#REF!&lt;0,0,$B43-#REF!)</f>
        <v>#REF!</v>
      </c>
      <c r="AH43" s="52">
        <v>11.88</v>
      </c>
      <c r="AI43" s="48" t="e">
        <f t="shared" si="2"/>
        <v>#REF!</v>
      </c>
      <c r="AJ43" s="49" t="e">
        <f t="shared" si="3"/>
        <v>#REF!</v>
      </c>
      <c r="AL43" s="170"/>
      <c r="AM43" s="28"/>
      <c r="AN43" s="24"/>
      <c r="AO43" s="24"/>
      <c r="AP43" s="24"/>
      <c r="AQ43" s="24"/>
      <c r="AR43" s="15"/>
      <c r="AS43" s="21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</row>
    <row r="44" spans="1:89" ht="14.25" customHeight="1" x14ac:dyDescent="0.25">
      <c r="A44" s="54" t="s">
        <v>43</v>
      </c>
      <c r="B44" s="45">
        <v>11</v>
      </c>
      <c r="C44" s="45" t="e">
        <f>IF($B44-#REF!&lt;0,0,$B44-#REF!)</f>
        <v>#REF!</v>
      </c>
      <c r="D44" s="45" t="e">
        <f>IF($B44-#REF!&lt;0,0,$B44-#REF!)</f>
        <v>#REF!</v>
      </c>
      <c r="E44" s="45" t="e">
        <f>IF($B44-#REF!&lt;0,0,$B44-#REF!)</f>
        <v>#REF!</v>
      </c>
      <c r="F44" s="45" t="e">
        <f>IF($B44-#REF!&lt;0,0,$B44-#REF!)</f>
        <v>#REF!</v>
      </c>
      <c r="G44" s="45" t="e">
        <f>IF($B44-#REF!&lt;0,0,$B44-#REF!)</f>
        <v>#REF!</v>
      </c>
      <c r="H44" s="45" t="e">
        <f>IF($B44-#REF!&lt;0,0,$B44-#REF!)</f>
        <v>#REF!</v>
      </c>
      <c r="I44" s="45" t="e">
        <f>IF($B44-#REF!&lt;0,0,$B44-#REF!)</f>
        <v>#REF!</v>
      </c>
      <c r="J44" s="45" t="e">
        <f>IF($B44-#REF!&lt;0,0,$B44-#REF!)</f>
        <v>#REF!</v>
      </c>
      <c r="K44" s="45" t="e">
        <f>IF($B44-#REF!&lt;0,0,$B44-#REF!)</f>
        <v>#REF!</v>
      </c>
      <c r="L44" s="45" t="e">
        <f>IF($B44-#REF!&lt;0,0,$B44-#REF!)</f>
        <v>#REF!</v>
      </c>
      <c r="M44" s="45" t="e">
        <f>IF($B44-#REF!&lt;0,0,$B44-#REF!)</f>
        <v>#REF!</v>
      </c>
      <c r="N44" s="45" t="e">
        <f>IF($B44-#REF!&lt;0,0,$B44-#REF!)</f>
        <v>#REF!</v>
      </c>
      <c r="O44" s="45" t="e">
        <f>IF($B44-#REF!&lt;0,0,$B44-#REF!)</f>
        <v>#REF!</v>
      </c>
      <c r="P44" s="45" t="e">
        <f>IF($B44-#REF!&lt;0,0,$B44-#REF!)</f>
        <v>#REF!</v>
      </c>
      <c r="Q44" s="45" t="e">
        <f>IF($B44-#REF!&lt;0,0,$B44-#REF!)</f>
        <v>#REF!</v>
      </c>
      <c r="R44" s="45" t="e">
        <f>IF($B44-#REF!&lt;0,0,$B44-#REF!)</f>
        <v>#REF!</v>
      </c>
      <c r="S44" s="45" t="e">
        <f>IF($B44-#REF!&lt;0,0,$B44-#REF!)</f>
        <v>#REF!</v>
      </c>
      <c r="T44" s="45" t="e">
        <f>IF($B44-#REF!&lt;0,0,$B44-#REF!)</f>
        <v>#REF!</v>
      </c>
      <c r="U44" s="45" t="e">
        <f>IF($B44-#REF!&lt;0,0,$B44-#REF!)</f>
        <v>#REF!</v>
      </c>
      <c r="V44" s="45" t="e">
        <f>IF($B44-#REF!&lt;0,0,$B44-#REF!)</f>
        <v>#REF!</v>
      </c>
      <c r="W44" s="45" t="e">
        <f>IF($B44-#REF!&lt;0,0,$B44-#REF!)</f>
        <v>#REF!</v>
      </c>
      <c r="X44" s="45" t="e">
        <f>IF($B44-#REF!&lt;0,0,$B44-#REF!)</f>
        <v>#REF!</v>
      </c>
      <c r="Y44" s="45" t="e">
        <f>IF($B44-#REF!&lt;0,0,$B44-#REF!)</f>
        <v>#REF!</v>
      </c>
      <c r="Z44" s="45" t="e">
        <f>IF($B44-#REF!&lt;0,0,$B44-#REF!)</f>
        <v>#REF!</v>
      </c>
      <c r="AA44" s="45" t="e">
        <f>IF($B44-#REF!&lt;0,0,$B44-#REF!)</f>
        <v>#REF!</v>
      </c>
      <c r="AB44" s="45" t="e">
        <f>IF($B44-#REF!&lt;0,0,$B44-#REF!)</f>
        <v>#REF!</v>
      </c>
      <c r="AC44" s="45" t="e">
        <f>IF($B44-#REF!&lt;0,0,$B44-#REF!)</f>
        <v>#REF!</v>
      </c>
      <c r="AD44" s="45" t="e">
        <f>IF($B44-#REF!&lt;0,0,$B44-#REF!)</f>
        <v>#REF!</v>
      </c>
      <c r="AE44" s="45" t="e">
        <f>IF($B44-#REF!&lt;0,0,$B44-#REF!)</f>
        <v>#REF!</v>
      </c>
      <c r="AF44" s="45" t="e">
        <f>IF($B44-#REF!&lt;0,0,$B44-#REF!)</f>
        <v>#REF!</v>
      </c>
      <c r="AG44" s="45" t="e">
        <f>IF($B44-#REF!&lt;0,0,$B44-#REF!)</f>
        <v>#REF!</v>
      </c>
      <c r="AH44" s="55">
        <v>11</v>
      </c>
      <c r="AI44" s="48" t="e">
        <f t="shared" si="2"/>
        <v>#REF!</v>
      </c>
      <c r="AJ44" s="49" t="e">
        <f t="shared" si="3"/>
        <v>#REF!</v>
      </c>
      <c r="AL44" s="170"/>
      <c r="AM44" s="28"/>
      <c r="AN44" s="24"/>
      <c r="AO44" s="24"/>
      <c r="AP44" s="24"/>
      <c r="AQ44" s="24"/>
      <c r="AR44" s="15"/>
      <c r="AS44" s="21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</row>
    <row r="45" spans="1:89" ht="14.25" customHeight="1" x14ac:dyDescent="0.25">
      <c r="A45" s="54" t="s">
        <v>44</v>
      </c>
      <c r="B45" s="45">
        <v>8</v>
      </c>
      <c r="C45" s="45" t="e">
        <f>IF($B45-#REF!&lt;0,0,$B45-#REF!)</f>
        <v>#REF!</v>
      </c>
      <c r="D45" s="45" t="e">
        <f>IF($B45-#REF!&lt;0,0,$B45-#REF!)</f>
        <v>#REF!</v>
      </c>
      <c r="E45" s="45" t="e">
        <f>IF($B45-#REF!&lt;0,0,$B45-#REF!)</f>
        <v>#REF!</v>
      </c>
      <c r="F45" s="45" t="e">
        <f>IF($B45-#REF!&lt;0,0,$B45-#REF!)</f>
        <v>#REF!</v>
      </c>
      <c r="G45" s="45" t="e">
        <f>IF($B45-#REF!&lt;0,0,$B45-#REF!)</f>
        <v>#REF!</v>
      </c>
      <c r="H45" s="45" t="e">
        <f>IF($B45-#REF!&lt;0,0,$B45-#REF!)</f>
        <v>#REF!</v>
      </c>
      <c r="I45" s="45" t="e">
        <f>IF($B45-#REF!&lt;0,0,$B45-#REF!)</f>
        <v>#REF!</v>
      </c>
      <c r="J45" s="45" t="e">
        <f>IF($B45-#REF!&lt;0,0,$B45-#REF!)</f>
        <v>#REF!</v>
      </c>
      <c r="K45" s="45" t="e">
        <f>IF($B45-#REF!&lt;0,0,$B45-#REF!)</f>
        <v>#REF!</v>
      </c>
      <c r="L45" s="45" t="e">
        <f>IF($B45-#REF!&lt;0,0,$B45-#REF!)</f>
        <v>#REF!</v>
      </c>
      <c r="M45" s="45" t="e">
        <f>IF($B45-#REF!&lt;0,0,$B45-#REF!)</f>
        <v>#REF!</v>
      </c>
      <c r="N45" s="45" t="e">
        <f>IF($B45-#REF!&lt;0,0,$B45-#REF!)</f>
        <v>#REF!</v>
      </c>
      <c r="O45" s="45" t="e">
        <f>IF($B45-#REF!&lt;0,0,$B45-#REF!)</f>
        <v>#REF!</v>
      </c>
      <c r="P45" s="45" t="e">
        <f>IF($B45-#REF!&lt;0,0,$B45-#REF!)</f>
        <v>#REF!</v>
      </c>
      <c r="Q45" s="45" t="e">
        <f>IF($B45-#REF!&lt;0,0,$B45-#REF!)</f>
        <v>#REF!</v>
      </c>
      <c r="R45" s="45" t="e">
        <f>IF($B45-#REF!&lt;0,0,$B45-#REF!)</f>
        <v>#REF!</v>
      </c>
      <c r="S45" s="45" t="e">
        <f>IF($B45-#REF!&lt;0,0,$B45-#REF!)</f>
        <v>#REF!</v>
      </c>
      <c r="T45" s="45" t="e">
        <f>IF($B45-#REF!&lt;0,0,$B45-#REF!)</f>
        <v>#REF!</v>
      </c>
      <c r="U45" s="45" t="e">
        <f>IF($B45-#REF!&lt;0,0,$B45-#REF!)</f>
        <v>#REF!</v>
      </c>
      <c r="V45" s="45" t="e">
        <f>IF($B45-#REF!&lt;0,0,$B45-#REF!)</f>
        <v>#REF!</v>
      </c>
      <c r="W45" s="45" t="e">
        <f>IF($B45-#REF!&lt;0,0,$B45-#REF!)</f>
        <v>#REF!</v>
      </c>
      <c r="X45" s="45" t="e">
        <f>IF($B45-#REF!&lt;0,0,$B45-#REF!)</f>
        <v>#REF!</v>
      </c>
      <c r="Y45" s="45" t="e">
        <f>IF($B45-#REF!&lt;0,0,$B45-#REF!)</f>
        <v>#REF!</v>
      </c>
      <c r="Z45" s="45" t="e">
        <f>IF($B45-#REF!&lt;0,0,$B45-#REF!)</f>
        <v>#REF!</v>
      </c>
      <c r="AA45" s="45" t="e">
        <f>IF($B45-#REF!&lt;0,0,$B45-#REF!)</f>
        <v>#REF!</v>
      </c>
      <c r="AB45" s="45" t="e">
        <f>IF($B45-#REF!&lt;0,0,$B45-#REF!)</f>
        <v>#REF!</v>
      </c>
      <c r="AC45" s="45" t="e">
        <f>IF($B45-#REF!&lt;0,0,$B45-#REF!)</f>
        <v>#REF!</v>
      </c>
      <c r="AD45" s="45" t="e">
        <f>IF($B45-#REF!&lt;0,0,$B45-#REF!)</f>
        <v>#REF!</v>
      </c>
      <c r="AE45" s="45" t="e">
        <f>IF($B45-#REF!&lt;0,0,$B45-#REF!)</f>
        <v>#REF!</v>
      </c>
      <c r="AF45" s="45" t="e">
        <f>IF($B45-#REF!&lt;0,0,$B45-#REF!)</f>
        <v>#REF!</v>
      </c>
      <c r="AG45" s="45" t="e">
        <f>IF($B45-#REF!&lt;0,0,$B45-#REF!)</f>
        <v>#REF!</v>
      </c>
      <c r="AH45" s="55">
        <v>10</v>
      </c>
      <c r="AI45" s="48" t="e">
        <f t="shared" si="2"/>
        <v>#REF!</v>
      </c>
      <c r="AJ45" s="49" t="e">
        <f t="shared" si="3"/>
        <v>#REF!</v>
      </c>
      <c r="AL45" s="170"/>
      <c r="AM45" s="28"/>
      <c r="AN45" s="24"/>
      <c r="AO45" s="24"/>
      <c r="AP45" s="24"/>
      <c r="AQ45" s="24"/>
      <c r="AR45" s="15"/>
      <c r="AS45" s="21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</row>
    <row r="46" spans="1:89" x14ac:dyDescent="0.25">
      <c r="A46" s="54" t="s">
        <v>262</v>
      </c>
      <c r="B46" s="45">
        <v>10</v>
      </c>
      <c r="C46" s="45" t="e">
        <f>IF($B46-#REF!&lt;0,0,$B46-#REF!)</f>
        <v>#REF!</v>
      </c>
      <c r="D46" s="45" t="e">
        <f>IF($B46-#REF!&lt;0,0,$B46-#REF!)</f>
        <v>#REF!</v>
      </c>
      <c r="E46" s="45" t="e">
        <f>IF($B46-#REF!&lt;0,0,$B46-#REF!)</f>
        <v>#REF!</v>
      </c>
      <c r="F46" s="45" t="e">
        <f>IF($B46-#REF!&lt;0,0,$B46-#REF!)</f>
        <v>#REF!</v>
      </c>
      <c r="G46" s="45" t="e">
        <f>IF($B46-#REF!&lt;0,0,$B46-#REF!)</f>
        <v>#REF!</v>
      </c>
      <c r="H46" s="45" t="e">
        <f>IF($B46-#REF!&lt;0,0,$B46-#REF!)</f>
        <v>#REF!</v>
      </c>
      <c r="I46" s="45" t="e">
        <f>IF($B46-#REF!&lt;0,0,$B46-#REF!)</f>
        <v>#REF!</v>
      </c>
      <c r="J46" s="45" t="e">
        <f>IF($B46-#REF!&lt;0,0,$B46-#REF!)</f>
        <v>#REF!</v>
      </c>
      <c r="K46" s="45" t="e">
        <f>IF($B46-#REF!&lt;0,0,$B46-#REF!)</f>
        <v>#REF!</v>
      </c>
      <c r="L46" s="45" t="e">
        <f>IF($B46-#REF!&lt;0,0,$B46-#REF!)</f>
        <v>#REF!</v>
      </c>
      <c r="M46" s="45" t="e">
        <f>IF($B46-#REF!&lt;0,0,$B46-#REF!)</f>
        <v>#REF!</v>
      </c>
      <c r="N46" s="45" t="e">
        <f>IF($B46-#REF!&lt;0,0,$B46-#REF!)</f>
        <v>#REF!</v>
      </c>
      <c r="O46" s="45" t="e">
        <f>IF($B46-#REF!&lt;0,0,$B46-#REF!)</f>
        <v>#REF!</v>
      </c>
      <c r="P46" s="45" t="e">
        <f>IF($B46-#REF!&lt;0,0,$B46-#REF!)</f>
        <v>#REF!</v>
      </c>
      <c r="Q46" s="45" t="e">
        <f>IF($B46-#REF!&lt;0,0,$B46-#REF!)</f>
        <v>#REF!</v>
      </c>
      <c r="R46" s="45" t="e">
        <f>IF($B46-#REF!&lt;0,0,$B46-#REF!)</f>
        <v>#REF!</v>
      </c>
      <c r="S46" s="45" t="e">
        <f>IF($B46-#REF!&lt;0,0,$B46-#REF!)</f>
        <v>#REF!</v>
      </c>
      <c r="T46" s="45" t="e">
        <f>IF($B46-#REF!&lt;0,0,$B46-#REF!)</f>
        <v>#REF!</v>
      </c>
      <c r="U46" s="45" t="e">
        <f>IF($B46-#REF!&lt;0,0,$B46-#REF!)</f>
        <v>#REF!</v>
      </c>
      <c r="V46" s="45" t="e">
        <f>IF($B46-#REF!&lt;0,0,$B46-#REF!)</f>
        <v>#REF!</v>
      </c>
      <c r="W46" s="45" t="e">
        <f>IF($B46-#REF!&lt;0,0,$B46-#REF!)</f>
        <v>#REF!</v>
      </c>
      <c r="X46" s="45" t="e">
        <f>IF($B46-#REF!&lt;0,0,$B46-#REF!)</f>
        <v>#REF!</v>
      </c>
      <c r="Y46" s="45" t="e">
        <f>IF($B46-#REF!&lt;0,0,$B46-#REF!)</f>
        <v>#REF!</v>
      </c>
      <c r="Z46" s="45" t="e">
        <f>IF($B46-#REF!&lt;0,0,$B46-#REF!)</f>
        <v>#REF!</v>
      </c>
      <c r="AA46" s="45" t="e">
        <f>IF($B46-#REF!&lt;0,0,$B46-#REF!)</f>
        <v>#REF!</v>
      </c>
      <c r="AB46" s="45" t="e">
        <f>IF($B46-#REF!&lt;0,0,$B46-#REF!)</f>
        <v>#REF!</v>
      </c>
      <c r="AC46" s="45" t="e">
        <f>IF($B46-#REF!&lt;0,0,$B46-#REF!)</f>
        <v>#REF!</v>
      </c>
      <c r="AD46" s="45" t="e">
        <f>IF($B46-#REF!&lt;0,0,$B46-#REF!)</f>
        <v>#REF!</v>
      </c>
      <c r="AE46" s="45" t="e">
        <f>IF($B46-#REF!&lt;0,0,$B46-#REF!)</f>
        <v>#REF!</v>
      </c>
      <c r="AF46" s="45" t="e">
        <f>IF($B46-#REF!&lt;0,0,$B46-#REF!)</f>
        <v>#REF!</v>
      </c>
      <c r="AG46" s="45" t="e">
        <f>IF($B46-#REF!&lt;0,0,$B46-#REF!)</f>
        <v>#REF!</v>
      </c>
      <c r="AH46" s="55">
        <v>10</v>
      </c>
      <c r="AI46" s="48" t="e">
        <f t="shared" si="2"/>
        <v>#REF!</v>
      </c>
      <c r="AJ46" s="49" t="e">
        <f t="shared" si="3"/>
        <v>#REF!</v>
      </c>
      <c r="AL46" s="170"/>
      <c r="AM46" s="28"/>
      <c r="AP46" s="24"/>
      <c r="AQ46" s="24"/>
      <c r="AR46" s="15"/>
      <c r="AS46" s="21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</row>
    <row r="47" spans="1:89" x14ac:dyDescent="0.25">
      <c r="A47" s="54" t="s">
        <v>45</v>
      </c>
      <c r="B47" s="45">
        <v>0</v>
      </c>
      <c r="C47" s="45" t="e">
        <f>IF($B47-#REF!&lt;0,0,$B47-#REF!)</f>
        <v>#REF!</v>
      </c>
      <c r="D47" s="45" t="e">
        <f>IF($B47-#REF!&lt;0,0,$B47-#REF!)</f>
        <v>#REF!</v>
      </c>
      <c r="E47" s="45" t="e">
        <f>IF($B47-#REF!&lt;0,0,$B47-#REF!)</f>
        <v>#REF!</v>
      </c>
      <c r="F47" s="45" t="e">
        <f>IF($B47-#REF!&lt;0,0,$B47-#REF!)</f>
        <v>#REF!</v>
      </c>
      <c r="G47" s="45" t="e">
        <f>IF($B47-#REF!&lt;0,0,$B47-#REF!)</f>
        <v>#REF!</v>
      </c>
      <c r="H47" s="45" t="e">
        <f>IF($B47-#REF!&lt;0,0,$B47-#REF!)</f>
        <v>#REF!</v>
      </c>
      <c r="I47" s="45" t="e">
        <f>IF($B47-#REF!&lt;0,0,$B47-#REF!)</f>
        <v>#REF!</v>
      </c>
      <c r="J47" s="45" t="e">
        <f>IF($B47-#REF!&lt;0,0,$B47-#REF!)</f>
        <v>#REF!</v>
      </c>
      <c r="K47" s="45" t="e">
        <f>IF($B47-#REF!&lt;0,0,$B47-#REF!)</f>
        <v>#REF!</v>
      </c>
      <c r="L47" s="45" t="e">
        <f>IF($B47-#REF!&lt;0,0,$B47-#REF!)</f>
        <v>#REF!</v>
      </c>
      <c r="M47" s="45" t="e">
        <f>IF($B47-#REF!&lt;0,0,$B47-#REF!)</f>
        <v>#REF!</v>
      </c>
      <c r="N47" s="45" t="e">
        <f>IF($B47-#REF!&lt;0,0,$B47-#REF!)</f>
        <v>#REF!</v>
      </c>
      <c r="O47" s="45" t="e">
        <f>IF($B47-#REF!&lt;0,0,$B47-#REF!)</f>
        <v>#REF!</v>
      </c>
      <c r="P47" s="45" t="e">
        <f>IF($B47-#REF!&lt;0,0,$B47-#REF!)</f>
        <v>#REF!</v>
      </c>
      <c r="Q47" s="45" t="e">
        <f>IF($B47-#REF!&lt;0,0,$B47-#REF!)</f>
        <v>#REF!</v>
      </c>
      <c r="R47" s="45" t="e">
        <f>IF($B47-#REF!&lt;0,0,$B47-#REF!)</f>
        <v>#REF!</v>
      </c>
      <c r="S47" s="45" t="e">
        <f>IF($B47-#REF!&lt;0,0,$B47-#REF!)</f>
        <v>#REF!</v>
      </c>
      <c r="T47" s="45" t="e">
        <f>IF($B47-#REF!&lt;0,0,$B47-#REF!)</f>
        <v>#REF!</v>
      </c>
      <c r="U47" s="45" t="e">
        <f>IF($B47-#REF!&lt;0,0,$B47-#REF!)</f>
        <v>#REF!</v>
      </c>
      <c r="V47" s="45" t="e">
        <f>IF($B47-#REF!&lt;0,0,$B47-#REF!)</f>
        <v>#REF!</v>
      </c>
      <c r="W47" s="45" t="e">
        <f>IF($B47-#REF!&lt;0,0,$B47-#REF!)</f>
        <v>#REF!</v>
      </c>
      <c r="X47" s="45" t="e">
        <f>IF($B47-#REF!&lt;0,0,$B47-#REF!)</f>
        <v>#REF!</v>
      </c>
      <c r="Y47" s="45" t="e">
        <f>IF($B47-#REF!&lt;0,0,$B47-#REF!)</f>
        <v>#REF!</v>
      </c>
      <c r="Z47" s="45" t="e">
        <f>IF($B47-#REF!&lt;0,0,$B47-#REF!)</f>
        <v>#REF!</v>
      </c>
      <c r="AA47" s="45" t="e">
        <f>IF($B47-#REF!&lt;0,0,$B47-#REF!)</f>
        <v>#REF!</v>
      </c>
      <c r="AB47" s="45" t="e">
        <f>IF($B47-#REF!&lt;0,0,$B47-#REF!)</f>
        <v>#REF!</v>
      </c>
      <c r="AC47" s="45" t="e">
        <f>IF($B47-#REF!&lt;0,0,$B47-#REF!)</f>
        <v>#REF!</v>
      </c>
      <c r="AD47" s="45" t="e">
        <f>IF($B47-#REF!&lt;0,0,$B47-#REF!)</f>
        <v>#REF!</v>
      </c>
      <c r="AE47" s="45" t="e">
        <f>IF($B47-#REF!&lt;0,0,$B47-#REF!)</f>
        <v>#REF!</v>
      </c>
      <c r="AF47" s="45" t="e">
        <f>IF($B47-#REF!&lt;0,0,$B47-#REF!)</f>
        <v>#REF!</v>
      </c>
      <c r="AG47" s="45" t="e">
        <f>IF($B47-#REF!&lt;0,0,$B47-#REF!)</f>
        <v>#REF!</v>
      </c>
      <c r="AH47" s="55">
        <v>10</v>
      </c>
      <c r="AI47" s="48" t="e">
        <f t="shared" si="2"/>
        <v>#REF!</v>
      </c>
      <c r="AJ47" s="49" t="e">
        <f t="shared" si="3"/>
        <v>#REF!</v>
      </c>
      <c r="AL47" s="170"/>
      <c r="AM47" s="28"/>
      <c r="AP47" s="24"/>
      <c r="AQ47" s="24"/>
      <c r="AR47" s="15"/>
      <c r="AS47" s="21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</row>
    <row r="48" spans="1:89" x14ac:dyDescent="0.25">
      <c r="A48" s="56" t="s">
        <v>46</v>
      </c>
      <c r="B48" s="57">
        <v>360</v>
      </c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55">
        <v>85</v>
      </c>
      <c r="AI48" s="48">
        <f t="shared" si="2"/>
        <v>0</v>
      </c>
      <c r="AJ48" s="49">
        <f t="shared" si="3"/>
        <v>0</v>
      </c>
      <c r="AK48" s="208"/>
      <c r="AL48" s="208"/>
      <c r="AM48" s="208"/>
    </row>
    <row r="49" spans="1:42" ht="15.75" thickBot="1" x14ac:dyDescent="0.3">
      <c r="A49" s="58" t="s">
        <v>47</v>
      </c>
      <c r="B49" s="57">
        <f>17.7+48.2</f>
        <v>65.900000000000006</v>
      </c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55">
        <v>240</v>
      </c>
      <c r="AI49" s="48">
        <f t="shared" si="2"/>
        <v>0</v>
      </c>
      <c r="AJ49" s="49">
        <f t="shared" si="3"/>
        <v>0</v>
      </c>
      <c r="AL49" s="50"/>
    </row>
    <row r="50" spans="1:42" ht="21" thickBot="1" x14ac:dyDescent="0.3">
      <c r="A50" s="60" t="s">
        <v>48</v>
      </c>
      <c r="B50" s="209">
        <f t="shared" ref="B50" si="4">SUM(B11:B48)</f>
        <v>978.30000000000007</v>
      </c>
      <c r="C50" s="209" t="e">
        <f t="shared" ref="C50:AG50" si="5">SUM(C11:C48)</f>
        <v>#REF!</v>
      </c>
      <c r="D50" s="209" t="e">
        <f t="shared" si="5"/>
        <v>#REF!</v>
      </c>
      <c r="E50" s="209" t="e">
        <f t="shared" si="5"/>
        <v>#REF!</v>
      </c>
      <c r="F50" s="209" t="e">
        <f t="shared" si="5"/>
        <v>#REF!</v>
      </c>
      <c r="G50" s="209" t="e">
        <f t="shared" si="5"/>
        <v>#REF!</v>
      </c>
      <c r="H50" s="209" t="e">
        <f t="shared" si="5"/>
        <v>#REF!</v>
      </c>
      <c r="I50" s="209" t="e">
        <f t="shared" si="5"/>
        <v>#REF!</v>
      </c>
      <c r="J50" s="209" t="e">
        <f t="shared" si="5"/>
        <v>#REF!</v>
      </c>
      <c r="K50" s="209" t="e">
        <f t="shared" si="5"/>
        <v>#REF!</v>
      </c>
      <c r="L50" s="209" t="e">
        <f t="shared" si="5"/>
        <v>#REF!</v>
      </c>
      <c r="M50" s="209" t="e">
        <f t="shared" si="5"/>
        <v>#REF!</v>
      </c>
      <c r="N50" s="209" t="e">
        <f t="shared" si="5"/>
        <v>#REF!</v>
      </c>
      <c r="O50" s="209" t="e">
        <f t="shared" si="5"/>
        <v>#REF!</v>
      </c>
      <c r="P50" s="209" t="e">
        <f t="shared" si="5"/>
        <v>#REF!</v>
      </c>
      <c r="Q50" s="209" t="e">
        <f t="shared" si="5"/>
        <v>#REF!</v>
      </c>
      <c r="R50" s="209" t="e">
        <f t="shared" si="5"/>
        <v>#REF!</v>
      </c>
      <c r="S50" s="209" t="e">
        <f t="shared" si="5"/>
        <v>#REF!</v>
      </c>
      <c r="T50" s="209" t="e">
        <f t="shared" si="5"/>
        <v>#REF!</v>
      </c>
      <c r="U50" s="209" t="e">
        <f t="shared" si="5"/>
        <v>#REF!</v>
      </c>
      <c r="V50" s="209" t="e">
        <f t="shared" si="5"/>
        <v>#REF!</v>
      </c>
      <c r="W50" s="209" t="e">
        <f t="shared" si="5"/>
        <v>#REF!</v>
      </c>
      <c r="X50" s="209" t="e">
        <f t="shared" si="5"/>
        <v>#REF!</v>
      </c>
      <c r="Y50" s="209" t="e">
        <f t="shared" si="5"/>
        <v>#REF!</v>
      </c>
      <c r="Z50" s="209" t="e">
        <f t="shared" si="5"/>
        <v>#REF!</v>
      </c>
      <c r="AA50" s="209" t="e">
        <f t="shared" si="5"/>
        <v>#REF!</v>
      </c>
      <c r="AB50" s="209" t="e">
        <f t="shared" si="5"/>
        <v>#REF!</v>
      </c>
      <c r="AC50" s="209" t="e">
        <f t="shared" si="5"/>
        <v>#REF!</v>
      </c>
      <c r="AD50" s="209" t="e">
        <f t="shared" si="5"/>
        <v>#REF!</v>
      </c>
      <c r="AE50" s="209" t="e">
        <f t="shared" si="5"/>
        <v>#REF!</v>
      </c>
      <c r="AF50" s="209" t="e">
        <f t="shared" si="5"/>
        <v>#REF!</v>
      </c>
      <c r="AG50" s="209" t="e">
        <f t="shared" si="5"/>
        <v>#REF!</v>
      </c>
      <c r="AH50" s="210" t="e">
        <f>SUM(C50:AG50)</f>
        <v>#REF!</v>
      </c>
      <c r="AI50" s="48" t="e">
        <f t="shared" si="2"/>
        <v>#REF!</v>
      </c>
      <c r="AJ50" s="49" t="e">
        <f t="shared" si="3"/>
        <v>#REF!</v>
      </c>
      <c r="AK50" s="1" t="s">
        <v>263</v>
      </c>
      <c r="AL50" s="210" t="e">
        <f>SUM(C50:G50,AE50:AG50)</f>
        <v>#REF!</v>
      </c>
    </row>
    <row r="51" spans="1:42" x14ac:dyDescent="0.25">
      <c r="A51" s="63" t="s">
        <v>49</v>
      </c>
      <c r="B51" s="206">
        <v>217</v>
      </c>
      <c r="C51" s="45">
        <v>0</v>
      </c>
      <c r="D51" s="45">
        <v>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v>0</v>
      </c>
      <c r="Q51" s="45">
        <v>0</v>
      </c>
      <c r="R51" s="45">
        <v>0</v>
      </c>
      <c r="S51" s="45">
        <v>0</v>
      </c>
      <c r="T51" s="45">
        <v>0</v>
      </c>
      <c r="U51" s="45">
        <v>0</v>
      </c>
      <c r="V51" s="45">
        <v>0</v>
      </c>
      <c r="W51" s="45">
        <v>0</v>
      </c>
      <c r="X51" s="45">
        <v>0</v>
      </c>
      <c r="Y51" s="45">
        <v>0</v>
      </c>
      <c r="Z51" s="45">
        <v>0</v>
      </c>
      <c r="AA51" s="45">
        <v>0</v>
      </c>
      <c r="AB51" s="45">
        <v>0</v>
      </c>
      <c r="AC51" s="45">
        <v>0</v>
      </c>
      <c r="AD51" s="45">
        <v>0</v>
      </c>
      <c r="AE51" s="45">
        <v>0</v>
      </c>
      <c r="AF51" s="45">
        <v>0</v>
      </c>
      <c r="AG51" s="45">
        <v>0</v>
      </c>
      <c r="AH51" s="52">
        <v>456</v>
      </c>
      <c r="AI51" s="48">
        <f t="shared" si="2"/>
        <v>0</v>
      </c>
      <c r="AJ51" s="49">
        <f t="shared" si="3"/>
        <v>0</v>
      </c>
      <c r="AL51" s="50"/>
    </row>
    <row r="52" spans="1:42" x14ac:dyDescent="0.25">
      <c r="A52" s="64" t="s">
        <v>50</v>
      </c>
      <c r="B52" s="211">
        <v>60</v>
      </c>
      <c r="C52" s="45" t="e">
        <f>$B52-#REF!</f>
        <v>#REF!</v>
      </c>
      <c r="D52" s="45" t="e">
        <f>$B52-#REF!</f>
        <v>#REF!</v>
      </c>
      <c r="E52" s="45" t="e">
        <f>$B52-#REF!</f>
        <v>#REF!</v>
      </c>
      <c r="F52" s="45" t="e">
        <f>$B52-#REF!</f>
        <v>#REF!</v>
      </c>
      <c r="G52" s="45" t="e">
        <f>$B52-#REF!</f>
        <v>#REF!</v>
      </c>
      <c r="H52" s="45" t="e">
        <f>$B52-#REF!</f>
        <v>#REF!</v>
      </c>
      <c r="I52" s="45" t="e">
        <f>$B52-#REF!</f>
        <v>#REF!</v>
      </c>
      <c r="J52" s="45" t="e">
        <f>$B52-#REF!</f>
        <v>#REF!</v>
      </c>
      <c r="K52" s="45" t="e">
        <f>$B52-#REF!</f>
        <v>#REF!</v>
      </c>
      <c r="L52" s="45" t="e">
        <f>$B52-#REF!</f>
        <v>#REF!</v>
      </c>
      <c r="M52" s="45" t="e">
        <f>$B52-#REF!</f>
        <v>#REF!</v>
      </c>
      <c r="N52" s="45" t="e">
        <f>$B52-#REF!</f>
        <v>#REF!</v>
      </c>
      <c r="O52" s="45" t="e">
        <f>$B52-#REF!</f>
        <v>#REF!</v>
      </c>
      <c r="P52" s="45" t="e">
        <f>$B52-#REF!</f>
        <v>#REF!</v>
      </c>
      <c r="Q52" s="45" t="e">
        <f>$B52-#REF!</f>
        <v>#REF!</v>
      </c>
      <c r="R52" s="45" t="e">
        <f>$B52-#REF!</f>
        <v>#REF!</v>
      </c>
      <c r="S52" s="45" t="e">
        <f>$B52-#REF!</f>
        <v>#REF!</v>
      </c>
      <c r="T52" s="45" t="e">
        <f>$B52-#REF!</f>
        <v>#REF!</v>
      </c>
      <c r="U52" s="45" t="e">
        <f>$B52-#REF!</f>
        <v>#REF!</v>
      </c>
      <c r="V52" s="45" t="e">
        <f>$B52-#REF!</f>
        <v>#REF!</v>
      </c>
      <c r="W52" s="45" t="e">
        <f>$B52-#REF!</f>
        <v>#REF!</v>
      </c>
      <c r="X52" s="45" t="e">
        <f>$B52-#REF!</f>
        <v>#REF!</v>
      </c>
      <c r="Y52" s="45" t="e">
        <f>$B52-#REF!</f>
        <v>#REF!</v>
      </c>
      <c r="Z52" s="45" t="e">
        <f>$B52-#REF!</f>
        <v>#REF!</v>
      </c>
      <c r="AA52" s="45" t="e">
        <f>$B52-#REF!</f>
        <v>#REF!</v>
      </c>
      <c r="AB52" s="45" t="e">
        <f>$B52-#REF!</f>
        <v>#REF!</v>
      </c>
      <c r="AC52" s="45" t="e">
        <f>$B52-#REF!</f>
        <v>#REF!</v>
      </c>
      <c r="AD52" s="45" t="e">
        <f>$B52-#REF!</f>
        <v>#REF!</v>
      </c>
      <c r="AE52" s="45" t="e">
        <f>$B52-#REF!</f>
        <v>#REF!</v>
      </c>
      <c r="AF52" s="45" t="e">
        <f>$B52-#REF!</f>
        <v>#REF!</v>
      </c>
      <c r="AG52" s="45" t="e">
        <f>$B52-#REF!</f>
        <v>#REF!</v>
      </c>
      <c r="AH52" s="55">
        <v>60</v>
      </c>
      <c r="AI52" s="48" t="e">
        <f t="shared" si="2"/>
        <v>#REF!</v>
      </c>
      <c r="AJ52" s="49" t="e">
        <f t="shared" si="3"/>
        <v>#REF!</v>
      </c>
      <c r="AK52" s="1" t="s">
        <v>264</v>
      </c>
      <c r="AL52" s="212" t="e">
        <f>AL50/8</f>
        <v>#REF!</v>
      </c>
    </row>
    <row r="53" spans="1:42" ht="15.75" thickBot="1" x14ac:dyDescent="0.3">
      <c r="A53" s="66" t="s">
        <v>51</v>
      </c>
      <c r="B53" s="213">
        <v>22.5</v>
      </c>
      <c r="C53" s="45">
        <v>0</v>
      </c>
      <c r="D53" s="45">
        <v>0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v>0</v>
      </c>
      <c r="O53" s="45">
        <v>0</v>
      </c>
      <c r="P53" s="45">
        <v>0</v>
      </c>
      <c r="Q53" s="45">
        <v>0</v>
      </c>
      <c r="R53" s="45">
        <v>0</v>
      </c>
      <c r="S53" s="45">
        <v>0</v>
      </c>
      <c r="T53" s="45">
        <v>0</v>
      </c>
      <c r="U53" s="45">
        <v>0</v>
      </c>
      <c r="V53" s="45">
        <v>0</v>
      </c>
      <c r="W53" s="45">
        <v>0</v>
      </c>
      <c r="X53" s="45">
        <v>0</v>
      </c>
      <c r="Y53" s="45">
        <v>0</v>
      </c>
      <c r="Z53" s="45">
        <v>0</v>
      </c>
      <c r="AA53" s="45">
        <v>0</v>
      </c>
      <c r="AB53" s="45">
        <v>0</v>
      </c>
      <c r="AC53" s="45">
        <v>0</v>
      </c>
      <c r="AD53" s="45">
        <v>0</v>
      </c>
      <c r="AE53" s="45">
        <v>0</v>
      </c>
      <c r="AF53" s="45">
        <v>0</v>
      </c>
      <c r="AG53" s="45">
        <v>0</v>
      </c>
      <c r="AH53" s="68">
        <v>22.1</v>
      </c>
      <c r="AI53" s="48">
        <f t="shared" si="2"/>
        <v>0</v>
      </c>
      <c r="AJ53" s="49">
        <f t="shared" si="3"/>
        <v>0</v>
      </c>
      <c r="AL53" s="50"/>
    </row>
    <row r="54" spans="1:42" ht="15.75" thickBot="1" x14ac:dyDescent="0.3">
      <c r="A54" s="69" t="s">
        <v>52</v>
      </c>
      <c r="B54" s="214">
        <f t="shared" ref="B54" si="6">SUM(B51:B53)</f>
        <v>299.5</v>
      </c>
      <c r="C54" s="85" t="e">
        <f>SUM(C51:C53)</f>
        <v>#REF!</v>
      </c>
      <c r="D54" s="85" t="e">
        <f t="shared" ref="D54:AH54" si="7">SUM(D51:D53)</f>
        <v>#REF!</v>
      </c>
      <c r="E54" s="85" t="e">
        <f t="shared" si="7"/>
        <v>#REF!</v>
      </c>
      <c r="F54" s="85" t="e">
        <f t="shared" si="7"/>
        <v>#REF!</v>
      </c>
      <c r="G54" s="85" t="e">
        <f t="shared" si="7"/>
        <v>#REF!</v>
      </c>
      <c r="H54" s="85" t="e">
        <f t="shared" si="7"/>
        <v>#REF!</v>
      </c>
      <c r="I54" s="85" t="e">
        <f t="shared" si="7"/>
        <v>#REF!</v>
      </c>
      <c r="J54" s="85" t="e">
        <f t="shared" si="7"/>
        <v>#REF!</v>
      </c>
      <c r="K54" s="85" t="e">
        <f t="shared" si="7"/>
        <v>#REF!</v>
      </c>
      <c r="L54" s="85" t="e">
        <f t="shared" si="7"/>
        <v>#REF!</v>
      </c>
      <c r="M54" s="85" t="e">
        <f t="shared" si="7"/>
        <v>#REF!</v>
      </c>
      <c r="N54" s="85" t="e">
        <f t="shared" si="7"/>
        <v>#REF!</v>
      </c>
      <c r="O54" s="85" t="e">
        <f t="shared" si="7"/>
        <v>#REF!</v>
      </c>
      <c r="P54" s="85" t="e">
        <f t="shared" si="7"/>
        <v>#REF!</v>
      </c>
      <c r="Q54" s="85" t="e">
        <f t="shared" si="7"/>
        <v>#REF!</v>
      </c>
      <c r="R54" s="85" t="e">
        <f t="shared" si="7"/>
        <v>#REF!</v>
      </c>
      <c r="S54" s="85" t="e">
        <f t="shared" si="7"/>
        <v>#REF!</v>
      </c>
      <c r="T54" s="85" t="e">
        <f t="shared" si="7"/>
        <v>#REF!</v>
      </c>
      <c r="U54" s="85" t="e">
        <f t="shared" si="7"/>
        <v>#REF!</v>
      </c>
      <c r="V54" s="85" t="e">
        <f t="shared" si="7"/>
        <v>#REF!</v>
      </c>
      <c r="W54" s="85" t="e">
        <f t="shared" si="7"/>
        <v>#REF!</v>
      </c>
      <c r="X54" s="85" t="e">
        <f t="shared" si="7"/>
        <v>#REF!</v>
      </c>
      <c r="Y54" s="85" t="e">
        <f t="shared" si="7"/>
        <v>#REF!</v>
      </c>
      <c r="Z54" s="85" t="e">
        <f t="shared" si="7"/>
        <v>#REF!</v>
      </c>
      <c r="AA54" s="85" t="e">
        <f t="shared" si="7"/>
        <v>#REF!</v>
      </c>
      <c r="AB54" s="85" t="e">
        <f t="shared" si="7"/>
        <v>#REF!</v>
      </c>
      <c r="AC54" s="85" t="e">
        <f t="shared" si="7"/>
        <v>#REF!</v>
      </c>
      <c r="AD54" s="85" t="e">
        <f t="shared" si="7"/>
        <v>#REF!</v>
      </c>
      <c r="AE54" s="85" t="e">
        <f t="shared" si="7"/>
        <v>#REF!</v>
      </c>
      <c r="AF54" s="85" t="e">
        <f t="shared" si="7"/>
        <v>#REF!</v>
      </c>
      <c r="AG54" s="85" t="e">
        <f t="shared" si="7"/>
        <v>#REF!</v>
      </c>
      <c r="AH54" s="215">
        <f t="shared" si="7"/>
        <v>538.1</v>
      </c>
      <c r="AI54" s="48" t="e">
        <f t="shared" si="2"/>
        <v>#REF!</v>
      </c>
      <c r="AJ54" s="49" t="e">
        <f t="shared" si="3"/>
        <v>#REF!</v>
      </c>
      <c r="AL54" s="50"/>
    </row>
    <row r="55" spans="1:42" x14ac:dyDescent="0.25">
      <c r="A55" s="44" t="s">
        <v>53</v>
      </c>
      <c r="B55" s="206">
        <v>144</v>
      </c>
      <c r="C55" s="45" t="e">
        <f>IF($B55-#REF!&lt;0,0,$B55-#REF!)</f>
        <v>#REF!</v>
      </c>
      <c r="D55" s="45" t="e">
        <f>IF($B55-#REF!&lt;0,0,$B55-#REF!)</f>
        <v>#REF!</v>
      </c>
      <c r="E55" s="45" t="e">
        <f>IF($B55-#REF!&lt;0,0,$B55-#REF!)</f>
        <v>#REF!</v>
      </c>
      <c r="F55" s="45" t="e">
        <f>IF($B55-#REF!&lt;0,0,$B55-#REF!)</f>
        <v>#REF!</v>
      </c>
      <c r="G55" s="45" t="e">
        <f>IF($B55-#REF!&lt;0,0,$B55-#REF!)</f>
        <v>#REF!</v>
      </c>
      <c r="H55" s="45" t="e">
        <f>IF($B55-#REF!&lt;0,0,$B55-#REF!)</f>
        <v>#REF!</v>
      </c>
      <c r="I55" s="45" t="e">
        <f>IF($B55-#REF!&lt;0,0,$B55-#REF!)</f>
        <v>#REF!</v>
      </c>
      <c r="J55" s="45" t="e">
        <f>IF($B55-#REF!&lt;0,0,$B55-#REF!)</f>
        <v>#REF!</v>
      </c>
      <c r="K55" s="45" t="e">
        <f>IF($B55-#REF!&lt;0,0,$B55-#REF!)</f>
        <v>#REF!</v>
      </c>
      <c r="L55" s="45" t="e">
        <f>IF($B55-#REF!&lt;0,0,$B55-#REF!)</f>
        <v>#REF!</v>
      </c>
      <c r="M55" s="45" t="e">
        <f>IF($B55-#REF!&lt;0,0,$B55-#REF!)</f>
        <v>#REF!</v>
      </c>
      <c r="N55" s="45" t="e">
        <f>IF($B55-#REF!&lt;0,0,$B55-#REF!)</f>
        <v>#REF!</v>
      </c>
      <c r="O55" s="45" t="e">
        <f>IF($B55-#REF!&lt;0,0,$B55-#REF!)</f>
        <v>#REF!</v>
      </c>
      <c r="P55" s="45" t="e">
        <f>IF($B55-#REF!&lt;0,0,$B55-#REF!)</f>
        <v>#REF!</v>
      </c>
      <c r="Q55" s="45" t="e">
        <f>IF($B55-#REF!&lt;0,0,$B55-#REF!)</f>
        <v>#REF!</v>
      </c>
      <c r="R55" s="45" t="e">
        <f>IF($B55-#REF!&lt;0,0,$B55-#REF!)</f>
        <v>#REF!</v>
      </c>
      <c r="S55" s="45" t="e">
        <f>IF($B55-#REF!&lt;0,0,$B55-#REF!)</f>
        <v>#REF!</v>
      </c>
      <c r="T55" s="45" t="e">
        <f>IF($B55-#REF!&lt;0,0,$B55-#REF!)</f>
        <v>#REF!</v>
      </c>
      <c r="U55" s="45" t="e">
        <f>IF($B55-#REF!&lt;0,0,$B55-#REF!)</f>
        <v>#REF!</v>
      </c>
      <c r="V55" s="45" t="e">
        <f>IF($B55-#REF!&lt;0,0,$B55-#REF!)</f>
        <v>#REF!</v>
      </c>
      <c r="W55" s="45" t="e">
        <f>IF($B55-#REF!&lt;0,0,$B55-#REF!)</f>
        <v>#REF!</v>
      </c>
      <c r="X55" s="45" t="e">
        <f>IF($B55-#REF!&lt;0,0,$B55-#REF!)</f>
        <v>#REF!</v>
      </c>
      <c r="Y55" s="45" t="e">
        <f>IF($B55-#REF!&lt;0,0,$B55-#REF!)</f>
        <v>#REF!</v>
      </c>
      <c r="Z55" s="45" t="e">
        <f>IF($B55-#REF!&lt;0,0,$B55-#REF!)</f>
        <v>#REF!</v>
      </c>
      <c r="AA55" s="45" t="e">
        <f>IF($B55-#REF!&lt;0,0,$B55-#REF!)</f>
        <v>#REF!</v>
      </c>
      <c r="AB55" s="45" t="e">
        <f>IF($B55-#REF!&lt;0,0,$B55-#REF!)</f>
        <v>#REF!</v>
      </c>
      <c r="AC55" s="45" t="e">
        <f>IF($B55-#REF!&lt;0,0,$B55-#REF!)</f>
        <v>#REF!</v>
      </c>
      <c r="AD55" s="45" t="e">
        <f>IF($B55-#REF!&lt;0,0,$B55-#REF!)</f>
        <v>#REF!</v>
      </c>
      <c r="AE55" s="45" t="e">
        <f>IF($B55-#REF!&lt;0,0,$B55-#REF!)</f>
        <v>#REF!</v>
      </c>
      <c r="AF55" s="45" t="e">
        <f>IF($B55-#REF!&lt;0,0,$B55-#REF!)</f>
        <v>#REF!</v>
      </c>
      <c r="AG55" s="45" t="e">
        <f>IF($B55-#REF!&lt;0,0,$B55-#REF!)</f>
        <v>#REF!</v>
      </c>
      <c r="AH55" s="52">
        <v>144</v>
      </c>
      <c r="AI55" s="48" t="e">
        <f t="shared" si="2"/>
        <v>#REF!</v>
      </c>
      <c r="AJ55" s="49" t="e">
        <f t="shared" si="3"/>
        <v>#REF!</v>
      </c>
      <c r="AK55" s="48">
        <f>45*19</f>
        <v>855</v>
      </c>
      <c r="AL55" s="50"/>
    </row>
    <row r="56" spans="1:42" x14ac:dyDescent="0.25">
      <c r="A56" s="54" t="s">
        <v>54</v>
      </c>
      <c r="B56" s="211">
        <v>70</v>
      </c>
      <c r="C56" s="45" t="e">
        <f>IF($B56-#REF!&lt;0,0,$B56-#REF!)</f>
        <v>#REF!</v>
      </c>
      <c r="D56" s="45">
        <v>0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v>0</v>
      </c>
      <c r="O56" s="45">
        <v>0</v>
      </c>
      <c r="P56" s="45">
        <v>0</v>
      </c>
      <c r="Q56" s="45">
        <v>0</v>
      </c>
      <c r="R56" s="45">
        <v>0</v>
      </c>
      <c r="S56" s="45">
        <v>0</v>
      </c>
      <c r="T56" s="45">
        <v>0</v>
      </c>
      <c r="U56" s="45">
        <v>0</v>
      </c>
      <c r="V56" s="45">
        <v>0</v>
      </c>
      <c r="W56" s="45">
        <v>0</v>
      </c>
      <c r="X56" s="45">
        <v>0</v>
      </c>
      <c r="Y56" s="45">
        <v>0</v>
      </c>
      <c r="Z56" s="45">
        <v>0</v>
      </c>
      <c r="AA56" s="45">
        <v>0</v>
      </c>
      <c r="AB56" s="45">
        <v>0</v>
      </c>
      <c r="AC56" s="45">
        <v>0</v>
      </c>
      <c r="AD56" s="45">
        <v>0</v>
      </c>
      <c r="AE56" s="45">
        <v>0</v>
      </c>
      <c r="AF56" s="45">
        <v>0</v>
      </c>
      <c r="AG56" s="45">
        <v>0</v>
      </c>
      <c r="AH56" s="55">
        <v>70</v>
      </c>
      <c r="AI56" s="48" t="e">
        <f t="shared" si="2"/>
        <v>#REF!</v>
      </c>
      <c r="AJ56" s="49" t="e">
        <f t="shared" si="3"/>
        <v>#REF!</v>
      </c>
      <c r="AL56" s="50"/>
    </row>
    <row r="57" spans="1:42" x14ac:dyDescent="0.25">
      <c r="A57" s="54" t="s">
        <v>55</v>
      </c>
      <c r="B57" s="211">
        <v>69</v>
      </c>
      <c r="C57" s="45" t="e">
        <f>IF($B57-#REF!&lt;0,0,$B57-#REF!)</f>
        <v>#REF!</v>
      </c>
      <c r="D57" s="45" t="e">
        <f>IF($B57-#REF!&lt;0,0,$B57-#REF!)</f>
        <v>#REF!</v>
      </c>
      <c r="E57" s="45" t="e">
        <f>IF($B57-#REF!&lt;0,0,$B57-#REF!)</f>
        <v>#REF!</v>
      </c>
      <c r="F57" s="45" t="e">
        <f>IF($B57-#REF!&lt;0,0,$B57-#REF!)</f>
        <v>#REF!</v>
      </c>
      <c r="G57" s="45" t="e">
        <f>IF($B57-#REF!&lt;0,0,$B57-#REF!)</f>
        <v>#REF!</v>
      </c>
      <c r="H57" s="45" t="e">
        <f>IF($B57-#REF!&lt;0,0,$B57-#REF!)</f>
        <v>#REF!</v>
      </c>
      <c r="I57" s="45" t="e">
        <f>IF($B57-#REF!&lt;0,0,$B57-#REF!)</f>
        <v>#REF!</v>
      </c>
      <c r="J57" s="45" t="e">
        <f>IF($B57-#REF!&lt;0,0,$B57-#REF!)</f>
        <v>#REF!</v>
      </c>
      <c r="K57" s="45" t="e">
        <f>IF($B57-#REF!&lt;0,0,$B57-#REF!)</f>
        <v>#REF!</v>
      </c>
      <c r="L57" s="45" t="e">
        <f>IF($B57-#REF!&lt;0,0,$B57-#REF!)</f>
        <v>#REF!</v>
      </c>
      <c r="M57" s="45" t="e">
        <f>IF($B57-#REF!&lt;0,0,$B57-#REF!)</f>
        <v>#REF!</v>
      </c>
      <c r="N57" s="45" t="e">
        <f>IF($B57-#REF!&lt;0,0,$B57-#REF!)</f>
        <v>#REF!</v>
      </c>
      <c r="O57" s="45" t="e">
        <f>IF($B57-#REF!&lt;0,0,$B57-#REF!)</f>
        <v>#REF!</v>
      </c>
      <c r="P57" s="45" t="e">
        <f>IF($B57-#REF!&lt;0,0,$B57-#REF!)</f>
        <v>#REF!</v>
      </c>
      <c r="Q57" s="45" t="e">
        <f>IF($B57-#REF!&lt;0,0,$B57-#REF!)</f>
        <v>#REF!</v>
      </c>
      <c r="R57" s="45" t="e">
        <f>IF($B57-#REF!&lt;0,0,$B57-#REF!)</f>
        <v>#REF!</v>
      </c>
      <c r="S57" s="45" t="e">
        <f>IF($B57-#REF!&lt;0,0,$B57-#REF!)</f>
        <v>#REF!</v>
      </c>
      <c r="T57" s="45" t="e">
        <f>IF($B57-#REF!&lt;0,0,$B57-#REF!)</f>
        <v>#REF!</v>
      </c>
      <c r="U57" s="45" t="e">
        <f>IF($B57-#REF!&lt;0,0,$B57-#REF!)</f>
        <v>#REF!</v>
      </c>
      <c r="V57" s="45" t="e">
        <f>IF($B57-#REF!&lt;0,0,$B57-#REF!)</f>
        <v>#REF!</v>
      </c>
      <c r="W57" s="45" t="e">
        <f>IF($B57-#REF!&lt;0,0,$B57-#REF!)</f>
        <v>#REF!</v>
      </c>
      <c r="X57" s="45" t="e">
        <f>IF($B57-#REF!&lt;0,0,$B57-#REF!)</f>
        <v>#REF!</v>
      </c>
      <c r="Y57" s="45" t="e">
        <f>IF($B57-#REF!&lt;0,0,$B57-#REF!)</f>
        <v>#REF!</v>
      </c>
      <c r="Z57" s="45" t="e">
        <f>IF($B57-#REF!&lt;0,0,$B57-#REF!)</f>
        <v>#REF!</v>
      </c>
      <c r="AA57" s="45" t="e">
        <f>IF($B57-#REF!&lt;0,0,$B57-#REF!)</f>
        <v>#REF!</v>
      </c>
      <c r="AB57" s="45" t="e">
        <f>IF($B57-#REF!&lt;0,0,$B57-#REF!)</f>
        <v>#REF!</v>
      </c>
      <c r="AC57" s="45" t="e">
        <f>IF($B57-#REF!&lt;0,0,$B57-#REF!)</f>
        <v>#REF!</v>
      </c>
      <c r="AD57" s="45" t="e">
        <f>IF($B57-#REF!&lt;0,0,$B57-#REF!)</f>
        <v>#REF!</v>
      </c>
      <c r="AE57" s="45" t="e">
        <f>IF($B57-#REF!&lt;0,0,$B57-#REF!)</f>
        <v>#REF!</v>
      </c>
      <c r="AF57" s="45" t="e">
        <f>IF($B57-#REF!&lt;0,0,$B57-#REF!)</f>
        <v>#REF!</v>
      </c>
      <c r="AG57" s="45" t="e">
        <f>IF($B57-#REF!&lt;0,0,$B57-#REF!)</f>
        <v>#REF!</v>
      </c>
      <c r="AH57" s="55">
        <v>69</v>
      </c>
      <c r="AI57" s="48" t="e">
        <f t="shared" si="2"/>
        <v>#REF!</v>
      </c>
      <c r="AJ57" s="49" t="e">
        <f t="shared" si="3"/>
        <v>#REF!</v>
      </c>
      <c r="AK57" s="48">
        <f>20*24</f>
        <v>480</v>
      </c>
      <c r="AL57" s="50"/>
    </row>
    <row r="58" spans="1:42" x14ac:dyDescent="0.25">
      <c r="A58" s="54" t="s">
        <v>56</v>
      </c>
      <c r="B58" s="211">
        <v>60</v>
      </c>
      <c r="C58" s="45" t="e">
        <f>IF($B58-#REF!&lt;0,0,$B58-#REF!)</f>
        <v>#REF!</v>
      </c>
      <c r="D58" s="45" t="e">
        <f>IF($B58-#REF!&lt;0,0,$B58-#REF!)</f>
        <v>#REF!</v>
      </c>
      <c r="E58" s="45" t="e">
        <f>IF($B58-#REF!&lt;0,0,$B58-#REF!)</f>
        <v>#REF!</v>
      </c>
      <c r="F58" s="45" t="e">
        <f>IF($B58-#REF!&lt;0,0,$B58-#REF!)</f>
        <v>#REF!</v>
      </c>
      <c r="G58" s="45" t="e">
        <f>IF($B58-#REF!&lt;0,0,$B58-#REF!)</f>
        <v>#REF!</v>
      </c>
      <c r="H58" s="45" t="e">
        <f>IF($B58-#REF!&lt;0,0,$B58-#REF!)</f>
        <v>#REF!</v>
      </c>
      <c r="I58" s="45" t="e">
        <f>IF($B58-#REF!&lt;0,0,$B58-#REF!)</f>
        <v>#REF!</v>
      </c>
      <c r="J58" s="45" t="e">
        <f>IF($B58-#REF!&lt;0,0,$B58-#REF!)</f>
        <v>#REF!</v>
      </c>
      <c r="K58" s="45" t="e">
        <f>IF($B58-#REF!&lt;0,0,$B58-#REF!)</f>
        <v>#REF!</v>
      </c>
      <c r="L58" s="45" t="e">
        <f>IF($B58-#REF!&lt;0,0,$B58-#REF!)</f>
        <v>#REF!</v>
      </c>
      <c r="M58" s="45" t="e">
        <f>IF($B58-#REF!&lt;0,0,$B58-#REF!)</f>
        <v>#REF!</v>
      </c>
      <c r="N58" s="45" t="e">
        <f>IF($B58-#REF!&lt;0,0,$B58-#REF!)</f>
        <v>#REF!</v>
      </c>
      <c r="O58" s="45" t="e">
        <f>IF($B58-#REF!&lt;0,0,$B58-#REF!)</f>
        <v>#REF!</v>
      </c>
      <c r="P58" s="45" t="e">
        <f>IF($B58-#REF!&lt;0,0,$B58-#REF!)</f>
        <v>#REF!</v>
      </c>
      <c r="Q58" s="45" t="e">
        <f>IF($B58-#REF!&lt;0,0,$B58-#REF!)</f>
        <v>#REF!</v>
      </c>
      <c r="R58" s="45" t="e">
        <f>IF($B58-#REF!&lt;0,0,$B58-#REF!)</f>
        <v>#REF!</v>
      </c>
      <c r="S58" s="45" t="e">
        <f>IF($B58-#REF!&lt;0,0,$B58-#REF!)</f>
        <v>#REF!</v>
      </c>
      <c r="T58" s="45" t="e">
        <f>IF($B58-#REF!&lt;0,0,$B58-#REF!)</f>
        <v>#REF!</v>
      </c>
      <c r="U58" s="45" t="e">
        <f>IF($B58-#REF!&lt;0,0,$B58-#REF!)</f>
        <v>#REF!</v>
      </c>
      <c r="V58" s="45" t="e">
        <f>IF($B58-#REF!&lt;0,0,$B58-#REF!)</f>
        <v>#REF!</v>
      </c>
      <c r="W58" s="45" t="e">
        <f>IF($B58-#REF!&lt;0,0,$B58-#REF!)</f>
        <v>#REF!</v>
      </c>
      <c r="X58" s="45" t="e">
        <f>IF($B58-#REF!&lt;0,0,$B58-#REF!)</f>
        <v>#REF!</v>
      </c>
      <c r="Y58" s="45" t="e">
        <f>IF($B58-#REF!&lt;0,0,$B58-#REF!)</f>
        <v>#REF!</v>
      </c>
      <c r="Z58" s="45" t="e">
        <f>IF($B58-#REF!&lt;0,0,$B58-#REF!)</f>
        <v>#REF!</v>
      </c>
      <c r="AA58" s="45" t="e">
        <f>IF($B58-#REF!&lt;0,0,$B58-#REF!)</f>
        <v>#REF!</v>
      </c>
      <c r="AB58" s="45" t="e">
        <f>IF($B58-#REF!&lt;0,0,$B58-#REF!)</f>
        <v>#REF!</v>
      </c>
      <c r="AC58" s="45" t="e">
        <f>IF($B58-#REF!&lt;0,0,$B58-#REF!)</f>
        <v>#REF!</v>
      </c>
      <c r="AD58" s="45" t="e">
        <f>IF($B58-#REF!&lt;0,0,$B58-#REF!)</f>
        <v>#REF!</v>
      </c>
      <c r="AE58" s="45" t="e">
        <f>IF($B58-#REF!&lt;0,0,$B58-#REF!)</f>
        <v>#REF!</v>
      </c>
      <c r="AF58" s="45" t="e">
        <f>IF($B58-#REF!&lt;0,0,$B58-#REF!)</f>
        <v>#REF!</v>
      </c>
      <c r="AG58" s="45" t="e">
        <f>IF($B58-#REF!&lt;0,0,$B58-#REF!)</f>
        <v>#REF!</v>
      </c>
      <c r="AH58" s="55">
        <v>60</v>
      </c>
      <c r="AI58" s="48" t="e">
        <f t="shared" si="2"/>
        <v>#REF!</v>
      </c>
      <c r="AJ58" s="49" t="e">
        <f t="shared" si="3"/>
        <v>#REF!</v>
      </c>
      <c r="AL58" s="50"/>
    </row>
    <row r="59" spans="1:42" x14ac:dyDescent="0.25">
      <c r="A59" s="54" t="s">
        <v>57</v>
      </c>
      <c r="B59" s="211">
        <v>15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1</v>
      </c>
      <c r="T59" s="45">
        <v>0</v>
      </c>
      <c r="U59" s="45">
        <v>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45">
        <v>0</v>
      </c>
      <c r="AH59" s="55">
        <v>30</v>
      </c>
      <c r="AI59" s="48">
        <f t="shared" si="2"/>
        <v>1</v>
      </c>
      <c r="AJ59" s="49">
        <f t="shared" si="3"/>
        <v>0</v>
      </c>
      <c r="AL59" s="50"/>
    </row>
    <row r="60" spans="1:42" x14ac:dyDescent="0.25">
      <c r="A60" s="54" t="s">
        <v>58</v>
      </c>
      <c r="B60" s="211"/>
      <c r="C60" s="45" t="e">
        <f>IF($B60-#REF!&lt;0,0,$B60-#REF!)</f>
        <v>#REF!</v>
      </c>
      <c r="D60" s="45" t="e">
        <f>IF($B60-#REF!&lt;0,0,$B60-#REF!)</f>
        <v>#REF!</v>
      </c>
      <c r="E60" s="45" t="e">
        <f>IF($B60-#REF!&lt;0,0,$B60-#REF!)</f>
        <v>#REF!</v>
      </c>
      <c r="F60" s="45" t="e">
        <f>IF($B60-#REF!&lt;0,0,$B60-#REF!)</f>
        <v>#REF!</v>
      </c>
      <c r="G60" s="45" t="e">
        <f>IF($B60-#REF!&lt;0,0,$B60-#REF!)</f>
        <v>#REF!</v>
      </c>
      <c r="H60" s="45" t="e">
        <f>IF($B60-#REF!&lt;0,0,$B60-#REF!)</f>
        <v>#REF!</v>
      </c>
      <c r="I60" s="45" t="e">
        <f>IF($B60-#REF!&lt;0,0,$B60-#REF!)</f>
        <v>#REF!</v>
      </c>
      <c r="J60" s="45" t="e">
        <f>IF($B60-#REF!&lt;0,0,$B60-#REF!)</f>
        <v>#REF!</v>
      </c>
      <c r="K60" s="45" t="e">
        <f>IF($B60-#REF!&lt;0,0,$B60-#REF!)</f>
        <v>#REF!</v>
      </c>
      <c r="L60" s="45" t="e">
        <f>IF($B60-#REF!&lt;0,0,$B60-#REF!)</f>
        <v>#REF!</v>
      </c>
      <c r="M60" s="45" t="e">
        <f>IF($B60-#REF!&lt;0,0,$B60-#REF!)</f>
        <v>#REF!</v>
      </c>
      <c r="N60" s="45" t="e">
        <f>IF($B60-#REF!&lt;0,0,$B60-#REF!)</f>
        <v>#REF!</v>
      </c>
      <c r="O60" s="45" t="e">
        <f>IF($B60-#REF!&lt;0,0,$B60-#REF!)</f>
        <v>#REF!</v>
      </c>
      <c r="P60" s="45" t="e">
        <f>IF($B60-#REF!&lt;0,0,$B60-#REF!)</f>
        <v>#REF!</v>
      </c>
      <c r="Q60" s="45" t="e">
        <f>IF($B60-#REF!&lt;0,0,$B60-#REF!)</f>
        <v>#REF!</v>
      </c>
      <c r="R60" s="45" t="e">
        <f>IF($B60-#REF!&lt;0,0,$B60-#REF!)</f>
        <v>#REF!</v>
      </c>
      <c r="S60" s="45" t="e">
        <f>IF($B60-#REF!&lt;0,0,$B60-#REF!)</f>
        <v>#REF!</v>
      </c>
      <c r="T60" s="45" t="e">
        <f>IF($B60-#REF!&lt;0,0,$B60-#REF!)</f>
        <v>#REF!</v>
      </c>
      <c r="U60" s="45" t="e">
        <f>IF($B60-#REF!&lt;0,0,$B60-#REF!)</f>
        <v>#REF!</v>
      </c>
      <c r="V60" s="45" t="e">
        <f>IF($B60-#REF!&lt;0,0,$B60-#REF!)</f>
        <v>#REF!</v>
      </c>
      <c r="W60" s="45" t="e">
        <f>IF($B60-#REF!&lt;0,0,$B60-#REF!)</f>
        <v>#REF!</v>
      </c>
      <c r="X60" s="45" t="e">
        <f>IF($B60-#REF!&lt;0,0,$B60-#REF!)</f>
        <v>#REF!</v>
      </c>
      <c r="Y60" s="45" t="e">
        <f>IF($B60-#REF!&lt;0,0,$B60-#REF!)</f>
        <v>#REF!</v>
      </c>
      <c r="Z60" s="45" t="e">
        <f>IF($B60-#REF!&lt;0,0,$B60-#REF!)</f>
        <v>#REF!</v>
      </c>
      <c r="AA60" s="45" t="e">
        <f>IF($B60-#REF!&lt;0,0,$B60-#REF!)</f>
        <v>#REF!</v>
      </c>
      <c r="AB60" s="45" t="e">
        <f>IF($B60-#REF!&lt;0,0,$B60-#REF!)</f>
        <v>#REF!</v>
      </c>
      <c r="AC60" s="45" t="e">
        <f>IF($B60-#REF!&lt;0,0,$B60-#REF!)</f>
        <v>#REF!</v>
      </c>
      <c r="AD60" s="45" t="e">
        <f>IF($B60-#REF!&lt;0,0,$B60-#REF!)</f>
        <v>#REF!</v>
      </c>
      <c r="AE60" s="45" t="e">
        <f>IF($B60-#REF!&lt;0,0,$B60-#REF!)</f>
        <v>#REF!</v>
      </c>
      <c r="AF60" s="45" t="e">
        <f>IF($B60-#REF!&lt;0,0,$B60-#REF!)</f>
        <v>#REF!</v>
      </c>
      <c r="AG60" s="45" t="e">
        <f>IF($B60-#REF!&lt;0,0,$B60-#REF!)</f>
        <v>#REF!</v>
      </c>
      <c r="AH60" s="55">
        <v>25</v>
      </c>
      <c r="AI60" s="48" t="e">
        <f t="shared" si="2"/>
        <v>#REF!</v>
      </c>
      <c r="AJ60" s="49" t="e">
        <f t="shared" si="3"/>
        <v>#REF!</v>
      </c>
      <c r="AL60" s="50"/>
    </row>
    <row r="61" spans="1:42" x14ac:dyDescent="0.25">
      <c r="A61" s="54" t="s">
        <v>59</v>
      </c>
      <c r="B61" s="211">
        <v>15</v>
      </c>
      <c r="C61" s="45" t="e">
        <f>IF($B61-#REF!&lt;0,0,$B61-#REF!)</f>
        <v>#REF!</v>
      </c>
      <c r="D61" s="45" t="e">
        <f>IF($B61-#REF!&lt;0,0,$B61-#REF!)</f>
        <v>#REF!</v>
      </c>
      <c r="E61" s="45" t="e">
        <f>IF($B61-#REF!&lt;0,0,$B61-#REF!)</f>
        <v>#REF!</v>
      </c>
      <c r="F61" s="45" t="e">
        <f>IF($B61-#REF!&lt;0,0,$B61-#REF!)</f>
        <v>#REF!</v>
      </c>
      <c r="G61" s="45" t="e">
        <f>IF($B61-#REF!&lt;0,0,$B61-#REF!)</f>
        <v>#REF!</v>
      </c>
      <c r="H61" s="45" t="e">
        <f>IF($B61-#REF!&lt;0,0,$B61-#REF!)</f>
        <v>#REF!</v>
      </c>
      <c r="I61" s="45" t="e">
        <f>IF($B61-#REF!&lt;0,0,$B61-#REF!)</f>
        <v>#REF!</v>
      </c>
      <c r="J61" s="45" t="e">
        <f>IF($B61-#REF!&lt;0,0,$B61-#REF!)</f>
        <v>#REF!</v>
      </c>
      <c r="K61" s="45" t="e">
        <f>IF($B61-#REF!&lt;0,0,$B61-#REF!)</f>
        <v>#REF!</v>
      </c>
      <c r="L61" s="45" t="e">
        <f>IF($B61-#REF!&lt;0,0,$B61-#REF!)</f>
        <v>#REF!</v>
      </c>
      <c r="M61" s="45" t="e">
        <f>IF($B61-#REF!&lt;0,0,$B61-#REF!)</f>
        <v>#REF!</v>
      </c>
      <c r="N61" s="45" t="e">
        <f>IF($B61-#REF!&lt;0,0,$B61-#REF!)</f>
        <v>#REF!</v>
      </c>
      <c r="O61" s="45" t="e">
        <f>IF($B61-#REF!&lt;0,0,$B61-#REF!)</f>
        <v>#REF!</v>
      </c>
      <c r="P61" s="45" t="e">
        <f>IF($B61-#REF!&lt;0,0,$B61-#REF!)</f>
        <v>#REF!</v>
      </c>
      <c r="Q61" s="45" t="e">
        <f>IF($B61-#REF!&lt;0,0,$B61-#REF!)</f>
        <v>#REF!</v>
      </c>
      <c r="R61" s="45" t="e">
        <f>IF($B61-#REF!&lt;0,0,$B61-#REF!)</f>
        <v>#REF!</v>
      </c>
      <c r="S61" s="45" t="e">
        <f>IF($B61-#REF!&lt;0,0,$B61-#REF!)</f>
        <v>#REF!</v>
      </c>
      <c r="T61" s="45" t="e">
        <f>IF($B61-#REF!&lt;0,0,$B61-#REF!)</f>
        <v>#REF!</v>
      </c>
      <c r="U61" s="45" t="e">
        <f>IF($B61-#REF!&lt;0,0,$B61-#REF!)</f>
        <v>#REF!</v>
      </c>
      <c r="V61" s="45" t="e">
        <f>IF($B61-#REF!&lt;0,0,$B61-#REF!)</f>
        <v>#REF!</v>
      </c>
      <c r="W61" s="45" t="e">
        <f>IF($B61-#REF!&lt;0,0,$B61-#REF!)</f>
        <v>#REF!</v>
      </c>
      <c r="X61" s="45" t="e">
        <f>IF($B61-#REF!&lt;0,0,$B61-#REF!)</f>
        <v>#REF!</v>
      </c>
      <c r="Y61" s="45" t="e">
        <f>IF($B61-#REF!&lt;0,0,$B61-#REF!)</f>
        <v>#REF!</v>
      </c>
      <c r="Z61" s="45" t="e">
        <f>IF($B61-#REF!&lt;0,0,$B61-#REF!)</f>
        <v>#REF!</v>
      </c>
      <c r="AA61" s="45" t="e">
        <f>IF($B61-#REF!&lt;0,0,$B61-#REF!)</f>
        <v>#REF!</v>
      </c>
      <c r="AB61" s="45" t="e">
        <f>IF($B61-#REF!&lt;0,0,$B61-#REF!)</f>
        <v>#REF!</v>
      </c>
      <c r="AC61" s="45" t="e">
        <f>IF($B61-#REF!&lt;0,0,$B61-#REF!)</f>
        <v>#REF!</v>
      </c>
      <c r="AD61" s="45" t="e">
        <f>IF($B61-#REF!&lt;0,0,$B61-#REF!)</f>
        <v>#REF!</v>
      </c>
      <c r="AE61" s="45" t="e">
        <f>IF($B61-#REF!&lt;0,0,$B61-#REF!)</f>
        <v>#REF!</v>
      </c>
      <c r="AF61" s="45" t="e">
        <f>IF($B61-#REF!&lt;0,0,$B61-#REF!)</f>
        <v>#REF!</v>
      </c>
      <c r="AG61" s="45" t="e">
        <f>IF($B61-#REF!&lt;0,0,$B61-#REF!)</f>
        <v>#REF!</v>
      </c>
      <c r="AH61" s="55">
        <v>24</v>
      </c>
      <c r="AI61" s="48" t="e">
        <f t="shared" si="2"/>
        <v>#REF!</v>
      </c>
      <c r="AJ61" s="49" t="e">
        <f t="shared" si="3"/>
        <v>#REF!</v>
      </c>
      <c r="AL61" s="50"/>
    </row>
    <row r="62" spans="1:42" x14ac:dyDescent="0.25">
      <c r="A62" s="54" t="s">
        <v>60</v>
      </c>
      <c r="B62" s="211">
        <v>5</v>
      </c>
      <c r="C62" s="45">
        <v>0</v>
      </c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v>0</v>
      </c>
      <c r="O62" s="45">
        <v>0</v>
      </c>
      <c r="P62" s="45">
        <v>0</v>
      </c>
      <c r="Q62" s="45">
        <v>0</v>
      </c>
      <c r="R62" s="45">
        <v>0</v>
      </c>
      <c r="S62" s="45">
        <v>1</v>
      </c>
      <c r="T62" s="45">
        <v>0</v>
      </c>
      <c r="U62" s="45">
        <v>0</v>
      </c>
      <c r="V62" s="45">
        <v>0</v>
      </c>
      <c r="W62" s="45">
        <v>0</v>
      </c>
      <c r="X62" s="45">
        <v>0</v>
      </c>
      <c r="Y62" s="45">
        <v>0</v>
      </c>
      <c r="Z62" s="45">
        <v>0</v>
      </c>
      <c r="AA62" s="45">
        <v>0</v>
      </c>
      <c r="AB62" s="45">
        <v>0</v>
      </c>
      <c r="AC62" s="45">
        <v>0</v>
      </c>
      <c r="AD62" s="45">
        <v>0</v>
      </c>
      <c r="AE62" s="45">
        <v>0</v>
      </c>
      <c r="AF62" s="45">
        <v>0</v>
      </c>
      <c r="AG62" s="45">
        <v>0</v>
      </c>
      <c r="AH62" s="55">
        <v>15</v>
      </c>
      <c r="AI62" s="48">
        <f t="shared" si="2"/>
        <v>1</v>
      </c>
      <c r="AJ62" s="49">
        <f t="shared" si="3"/>
        <v>0</v>
      </c>
      <c r="AL62" s="50"/>
      <c r="AM62" s="70"/>
      <c r="AP62" s="70"/>
    </row>
    <row r="63" spans="1:42" s="70" customFormat="1" x14ac:dyDescent="0.25">
      <c r="A63" s="54" t="s">
        <v>61</v>
      </c>
      <c r="B63" s="211">
        <v>11</v>
      </c>
      <c r="C63" s="45" t="e">
        <f>IF($B63-#REF!&lt;0,0,$B63-#REF!)</f>
        <v>#REF!</v>
      </c>
      <c r="D63" s="45" t="e">
        <f>IF($B63-#REF!&lt;0,0,$B63-#REF!)</f>
        <v>#REF!</v>
      </c>
      <c r="E63" s="45" t="e">
        <f>IF($B63-#REF!&lt;0,0,$B63-#REF!)</f>
        <v>#REF!</v>
      </c>
      <c r="F63" s="45" t="e">
        <f>IF($B63-#REF!&lt;0,0,$B63-#REF!)</f>
        <v>#REF!</v>
      </c>
      <c r="G63" s="45" t="e">
        <f>IF($B63-#REF!&lt;0,0,$B63-#REF!)</f>
        <v>#REF!</v>
      </c>
      <c r="H63" s="45" t="e">
        <f>IF($B63-#REF!&lt;0,0,$B63-#REF!)</f>
        <v>#REF!</v>
      </c>
      <c r="I63" s="45" t="e">
        <f>IF($B63-#REF!&lt;0,0,$B63-#REF!)</f>
        <v>#REF!</v>
      </c>
      <c r="J63" s="45" t="e">
        <f>IF($B63-#REF!&lt;0,0,$B63-#REF!)</f>
        <v>#REF!</v>
      </c>
      <c r="K63" s="45" t="e">
        <f>IF($B63-#REF!&lt;0,0,$B63-#REF!)</f>
        <v>#REF!</v>
      </c>
      <c r="L63" s="45" t="e">
        <f>IF($B63-#REF!&lt;0,0,$B63-#REF!)</f>
        <v>#REF!</v>
      </c>
      <c r="M63" s="45" t="e">
        <f>IF($B63-#REF!&lt;0,0,$B63-#REF!)</f>
        <v>#REF!</v>
      </c>
      <c r="N63" s="45" t="e">
        <f>IF($B63-#REF!&lt;0,0,$B63-#REF!)</f>
        <v>#REF!</v>
      </c>
      <c r="O63" s="45" t="e">
        <f>IF($B63-#REF!&lt;0,0,$B63-#REF!)</f>
        <v>#REF!</v>
      </c>
      <c r="P63" s="45" t="e">
        <f>IF($B63-#REF!&lt;0,0,$B63-#REF!)</f>
        <v>#REF!</v>
      </c>
      <c r="Q63" s="45" t="e">
        <f>IF($B63-#REF!&lt;0,0,$B63-#REF!)</f>
        <v>#REF!</v>
      </c>
      <c r="R63" s="45" t="e">
        <f>IF($B63-#REF!&lt;0,0,$B63-#REF!)</f>
        <v>#REF!</v>
      </c>
      <c r="S63" s="45" t="e">
        <f>IF($B63-#REF!&lt;0,0,$B63-#REF!)</f>
        <v>#REF!</v>
      </c>
      <c r="T63" s="45" t="e">
        <f>IF($B63-#REF!&lt;0,0,$B63-#REF!)</f>
        <v>#REF!</v>
      </c>
      <c r="U63" s="45" t="e">
        <f>IF($B63-#REF!&lt;0,0,$B63-#REF!)</f>
        <v>#REF!</v>
      </c>
      <c r="V63" s="45" t="e">
        <f>IF($B63-#REF!&lt;0,0,$B63-#REF!)</f>
        <v>#REF!</v>
      </c>
      <c r="W63" s="45" t="e">
        <f>IF($B63-#REF!&lt;0,0,$B63-#REF!)</f>
        <v>#REF!</v>
      </c>
      <c r="X63" s="45" t="e">
        <f>IF($B63-#REF!&lt;0,0,$B63-#REF!)</f>
        <v>#REF!</v>
      </c>
      <c r="Y63" s="45" t="e">
        <f>IF($B63-#REF!&lt;0,0,$B63-#REF!)</f>
        <v>#REF!</v>
      </c>
      <c r="Z63" s="45" t="e">
        <f>IF($B63-#REF!&lt;0,0,$B63-#REF!)</f>
        <v>#REF!</v>
      </c>
      <c r="AA63" s="45" t="e">
        <f>IF($B63-#REF!&lt;0,0,$B63-#REF!)</f>
        <v>#REF!</v>
      </c>
      <c r="AB63" s="45" t="e">
        <f>IF($B63-#REF!&lt;0,0,$B63-#REF!)</f>
        <v>#REF!</v>
      </c>
      <c r="AC63" s="45" t="e">
        <f>IF($B63-#REF!&lt;0,0,$B63-#REF!)</f>
        <v>#REF!</v>
      </c>
      <c r="AD63" s="45" t="e">
        <f>IF($B63-#REF!&lt;0,0,$B63-#REF!)</f>
        <v>#REF!</v>
      </c>
      <c r="AE63" s="45" t="e">
        <f>IF($B63-#REF!&lt;0,0,$B63-#REF!)</f>
        <v>#REF!</v>
      </c>
      <c r="AF63" s="45" t="e">
        <f>IF($B63-#REF!&lt;0,0,$B63-#REF!)</f>
        <v>#REF!</v>
      </c>
      <c r="AG63" s="45" t="e">
        <f>IF($B63-#REF!&lt;0,0,$B63-#REF!)</f>
        <v>#REF!</v>
      </c>
      <c r="AH63" s="55">
        <v>14.1</v>
      </c>
      <c r="AI63" s="48" t="e">
        <f t="shared" si="2"/>
        <v>#REF!</v>
      </c>
      <c r="AJ63" s="49" t="e">
        <f t="shared" si="3"/>
        <v>#REF!</v>
      </c>
      <c r="AK63" s="1"/>
      <c r="AL63" s="50"/>
      <c r="AM63" s="1"/>
      <c r="AN63" s="1"/>
      <c r="AO63" s="1"/>
      <c r="AP63" s="1"/>
    </row>
    <row r="64" spans="1:42" x14ac:dyDescent="0.25">
      <c r="A64" s="71" t="s">
        <v>62</v>
      </c>
      <c r="B64" s="211">
        <v>9</v>
      </c>
      <c r="C64" s="45" t="e">
        <f>IF($B64-#REF!&lt;0,0,$B64-#REF!)</f>
        <v>#REF!</v>
      </c>
      <c r="D64" s="45" t="e">
        <f>IF($B64-#REF!&lt;0,0,$B64-#REF!)</f>
        <v>#REF!</v>
      </c>
      <c r="E64" s="45" t="e">
        <f>IF($B64-#REF!&lt;0,0,$B64-#REF!)</f>
        <v>#REF!</v>
      </c>
      <c r="F64" s="45" t="e">
        <f>IF($B64-#REF!&lt;0,0,$B64-#REF!)</f>
        <v>#REF!</v>
      </c>
      <c r="G64" s="45" t="e">
        <f>IF($B64-#REF!&lt;0,0,$B64-#REF!)</f>
        <v>#REF!</v>
      </c>
      <c r="H64" s="45" t="e">
        <f>IF($B64-#REF!&lt;0,0,$B64-#REF!)</f>
        <v>#REF!</v>
      </c>
      <c r="I64" s="45" t="e">
        <f>IF($B64-#REF!&lt;0,0,$B64-#REF!)</f>
        <v>#REF!</v>
      </c>
      <c r="J64" s="45" t="e">
        <f>IF($B64-#REF!&lt;0,0,$B64-#REF!)</f>
        <v>#REF!</v>
      </c>
      <c r="K64" s="45" t="e">
        <f>IF($B64-#REF!&lt;0,0,$B64-#REF!)</f>
        <v>#REF!</v>
      </c>
      <c r="L64" s="45" t="e">
        <f>IF($B64-#REF!&lt;0,0,$B64-#REF!)</f>
        <v>#REF!</v>
      </c>
      <c r="M64" s="45" t="e">
        <f>IF($B64-#REF!&lt;0,0,$B64-#REF!)</f>
        <v>#REF!</v>
      </c>
      <c r="N64" s="45" t="e">
        <f>IF($B64-#REF!&lt;0,0,$B64-#REF!)</f>
        <v>#REF!</v>
      </c>
      <c r="O64" s="45" t="e">
        <f>IF($B64-#REF!&lt;0,0,$B64-#REF!)</f>
        <v>#REF!</v>
      </c>
      <c r="P64" s="45" t="e">
        <f>IF($B64-#REF!&lt;0,0,$B64-#REF!)</f>
        <v>#REF!</v>
      </c>
      <c r="Q64" s="45" t="e">
        <f>IF($B64-#REF!&lt;0,0,$B64-#REF!)</f>
        <v>#REF!</v>
      </c>
      <c r="R64" s="45" t="e">
        <f>IF($B64-#REF!&lt;0,0,$B64-#REF!)</f>
        <v>#REF!</v>
      </c>
      <c r="S64" s="45" t="e">
        <f>IF($B64-#REF!&lt;0,0,$B64-#REF!)</f>
        <v>#REF!</v>
      </c>
      <c r="T64" s="45" t="e">
        <f>IF($B64-#REF!&lt;0,0,$B64-#REF!)</f>
        <v>#REF!</v>
      </c>
      <c r="U64" s="45" t="e">
        <f>IF($B64-#REF!&lt;0,0,$B64-#REF!)</f>
        <v>#REF!</v>
      </c>
      <c r="V64" s="45" t="e">
        <f>IF($B64-#REF!&lt;0,0,$B64-#REF!)</f>
        <v>#REF!</v>
      </c>
      <c r="W64" s="45" t="e">
        <f>IF($B64-#REF!&lt;0,0,$B64-#REF!)</f>
        <v>#REF!</v>
      </c>
      <c r="X64" s="45" t="e">
        <f>IF($B64-#REF!&lt;0,0,$B64-#REF!)</f>
        <v>#REF!</v>
      </c>
      <c r="Y64" s="45" t="e">
        <f>IF($B64-#REF!&lt;0,0,$B64-#REF!)</f>
        <v>#REF!</v>
      </c>
      <c r="Z64" s="45" t="e">
        <f>IF($B64-#REF!&lt;0,0,$B64-#REF!)</f>
        <v>#REF!</v>
      </c>
      <c r="AA64" s="45" t="e">
        <f>IF($B64-#REF!&lt;0,0,$B64-#REF!)</f>
        <v>#REF!</v>
      </c>
      <c r="AB64" s="45" t="e">
        <f>IF($B64-#REF!&lt;0,0,$B64-#REF!)</f>
        <v>#REF!</v>
      </c>
      <c r="AC64" s="45" t="e">
        <f>IF($B64-#REF!&lt;0,0,$B64-#REF!)</f>
        <v>#REF!</v>
      </c>
      <c r="AD64" s="45" t="e">
        <f>IF($B64-#REF!&lt;0,0,$B64-#REF!)</f>
        <v>#REF!</v>
      </c>
      <c r="AE64" s="45" t="e">
        <f>IF($B64-#REF!&lt;0,0,$B64-#REF!)</f>
        <v>#REF!</v>
      </c>
      <c r="AF64" s="45" t="e">
        <f>IF($B64-#REF!&lt;0,0,$B64-#REF!)</f>
        <v>#REF!</v>
      </c>
      <c r="AG64" s="45" t="e">
        <f>IF($B64-#REF!&lt;0,0,$B64-#REF!)</f>
        <v>#REF!</v>
      </c>
      <c r="AH64" s="55">
        <v>14</v>
      </c>
      <c r="AI64" s="48" t="e">
        <f t="shared" si="2"/>
        <v>#REF!</v>
      </c>
      <c r="AJ64" s="49" t="e">
        <f t="shared" si="3"/>
        <v>#REF!</v>
      </c>
      <c r="AL64" s="50"/>
    </row>
    <row r="65" spans="1:46" x14ac:dyDescent="0.25">
      <c r="A65" s="54" t="s">
        <v>63</v>
      </c>
      <c r="B65" s="211">
        <v>9</v>
      </c>
      <c r="C65" s="45" t="e">
        <f>IF($B65-#REF!&lt;0,0,$B65-#REF!)</f>
        <v>#REF!</v>
      </c>
      <c r="D65" s="45" t="e">
        <f>IF($B65-#REF!&lt;0,0,$B65-#REF!)</f>
        <v>#REF!</v>
      </c>
      <c r="E65" s="45" t="e">
        <f>IF($B65-#REF!&lt;0,0,$B65-#REF!)</f>
        <v>#REF!</v>
      </c>
      <c r="F65" s="45" t="e">
        <f>IF($B65-#REF!&lt;0,0,$B65-#REF!)</f>
        <v>#REF!</v>
      </c>
      <c r="G65" s="45" t="e">
        <f>IF($B65-#REF!&lt;0,0,$B65-#REF!)</f>
        <v>#REF!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v>0</v>
      </c>
      <c r="O65" s="45">
        <v>0</v>
      </c>
      <c r="P65" s="45">
        <v>0</v>
      </c>
      <c r="Q65" s="45">
        <v>0</v>
      </c>
      <c r="R65" s="45">
        <v>0</v>
      </c>
      <c r="S65" s="45">
        <v>0</v>
      </c>
      <c r="T65" s="45">
        <v>0</v>
      </c>
      <c r="U65" s="45">
        <v>0</v>
      </c>
      <c r="V65" s="45">
        <v>0</v>
      </c>
      <c r="W65" s="45">
        <v>0</v>
      </c>
      <c r="X65" s="45">
        <v>0</v>
      </c>
      <c r="Y65" s="45">
        <v>0</v>
      </c>
      <c r="Z65" s="45">
        <v>0</v>
      </c>
      <c r="AA65" s="45">
        <v>0</v>
      </c>
      <c r="AB65" s="45">
        <v>0</v>
      </c>
      <c r="AC65" s="45">
        <v>0</v>
      </c>
      <c r="AD65" s="45">
        <v>0</v>
      </c>
      <c r="AE65" s="45">
        <v>0</v>
      </c>
      <c r="AF65" s="45">
        <v>0</v>
      </c>
      <c r="AG65" s="45">
        <v>0</v>
      </c>
      <c r="AH65" s="55">
        <v>10.050000000000001</v>
      </c>
      <c r="AI65" s="48" t="e">
        <f t="shared" si="2"/>
        <v>#REF!</v>
      </c>
      <c r="AJ65" s="49" t="e">
        <f t="shared" si="3"/>
        <v>#REF!</v>
      </c>
      <c r="AL65" s="50"/>
    </row>
    <row r="66" spans="1:46" x14ac:dyDescent="0.25">
      <c r="A66" s="54" t="s">
        <v>64</v>
      </c>
      <c r="B66" s="211">
        <v>6.2</v>
      </c>
      <c r="C66" s="45" t="e">
        <f>IF($B66-#REF!&lt;0,0,$B66-#REF!)</f>
        <v>#REF!</v>
      </c>
      <c r="D66" s="45" t="e">
        <f>IF($B66-#REF!&lt;0,0,$B66-#REF!)</f>
        <v>#REF!</v>
      </c>
      <c r="E66" s="45" t="e">
        <f>IF($B66-#REF!&lt;0,0,$B66-#REF!)</f>
        <v>#REF!</v>
      </c>
      <c r="F66" s="45" t="e">
        <f>IF($B66-#REF!&lt;0,0,$B66-#REF!)</f>
        <v>#REF!</v>
      </c>
      <c r="G66" s="45" t="e">
        <f>IF($B66-#REF!&lt;0,0,$B66-#REF!)</f>
        <v>#REF!</v>
      </c>
      <c r="H66" s="45" t="e">
        <f>IF($B66-#REF!&lt;0,0,$B66-#REF!)</f>
        <v>#REF!</v>
      </c>
      <c r="I66" s="45" t="e">
        <f>IF($B66-#REF!&lt;0,0,$B66-#REF!)</f>
        <v>#REF!</v>
      </c>
      <c r="J66" s="45" t="e">
        <f>IF($B66-#REF!&lt;0,0,$B66-#REF!)</f>
        <v>#REF!</v>
      </c>
      <c r="K66" s="45" t="e">
        <f>IF($B66-#REF!&lt;0,0,$B66-#REF!)</f>
        <v>#REF!</v>
      </c>
      <c r="L66" s="45" t="e">
        <f>IF($B66-#REF!&lt;0,0,$B66-#REF!)</f>
        <v>#REF!</v>
      </c>
      <c r="M66" s="45" t="e">
        <f>IF($B66-#REF!&lt;0,0,$B66-#REF!)</f>
        <v>#REF!</v>
      </c>
      <c r="N66" s="45" t="e">
        <f>IF($B66-#REF!&lt;0,0,$B66-#REF!)</f>
        <v>#REF!</v>
      </c>
      <c r="O66" s="45" t="e">
        <f>IF($B66-#REF!&lt;0,0,$B66-#REF!)</f>
        <v>#REF!</v>
      </c>
      <c r="P66" s="45" t="e">
        <f>IF($B66-#REF!&lt;0,0,$B66-#REF!)</f>
        <v>#REF!</v>
      </c>
      <c r="Q66" s="45" t="e">
        <f>IF($B66-#REF!&lt;0,0,$B66-#REF!)</f>
        <v>#REF!</v>
      </c>
      <c r="R66" s="45" t="e">
        <f>IF($B66-#REF!&lt;0,0,$B66-#REF!)</f>
        <v>#REF!</v>
      </c>
      <c r="S66" s="45" t="e">
        <f>IF($B66-#REF!&lt;0,0,$B66-#REF!)</f>
        <v>#REF!</v>
      </c>
      <c r="T66" s="45" t="e">
        <f>IF($B66-#REF!&lt;0,0,$B66-#REF!)</f>
        <v>#REF!</v>
      </c>
      <c r="U66" s="45" t="e">
        <f>IF($B66-#REF!&lt;0,0,$B66-#REF!)</f>
        <v>#REF!</v>
      </c>
      <c r="V66" s="45" t="e">
        <f>IF($B66-#REF!&lt;0,0,$B66-#REF!)</f>
        <v>#REF!</v>
      </c>
      <c r="W66" s="45" t="e">
        <f>IF($B66-#REF!&lt;0,0,$B66-#REF!)</f>
        <v>#REF!</v>
      </c>
      <c r="X66" s="45" t="e">
        <f>IF($B66-#REF!&lt;0,0,$B66-#REF!)</f>
        <v>#REF!</v>
      </c>
      <c r="Y66" s="45" t="e">
        <f>IF($B66-#REF!&lt;0,0,$B66-#REF!)</f>
        <v>#REF!</v>
      </c>
      <c r="Z66" s="45" t="e">
        <f>IF($B66-#REF!&lt;0,0,$B66-#REF!)</f>
        <v>#REF!</v>
      </c>
      <c r="AA66" s="45" t="e">
        <f>IF($B66-#REF!&lt;0,0,$B66-#REF!)</f>
        <v>#REF!</v>
      </c>
      <c r="AB66" s="45" t="e">
        <f>IF($B66-#REF!&lt;0,0,$B66-#REF!)</f>
        <v>#REF!</v>
      </c>
      <c r="AC66" s="45" t="e">
        <f>IF($B66-#REF!&lt;0,0,$B66-#REF!)</f>
        <v>#REF!</v>
      </c>
      <c r="AD66" s="45" t="e">
        <f>IF($B66-#REF!&lt;0,0,$B66-#REF!)</f>
        <v>#REF!</v>
      </c>
      <c r="AE66" s="45" t="e">
        <f>IF($B66-#REF!&lt;0,0,$B66-#REF!)</f>
        <v>#REF!</v>
      </c>
      <c r="AF66" s="45" t="e">
        <f>IF($B66-#REF!&lt;0,0,$B66-#REF!)</f>
        <v>#REF!</v>
      </c>
      <c r="AG66" s="45" t="e">
        <f>IF($B66-#REF!&lt;0,0,$B66-#REF!)</f>
        <v>#REF!</v>
      </c>
      <c r="AH66" s="55">
        <v>6.2</v>
      </c>
      <c r="AI66" s="48" t="e">
        <f t="shared" si="2"/>
        <v>#REF!</v>
      </c>
      <c r="AJ66" s="49" t="e">
        <f t="shared" si="3"/>
        <v>#REF!</v>
      </c>
      <c r="AL66" s="50"/>
    </row>
    <row r="67" spans="1:46" ht="15.75" thickBot="1" x14ac:dyDescent="0.3">
      <c r="A67" s="56" t="s">
        <v>65</v>
      </c>
      <c r="B67" s="216"/>
      <c r="C67" s="216"/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>
        <v>9.5399999999999991</v>
      </c>
      <c r="O67" s="216">
        <v>10.54</v>
      </c>
      <c r="P67" s="216">
        <v>11.54</v>
      </c>
      <c r="Q67" s="216">
        <v>12.54</v>
      </c>
      <c r="R67" s="216">
        <v>13.54</v>
      </c>
      <c r="S67" s="216">
        <v>14.54</v>
      </c>
      <c r="T67" s="216">
        <v>15.54</v>
      </c>
      <c r="U67" s="216">
        <v>16.54</v>
      </c>
      <c r="V67" s="216">
        <v>17.54</v>
      </c>
      <c r="W67" s="216">
        <v>18.54</v>
      </c>
      <c r="X67" s="216">
        <v>19.54</v>
      </c>
      <c r="Y67" s="216">
        <v>20.54</v>
      </c>
      <c r="Z67" s="216">
        <v>21.54</v>
      </c>
      <c r="AA67" s="216">
        <v>22.54</v>
      </c>
      <c r="AB67" s="216">
        <v>3.54</v>
      </c>
      <c r="AC67" s="216">
        <v>3.54</v>
      </c>
      <c r="AD67" s="216">
        <v>3.54</v>
      </c>
      <c r="AE67" s="216">
        <v>3.54</v>
      </c>
      <c r="AF67" s="216">
        <v>3.54</v>
      </c>
      <c r="AG67" s="216">
        <v>3.54</v>
      </c>
      <c r="AH67" s="73">
        <f>AH235</f>
        <v>8.56</v>
      </c>
      <c r="AI67" s="48">
        <f t="shared" si="2"/>
        <v>22.54</v>
      </c>
      <c r="AJ67" s="49">
        <f t="shared" si="3"/>
        <v>3.54</v>
      </c>
      <c r="AL67" s="50"/>
    </row>
    <row r="68" spans="1:46" ht="19.5" thickBot="1" x14ac:dyDescent="0.3">
      <c r="A68" s="74" t="s">
        <v>66</v>
      </c>
      <c r="B68" s="217">
        <f t="shared" ref="B68:R68" si="8">SUM(B54:B66)</f>
        <v>712.7</v>
      </c>
      <c r="C68" s="217" t="e">
        <f t="shared" si="8"/>
        <v>#REF!</v>
      </c>
      <c r="D68" s="217" t="e">
        <f t="shared" si="8"/>
        <v>#REF!</v>
      </c>
      <c r="E68" s="217" t="e">
        <f t="shared" si="8"/>
        <v>#REF!</v>
      </c>
      <c r="F68" s="217" t="e">
        <f t="shared" si="8"/>
        <v>#REF!</v>
      </c>
      <c r="G68" s="217" t="e">
        <f t="shared" si="8"/>
        <v>#REF!</v>
      </c>
      <c r="H68" s="217" t="e">
        <f t="shared" si="8"/>
        <v>#REF!</v>
      </c>
      <c r="I68" s="217" t="e">
        <f t="shared" si="8"/>
        <v>#REF!</v>
      </c>
      <c r="J68" s="217" t="e">
        <f t="shared" si="8"/>
        <v>#REF!</v>
      </c>
      <c r="K68" s="217" t="e">
        <f t="shared" si="8"/>
        <v>#REF!</v>
      </c>
      <c r="L68" s="217" t="e">
        <f t="shared" si="8"/>
        <v>#REF!</v>
      </c>
      <c r="M68" s="217" t="e">
        <f t="shared" si="8"/>
        <v>#REF!</v>
      </c>
      <c r="N68" s="217" t="e">
        <f t="shared" si="8"/>
        <v>#REF!</v>
      </c>
      <c r="O68" s="217" t="e">
        <f t="shared" si="8"/>
        <v>#REF!</v>
      </c>
      <c r="P68" s="217" t="e">
        <f t="shared" si="8"/>
        <v>#REF!</v>
      </c>
      <c r="Q68" s="217" t="e">
        <f t="shared" si="8"/>
        <v>#REF!</v>
      </c>
      <c r="R68" s="217" t="e">
        <f t="shared" si="8"/>
        <v>#REF!</v>
      </c>
      <c r="S68" s="217" t="e">
        <f>SUM(S54:S66)</f>
        <v>#REF!</v>
      </c>
      <c r="T68" s="217" t="e">
        <f t="shared" ref="T68:AG68" si="9">SUM(T55:T67)</f>
        <v>#REF!</v>
      </c>
      <c r="U68" s="217" t="e">
        <f t="shared" si="9"/>
        <v>#REF!</v>
      </c>
      <c r="V68" s="217" t="e">
        <f t="shared" si="9"/>
        <v>#REF!</v>
      </c>
      <c r="W68" s="217" t="e">
        <f t="shared" si="9"/>
        <v>#REF!</v>
      </c>
      <c r="X68" s="217" t="e">
        <f t="shared" si="9"/>
        <v>#REF!</v>
      </c>
      <c r="Y68" s="217" t="e">
        <f t="shared" si="9"/>
        <v>#REF!</v>
      </c>
      <c r="Z68" s="217" t="e">
        <f t="shared" si="9"/>
        <v>#REF!</v>
      </c>
      <c r="AA68" s="217" t="e">
        <f t="shared" si="9"/>
        <v>#REF!</v>
      </c>
      <c r="AB68" s="217" t="e">
        <f t="shared" si="9"/>
        <v>#REF!</v>
      </c>
      <c r="AC68" s="217" t="e">
        <f t="shared" si="9"/>
        <v>#REF!</v>
      </c>
      <c r="AD68" s="217" t="e">
        <f t="shared" si="9"/>
        <v>#REF!</v>
      </c>
      <c r="AE68" s="217" t="e">
        <f t="shared" si="9"/>
        <v>#REF!</v>
      </c>
      <c r="AF68" s="217" t="e">
        <f t="shared" si="9"/>
        <v>#REF!</v>
      </c>
      <c r="AG68" s="217" t="e">
        <f t="shared" si="9"/>
        <v>#REF!</v>
      </c>
      <c r="AH68" s="218" t="e">
        <f>SUM(C68:AG68)</f>
        <v>#REF!</v>
      </c>
      <c r="AI68" s="48" t="e">
        <f t="shared" si="2"/>
        <v>#REF!</v>
      </c>
      <c r="AJ68" s="49" t="e">
        <f t="shared" si="3"/>
        <v>#REF!</v>
      </c>
      <c r="AL68" s="50"/>
    </row>
    <row r="69" spans="1:46" x14ac:dyDescent="0.25">
      <c r="A69" s="44" t="s">
        <v>67</v>
      </c>
      <c r="B69" s="45"/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45">
        <v>0</v>
      </c>
      <c r="AH69" s="52">
        <v>60</v>
      </c>
      <c r="AI69" s="48">
        <f t="shared" si="2"/>
        <v>0</v>
      </c>
      <c r="AJ69" s="49">
        <f t="shared" si="3"/>
        <v>0</v>
      </c>
      <c r="AL69" s="50"/>
    </row>
    <row r="70" spans="1:46" x14ac:dyDescent="0.25">
      <c r="A70" s="54" t="s">
        <v>68</v>
      </c>
      <c r="B70" s="45"/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v>0</v>
      </c>
      <c r="Q70" s="45">
        <v>0</v>
      </c>
      <c r="R70" s="45">
        <v>0</v>
      </c>
      <c r="S70" s="45">
        <v>0</v>
      </c>
      <c r="T70" s="45">
        <v>0</v>
      </c>
      <c r="U70" s="45">
        <v>0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0</v>
      </c>
      <c r="AB70" s="45">
        <v>0</v>
      </c>
      <c r="AC70" s="45">
        <v>0</v>
      </c>
      <c r="AD70" s="45">
        <v>0</v>
      </c>
      <c r="AE70" s="45">
        <v>0</v>
      </c>
      <c r="AF70" s="45">
        <v>0</v>
      </c>
      <c r="AG70" s="45">
        <v>0</v>
      </c>
      <c r="AH70" s="55">
        <v>32</v>
      </c>
      <c r="AI70" s="48">
        <f t="shared" si="2"/>
        <v>0</v>
      </c>
      <c r="AJ70" s="49">
        <f t="shared" si="3"/>
        <v>0</v>
      </c>
      <c r="AL70" s="50"/>
      <c r="AT70" s="48"/>
    </row>
    <row r="71" spans="1:46" ht="15.75" thickBot="1" x14ac:dyDescent="0.3">
      <c r="A71" s="71" t="s">
        <v>69</v>
      </c>
      <c r="B71" s="45"/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0</v>
      </c>
      <c r="AE71" s="45">
        <v>0</v>
      </c>
      <c r="AF71" s="45">
        <v>0</v>
      </c>
      <c r="AG71" s="45">
        <v>0</v>
      </c>
      <c r="AH71" s="68">
        <v>14</v>
      </c>
      <c r="AI71" s="48">
        <f t="shared" si="2"/>
        <v>0</v>
      </c>
      <c r="AJ71" s="49">
        <f t="shared" si="3"/>
        <v>0</v>
      </c>
      <c r="AL71" s="50"/>
    </row>
    <row r="72" spans="1:46" ht="15.75" thickBot="1" x14ac:dyDescent="0.3">
      <c r="A72" s="74" t="s">
        <v>70</v>
      </c>
      <c r="B72" s="61">
        <f>B69+B70+B71</f>
        <v>0</v>
      </c>
      <c r="C72" s="45">
        <v>0</v>
      </c>
      <c r="D72" s="45">
        <v>0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v>0</v>
      </c>
      <c r="O72" s="45">
        <v>0</v>
      </c>
      <c r="P72" s="45">
        <v>0</v>
      </c>
      <c r="Q72" s="45">
        <v>0</v>
      </c>
      <c r="R72" s="45">
        <v>0</v>
      </c>
      <c r="S72" s="45">
        <v>0</v>
      </c>
      <c r="T72" s="45">
        <v>0</v>
      </c>
      <c r="U72" s="45">
        <v>0</v>
      </c>
      <c r="V72" s="45">
        <v>0</v>
      </c>
      <c r="W72" s="45">
        <v>0</v>
      </c>
      <c r="X72" s="45">
        <v>0</v>
      </c>
      <c r="Y72" s="45">
        <v>0</v>
      </c>
      <c r="Z72" s="45">
        <v>0</v>
      </c>
      <c r="AA72" s="45">
        <v>0</v>
      </c>
      <c r="AB72" s="45">
        <v>0</v>
      </c>
      <c r="AC72" s="45">
        <v>0</v>
      </c>
      <c r="AD72" s="45">
        <v>0</v>
      </c>
      <c r="AE72" s="45">
        <v>0</v>
      </c>
      <c r="AF72" s="45">
        <v>0</v>
      </c>
      <c r="AG72" s="45">
        <v>0</v>
      </c>
      <c r="AH72" s="62">
        <f>SUM(AH69:AH71)</f>
        <v>106</v>
      </c>
      <c r="AI72" s="48">
        <f t="shared" si="2"/>
        <v>0</v>
      </c>
      <c r="AJ72" s="49">
        <f t="shared" si="3"/>
        <v>0</v>
      </c>
      <c r="AL72" s="50"/>
      <c r="AM72" s="37" t="s">
        <v>228</v>
      </c>
      <c r="AN72" s="37" t="s">
        <v>230</v>
      </c>
      <c r="AO72" s="219" t="s">
        <v>265</v>
      </c>
      <c r="AP72" s="219"/>
    </row>
    <row r="73" spans="1:46" ht="15.75" hidden="1" thickBot="1" x14ac:dyDescent="0.3">
      <c r="A73" s="44" t="s">
        <v>71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52"/>
      <c r="AI73" s="48">
        <f t="shared" si="2"/>
        <v>0</v>
      </c>
      <c r="AJ73" s="49">
        <f t="shared" si="3"/>
        <v>0</v>
      </c>
      <c r="AL73" s="50"/>
    </row>
    <row r="74" spans="1:46" ht="15.75" hidden="1" thickBot="1" x14ac:dyDescent="0.3">
      <c r="A74" s="54" t="s">
        <v>72</v>
      </c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55"/>
      <c r="AI74" s="48">
        <f t="shared" si="2"/>
        <v>0</v>
      </c>
      <c r="AJ74" s="49">
        <f t="shared" si="3"/>
        <v>0</v>
      </c>
      <c r="AL74" s="50"/>
    </row>
    <row r="75" spans="1:46" ht="15.75" hidden="1" thickBot="1" x14ac:dyDescent="0.3">
      <c r="A75" s="54" t="s">
        <v>73</v>
      </c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75"/>
      <c r="AI75" s="48">
        <f t="shared" si="2"/>
        <v>0</v>
      </c>
      <c r="AJ75" s="49">
        <f t="shared" si="3"/>
        <v>0</v>
      </c>
      <c r="AL75" s="50"/>
    </row>
    <row r="76" spans="1:46" ht="15.75" hidden="1" thickBot="1" x14ac:dyDescent="0.3">
      <c r="A76" s="54" t="s">
        <v>74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65"/>
      <c r="AF76" s="76"/>
      <c r="AG76" s="76"/>
      <c r="AH76" s="75"/>
      <c r="AI76" s="48">
        <f t="shared" si="2"/>
        <v>0</v>
      </c>
      <c r="AJ76" s="49">
        <f t="shared" si="3"/>
        <v>0</v>
      </c>
      <c r="AL76" s="50"/>
    </row>
    <row r="77" spans="1:46" ht="15.75" hidden="1" thickBot="1" x14ac:dyDescent="0.3">
      <c r="A77" s="54" t="s">
        <v>75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65"/>
      <c r="M77" s="65"/>
      <c r="N77" s="65"/>
      <c r="O77" s="65"/>
      <c r="P77" s="65"/>
      <c r="Q77" s="65"/>
      <c r="R77" s="65"/>
      <c r="S77" s="6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75"/>
      <c r="AI77" s="48">
        <f t="shared" ref="AI77:AI120" si="10">MAX(C77:AG77)</f>
        <v>0</v>
      </c>
      <c r="AJ77" s="49">
        <f t="shared" ref="AJ77:AJ120" si="11">MIN(C77:AG77)</f>
        <v>0</v>
      </c>
      <c r="AL77" s="50"/>
    </row>
    <row r="78" spans="1:46" ht="15.75" hidden="1" thickBot="1" x14ac:dyDescent="0.3">
      <c r="A78" s="54" t="s">
        <v>76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65"/>
      <c r="M78" s="65"/>
      <c r="N78" s="65"/>
      <c r="O78" s="65"/>
      <c r="P78" s="65"/>
      <c r="Q78" s="65"/>
      <c r="R78" s="65"/>
      <c r="S78" s="65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5"/>
      <c r="AI78" s="48">
        <f t="shared" si="10"/>
        <v>0</v>
      </c>
      <c r="AJ78" s="49">
        <f t="shared" si="11"/>
        <v>0</v>
      </c>
      <c r="AL78" s="50"/>
    </row>
    <row r="79" spans="1:46" ht="15.75" hidden="1" thickBot="1" x14ac:dyDescent="0.3">
      <c r="A79" s="54" t="s">
        <v>77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65"/>
      <c r="M79" s="65"/>
      <c r="N79" s="65"/>
      <c r="O79" s="65"/>
      <c r="P79" s="65"/>
      <c r="Q79" s="65"/>
      <c r="R79" s="65"/>
      <c r="S79" s="65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5"/>
      <c r="AI79" s="48">
        <f t="shared" si="10"/>
        <v>0</v>
      </c>
      <c r="AJ79" s="49">
        <f t="shared" si="11"/>
        <v>0</v>
      </c>
      <c r="AL79" s="50"/>
      <c r="AM79" s="220" t="s">
        <v>266</v>
      </c>
      <c r="AN79" s="220"/>
    </row>
    <row r="80" spans="1:46" ht="15.75" hidden="1" thickBot="1" x14ac:dyDescent="0.3">
      <c r="A80" s="54" t="s">
        <v>78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65"/>
      <c r="M80" s="65"/>
      <c r="N80" s="65"/>
      <c r="O80" s="65"/>
      <c r="P80" s="65"/>
      <c r="Q80" s="65"/>
      <c r="R80" s="65"/>
      <c r="S80" s="65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5"/>
      <c r="AI80" s="48">
        <f t="shared" si="10"/>
        <v>0</v>
      </c>
      <c r="AJ80" s="49">
        <f t="shared" si="11"/>
        <v>0</v>
      </c>
      <c r="AL80" s="221"/>
      <c r="AM80" s="222"/>
      <c r="AN80" s="222"/>
      <c r="AO80" s="223"/>
    </row>
    <row r="81" spans="1:41" ht="15.75" hidden="1" thickBot="1" x14ac:dyDescent="0.3">
      <c r="A81" s="54" t="s">
        <v>79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65"/>
      <c r="M81" s="65"/>
      <c r="N81" s="65"/>
      <c r="O81" s="65"/>
      <c r="P81" s="65"/>
      <c r="Q81" s="65"/>
      <c r="R81" s="65"/>
      <c r="S81" s="65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5"/>
      <c r="AI81" s="48">
        <f t="shared" si="10"/>
        <v>0</v>
      </c>
      <c r="AJ81" s="49">
        <f t="shared" si="11"/>
        <v>0</v>
      </c>
      <c r="AL81" s="224" t="s">
        <v>267</v>
      </c>
      <c r="AM81" s="65"/>
      <c r="AN81" s="76"/>
      <c r="AO81" s="225"/>
    </row>
    <row r="82" spans="1:41" ht="15.75" hidden="1" thickBot="1" x14ac:dyDescent="0.3">
      <c r="A82" s="78" t="s">
        <v>80</v>
      </c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65"/>
      <c r="M82" s="65"/>
      <c r="N82" s="65"/>
      <c r="O82" s="65"/>
      <c r="P82" s="65"/>
      <c r="Q82" s="65"/>
      <c r="R82" s="65"/>
      <c r="S82" s="65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80"/>
      <c r="AI82" s="48">
        <f t="shared" si="10"/>
        <v>0</v>
      </c>
      <c r="AJ82" s="49">
        <f t="shared" si="11"/>
        <v>0</v>
      </c>
      <c r="AL82" s="224" t="s">
        <v>268</v>
      </c>
      <c r="AM82" s="76"/>
      <c r="AN82" s="76"/>
      <c r="AO82" s="225"/>
    </row>
    <row r="83" spans="1:41" ht="15.75" hidden="1" thickBot="1" x14ac:dyDescent="0.3">
      <c r="A83" s="78" t="s">
        <v>81</v>
      </c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65"/>
      <c r="M83" s="65"/>
      <c r="N83" s="65"/>
      <c r="O83" s="65"/>
      <c r="P83" s="65"/>
      <c r="Q83" s="65"/>
      <c r="R83" s="65"/>
      <c r="S83" s="65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80"/>
      <c r="AI83" s="48">
        <f t="shared" si="10"/>
        <v>0</v>
      </c>
      <c r="AJ83" s="49">
        <f t="shared" si="11"/>
        <v>0</v>
      </c>
      <c r="AL83" s="226"/>
      <c r="AM83" s="45"/>
      <c r="AN83" s="45"/>
      <c r="AO83" s="227"/>
    </row>
    <row r="84" spans="1:41" ht="15.75" hidden="1" thickBot="1" x14ac:dyDescent="0.3">
      <c r="A84" s="74" t="s">
        <v>82</v>
      </c>
      <c r="B84" s="61">
        <f t="shared" ref="B84:K84" si="12">SUMIF(B73:B83,"&gt;0")</f>
        <v>0</v>
      </c>
      <c r="C84" s="61">
        <f t="shared" si="12"/>
        <v>0</v>
      </c>
      <c r="D84" s="61">
        <f t="shared" si="12"/>
        <v>0</v>
      </c>
      <c r="E84" s="61">
        <f t="shared" si="12"/>
        <v>0</v>
      </c>
      <c r="F84" s="61">
        <f t="shared" si="12"/>
        <v>0</v>
      </c>
      <c r="G84" s="61">
        <f t="shared" si="12"/>
        <v>0</v>
      </c>
      <c r="H84" s="61">
        <f t="shared" si="12"/>
        <v>0</v>
      </c>
      <c r="I84" s="61">
        <f t="shared" si="12"/>
        <v>0</v>
      </c>
      <c r="J84" s="61">
        <f t="shared" si="12"/>
        <v>0</v>
      </c>
      <c r="K84" s="61">
        <f t="shared" si="12"/>
        <v>0</v>
      </c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81">
        <f>SUM(AH73:AH83)</f>
        <v>0</v>
      </c>
      <c r="AI84" s="48">
        <f t="shared" si="10"/>
        <v>0</v>
      </c>
      <c r="AJ84" s="49">
        <f t="shared" si="11"/>
        <v>0</v>
      </c>
      <c r="AL84" s="226"/>
      <c r="AM84" s="77"/>
      <c r="AN84" s="228"/>
      <c r="AO84" s="229"/>
    </row>
    <row r="85" spans="1:41" ht="15.75" hidden="1" thickBot="1" x14ac:dyDescent="0.3">
      <c r="A85" s="44" t="s">
        <v>83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82">
        <v>39</v>
      </c>
      <c r="AI85" s="48">
        <f t="shared" si="10"/>
        <v>0</v>
      </c>
      <c r="AJ85" s="49">
        <f t="shared" si="11"/>
        <v>0</v>
      </c>
      <c r="AL85" s="226"/>
      <c r="AM85" s="77"/>
      <c r="AN85" s="77"/>
      <c r="AO85" s="230"/>
    </row>
    <row r="86" spans="1:41" ht="15.75" hidden="1" thickBot="1" x14ac:dyDescent="0.3">
      <c r="A86" s="54" t="s">
        <v>84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5">
        <v>14.4</v>
      </c>
      <c r="AI86" s="48">
        <f t="shared" si="10"/>
        <v>0</v>
      </c>
      <c r="AJ86" s="49">
        <f t="shared" si="11"/>
        <v>0</v>
      </c>
      <c r="AL86" s="231"/>
      <c r="AM86" s="96"/>
      <c r="AN86" s="96"/>
      <c r="AO86" s="232"/>
    </row>
    <row r="87" spans="1:41" ht="15.75" hidden="1" thickBot="1" x14ac:dyDescent="0.3">
      <c r="A87" s="78" t="s">
        <v>85</v>
      </c>
      <c r="B87" s="79">
        <v>0</v>
      </c>
      <c r="C87" s="79">
        <v>0</v>
      </c>
      <c r="D87" s="79">
        <v>0</v>
      </c>
      <c r="E87" s="79">
        <v>0</v>
      </c>
      <c r="F87" s="79">
        <v>0</v>
      </c>
      <c r="G87" s="79">
        <v>0</v>
      </c>
      <c r="H87" s="79">
        <v>0</v>
      </c>
      <c r="I87" s="79">
        <v>0</v>
      </c>
      <c r="J87" s="79">
        <v>0</v>
      </c>
      <c r="K87" s="79">
        <v>0</v>
      </c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80">
        <v>2</v>
      </c>
      <c r="AI87" s="48">
        <f t="shared" si="10"/>
        <v>0</v>
      </c>
      <c r="AJ87" s="49">
        <f t="shared" si="11"/>
        <v>0</v>
      </c>
    </row>
    <row r="88" spans="1:41" ht="15.75" hidden="1" thickBot="1" x14ac:dyDescent="0.3">
      <c r="A88" s="74" t="s">
        <v>86</v>
      </c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81">
        <f>SUM(AH85:AH87)</f>
        <v>55.4</v>
      </c>
      <c r="AI88" s="48">
        <f t="shared" si="10"/>
        <v>0</v>
      </c>
      <c r="AJ88" s="49">
        <f t="shared" si="11"/>
        <v>0</v>
      </c>
    </row>
    <row r="89" spans="1:41" ht="15.75" hidden="1" thickBot="1" x14ac:dyDescent="0.3">
      <c r="A89" s="74" t="s">
        <v>87</v>
      </c>
      <c r="B89" s="83">
        <f t="shared" ref="B89:AH89" si="13">B50+B54+B72+B68+B84+B88</f>
        <v>1990.5000000000002</v>
      </c>
      <c r="C89" s="83" t="e">
        <f t="shared" si="13"/>
        <v>#REF!</v>
      </c>
      <c r="D89" s="83" t="e">
        <f t="shared" si="13"/>
        <v>#REF!</v>
      </c>
      <c r="E89" s="83" t="e">
        <f t="shared" si="13"/>
        <v>#REF!</v>
      </c>
      <c r="F89" s="83" t="e">
        <f t="shared" si="13"/>
        <v>#REF!</v>
      </c>
      <c r="G89" s="83" t="e">
        <f t="shared" si="13"/>
        <v>#REF!</v>
      </c>
      <c r="H89" s="83" t="e">
        <f t="shared" si="13"/>
        <v>#REF!</v>
      </c>
      <c r="I89" s="83" t="e">
        <f t="shared" si="13"/>
        <v>#REF!</v>
      </c>
      <c r="J89" s="83" t="e">
        <f t="shared" si="13"/>
        <v>#REF!</v>
      </c>
      <c r="K89" s="83" t="e">
        <f t="shared" si="13"/>
        <v>#REF!</v>
      </c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62" t="e">
        <f t="shared" si="13"/>
        <v>#REF!</v>
      </c>
      <c r="AI89" s="48" t="e">
        <f t="shared" si="10"/>
        <v>#REF!</v>
      </c>
      <c r="AJ89" s="49" t="e">
        <f t="shared" si="11"/>
        <v>#REF!</v>
      </c>
    </row>
    <row r="90" spans="1:41" ht="15.75" hidden="1" thickBot="1" x14ac:dyDescent="0.3">
      <c r="A90" s="84" t="s">
        <v>88</v>
      </c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1"/>
      <c r="AI90" s="48">
        <f t="shared" si="10"/>
        <v>0</v>
      </c>
      <c r="AJ90" s="49">
        <f t="shared" si="11"/>
        <v>0</v>
      </c>
    </row>
    <row r="91" spans="1:41" ht="15.75" hidden="1" thickBot="1" x14ac:dyDescent="0.3">
      <c r="A91" s="74" t="s">
        <v>89</v>
      </c>
      <c r="B91" s="83">
        <f t="shared" ref="B91:K91" si="14">B89+B90</f>
        <v>1990.5000000000002</v>
      </c>
      <c r="C91" s="83" t="e">
        <f t="shared" si="14"/>
        <v>#REF!</v>
      </c>
      <c r="D91" s="83" t="e">
        <f t="shared" si="14"/>
        <v>#REF!</v>
      </c>
      <c r="E91" s="83" t="e">
        <f t="shared" si="14"/>
        <v>#REF!</v>
      </c>
      <c r="F91" s="83" t="e">
        <f t="shared" si="14"/>
        <v>#REF!</v>
      </c>
      <c r="G91" s="83" t="e">
        <f t="shared" si="14"/>
        <v>#REF!</v>
      </c>
      <c r="H91" s="83" t="e">
        <f t="shared" si="14"/>
        <v>#REF!</v>
      </c>
      <c r="I91" s="83" t="e">
        <f t="shared" si="14"/>
        <v>#REF!</v>
      </c>
      <c r="J91" s="83" t="e">
        <f t="shared" si="14"/>
        <v>#REF!</v>
      </c>
      <c r="K91" s="83" t="e">
        <f t="shared" si="14"/>
        <v>#REF!</v>
      </c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1" t="e">
        <f>AH88+AH84+AH72+AH68+AH50+AH90</f>
        <v>#REF!</v>
      </c>
      <c r="AI91" s="48" t="e">
        <f t="shared" si="10"/>
        <v>#REF!</v>
      </c>
      <c r="AJ91" s="49" t="e">
        <f t="shared" si="11"/>
        <v>#REF!</v>
      </c>
    </row>
    <row r="92" spans="1:41" ht="15.75" hidden="1" thickBot="1" x14ac:dyDescent="0.3">
      <c r="A92" s="74" t="s">
        <v>90</v>
      </c>
      <c r="B92" s="83">
        <f>B91-(-B99)</f>
        <v>1990.5000000000002</v>
      </c>
      <c r="C92" s="83" t="e">
        <f>C91-(-C99)</f>
        <v>#REF!</v>
      </c>
      <c r="D92" s="83" t="e">
        <f t="shared" ref="D92:K92" si="15">D91-(-D99)</f>
        <v>#REF!</v>
      </c>
      <c r="E92" s="83" t="e">
        <f t="shared" si="15"/>
        <v>#REF!</v>
      </c>
      <c r="F92" s="83" t="e">
        <f t="shared" si="15"/>
        <v>#REF!</v>
      </c>
      <c r="G92" s="83" t="e">
        <f t="shared" si="15"/>
        <v>#REF!</v>
      </c>
      <c r="H92" s="83" t="e">
        <f t="shared" si="15"/>
        <v>#REF!</v>
      </c>
      <c r="I92" s="83" t="e">
        <f t="shared" si="15"/>
        <v>#REF!</v>
      </c>
      <c r="J92" s="83" t="e">
        <f t="shared" si="15"/>
        <v>#REF!</v>
      </c>
      <c r="K92" s="83" t="e">
        <f t="shared" si="15"/>
        <v>#REF!</v>
      </c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1"/>
      <c r="AI92" s="48" t="e">
        <f t="shared" si="10"/>
        <v>#REF!</v>
      </c>
      <c r="AJ92" s="49" t="e">
        <f t="shared" si="11"/>
        <v>#REF!</v>
      </c>
    </row>
    <row r="93" spans="1:41" ht="15.75" hidden="1" thickBot="1" x14ac:dyDescent="0.3">
      <c r="A93" s="44" t="s">
        <v>74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52"/>
      <c r="AI93" s="48">
        <f t="shared" si="10"/>
        <v>0</v>
      </c>
      <c r="AJ93" s="49">
        <f t="shared" si="11"/>
        <v>0</v>
      </c>
    </row>
    <row r="94" spans="1:41" ht="15.75" hidden="1" thickBot="1" x14ac:dyDescent="0.3">
      <c r="A94" s="54" t="s">
        <v>72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55"/>
      <c r="AI94" s="48">
        <f t="shared" si="10"/>
        <v>0</v>
      </c>
      <c r="AJ94" s="49">
        <f t="shared" si="11"/>
        <v>0</v>
      </c>
    </row>
    <row r="95" spans="1:41" ht="15.75" hidden="1" thickBot="1" x14ac:dyDescent="0.3">
      <c r="A95" s="78" t="s">
        <v>91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86"/>
      <c r="AI95" s="48">
        <f t="shared" si="10"/>
        <v>0</v>
      </c>
      <c r="AJ95" s="49">
        <f t="shared" si="11"/>
        <v>0</v>
      </c>
    </row>
    <row r="96" spans="1:41" ht="15.75" hidden="1" thickBot="1" x14ac:dyDescent="0.3">
      <c r="A96" s="78" t="s">
        <v>92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86"/>
      <c r="AI96" s="48">
        <f t="shared" si="10"/>
        <v>0</v>
      </c>
      <c r="AJ96" s="49">
        <f t="shared" si="11"/>
        <v>0</v>
      </c>
    </row>
    <row r="97" spans="1:38" ht="15.75" hidden="1" thickBot="1" x14ac:dyDescent="0.3">
      <c r="A97" s="78" t="s">
        <v>71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86"/>
      <c r="AI97" s="48">
        <f t="shared" si="10"/>
        <v>0</v>
      </c>
      <c r="AJ97" s="49">
        <f t="shared" si="11"/>
        <v>0</v>
      </c>
    </row>
    <row r="98" spans="1:38" ht="15.75" hidden="1" thickBot="1" x14ac:dyDescent="0.3">
      <c r="A98" s="78" t="s">
        <v>93</v>
      </c>
      <c r="B98" s="79">
        <v>0</v>
      </c>
      <c r="C98" s="79">
        <v>0</v>
      </c>
      <c r="D98" s="79">
        <v>0</v>
      </c>
      <c r="E98" s="79">
        <v>0</v>
      </c>
      <c r="F98" s="79">
        <v>0</v>
      </c>
      <c r="G98" s="79">
        <v>0</v>
      </c>
      <c r="H98" s="79">
        <v>0</v>
      </c>
      <c r="I98" s="79">
        <v>0</v>
      </c>
      <c r="J98" s="79">
        <v>0</v>
      </c>
      <c r="K98" s="79">
        <v>0</v>
      </c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80"/>
      <c r="AI98" s="48">
        <f t="shared" si="10"/>
        <v>0</v>
      </c>
      <c r="AJ98" s="49">
        <f t="shared" si="11"/>
        <v>0</v>
      </c>
    </row>
    <row r="99" spans="1:38" ht="15.75" hidden="1" thickBot="1" x14ac:dyDescent="0.3">
      <c r="A99" s="87" t="s">
        <v>94</v>
      </c>
      <c r="B99" s="61">
        <f>B75</f>
        <v>0</v>
      </c>
      <c r="C99" s="61">
        <f>C75</f>
        <v>0</v>
      </c>
      <c r="D99" s="61">
        <f t="shared" ref="D99:K99" si="16">D75</f>
        <v>0</v>
      </c>
      <c r="E99" s="61">
        <f t="shared" si="16"/>
        <v>0</v>
      </c>
      <c r="F99" s="61">
        <f t="shared" si="16"/>
        <v>0</v>
      </c>
      <c r="G99" s="61">
        <f t="shared" si="16"/>
        <v>0</v>
      </c>
      <c r="H99" s="61">
        <f t="shared" si="16"/>
        <v>0</v>
      </c>
      <c r="I99" s="61">
        <f t="shared" si="16"/>
        <v>0</v>
      </c>
      <c r="J99" s="61">
        <f t="shared" si="16"/>
        <v>0</v>
      </c>
      <c r="K99" s="61">
        <f t="shared" si="16"/>
        <v>0</v>
      </c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81"/>
      <c r="AI99" s="48">
        <f t="shared" si="10"/>
        <v>0</v>
      </c>
      <c r="AJ99" s="49">
        <f t="shared" si="11"/>
        <v>0</v>
      </c>
      <c r="AL99" s="50"/>
    </row>
    <row r="100" spans="1:38" ht="15.75" hidden="1" thickBot="1" x14ac:dyDescent="0.3">
      <c r="A100" s="74" t="s">
        <v>95</v>
      </c>
      <c r="B100" s="61">
        <f t="shared" ref="B100:K100" si="17">B84-B99</f>
        <v>0</v>
      </c>
      <c r="C100" s="61">
        <f t="shared" si="17"/>
        <v>0</v>
      </c>
      <c r="D100" s="61">
        <f t="shared" si="17"/>
        <v>0</v>
      </c>
      <c r="E100" s="61">
        <f t="shared" si="17"/>
        <v>0</v>
      </c>
      <c r="F100" s="61">
        <f t="shared" si="17"/>
        <v>0</v>
      </c>
      <c r="G100" s="61">
        <f t="shared" si="17"/>
        <v>0</v>
      </c>
      <c r="H100" s="61">
        <f t="shared" si="17"/>
        <v>0</v>
      </c>
      <c r="I100" s="61">
        <f t="shared" si="17"/>
        <v>0</v>
      </c>
      <c r="J100" s="61">
        <f t="shared" si="17"/>
        <v>0</v>
      </c>
      <c r="K100" s="61">
        <f t="shared" si="17"/>
        <v>0</v>
      </c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81"/>
      <c r="AI100" s="48">
        <f t="shared" si="10"/>
        <v>0</v>
      </c>
      <c r="AJ100" s="49">
        <f t="shared" si="11"/>
        <v>0</v>
      </c>
    </row>
    <row r="101" spans="1:38" ht="15.75" hidden="1" thickBot="1" x14ac:dyDescent="0.3">
      <c r="A101" s="88" t="s">
        <v>96</v>
      </c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90"/>
      <c r="AI101" s="48">
        <f t="shared" si="10"/>
        <v>0</v>
      </c>
      <c r="AJ101" s="49">
        <f t="shared" si="11"/>
        <v>0</v>
      </c>
    </row>
    <row r="102" spans="1:38" ht="15.75" hidden="1" thickBot="1" x14ac:dyDescent="0.3">
      <c r="A102" s="91" t="s">
        <v>97</v>
      </c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92"/>
      <c r="AI102" s="48">
        <f t="shared" si="10"/>
        <v>0</v>
      </c>
      <c r="AJ102" s="49">
        <f t="shared" si="11"/>
        <v>0</v>
      </c>
    </row>
    <row r="103" spans="1:38" ht="15.75" hidden="1" thickBot="1" x14ac:dyDescent="0.3">
      <c r="A103" s="91" t="s">
        <v>98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92"/>
      <c r="AI103" s="48">
        <f t="shared" si="10"/>
        <v>0</v>
      </c>
      <c r="AJ103" s="49">
        <f t="shared" si="11"/>
        <v>0</v>
      </c>
    </row>
    <row r="104" spans="1:38" ht="15.75" hidden="1" thickBot="1" x14ac:dyDescent="0.3">
      <c r="A104" s="91" t="s">
        <v>99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92"/>
      <c r="AI104" s="48">
        <f t="shared" si="10"/>
        <v>0</v>
      </c>
      <c r="AJ104" s="49">
        <f t="shared" si="11"/>
        <v>0</v>
      </c>
    </row>
    <row r="105" spans="1:38" ht="15.75" hidden="1" thickBot="1" x14ac:dyDescent="0.3">
      <c r="A105" s="93" t="s">
        <v>100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92"/>
      <c r="AI105" s="48">
        <f t="shared" si="10"/>
        <v>0</v>
      </c>
      <c r="AJ105" s="49">
        <f t="shared" si="11"/>
        <v>0</v>
      </c>
    </row>
    <row r="106" spans="1:38" ht="15.75" hidden="1" thickBot="1" x14ac:dyDescent="0.3">
      <c r="A106" s="93" t="s">
        <v>101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5"/>
      <c r="AI106" s="48">
        <f t="shared" si="10"/>
        <v>0</v>
      </c>
      <c r="AJ106" s="49">
        <f t="shared" si="11"/>
        <v>0</v>
      </c>
    </row>
    <row r="107" spans="1:38" ht="15.75" hidden="1" thickBot="1" x14ac:dyDescent="0.3">
      <c r="A107" s="91" t="s">
        <v>102</v>
      </c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92"/>
      <c r="AI107" s="48">
        <f t="shared" si="10"/>
        <v>0</v>
      </c>
      <c r="AJ107" s="49">
        <f t="shared" si="11"/>
        <v>0</v>
      </c>
    </row>
    <row r="108" spans="1:38" ht="15.75" hidden="1" thickBot="1" x14ac:dyDescent="0.3">
      <c r="A108" s="91" t="s">
        <v>103</v>
      </c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7"/>
      <c r="AI108" s="48">
        <f t="shared" si="10"/>
        <v>0</v>
      </c>
      <c r="AJ108" s="49">
        <f t="shared" si="11"/>
        <v>0</v>
      </c>
    </row>
    <row r="109" spans="1:38" ht="15.75" hidden="1" thickBot="1" x14ac:dyDescent="0.3">
      <c r="A109" s="98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7"/>
      <c r="AI109" s="48">
        <f t="shared" si="10"/>
        <v>0</v>
      </c>
      <c r="AJ109" s="49">
        <f t="shared" si="11"/>
        <v>0</v>
      </c>
    </row>
    <row r="110" spans="1:38" ht="15.75" hidden="1" thickBot="1" x14ac:dyDescent="0.3">
      <c r="A110" s="99" t="s">
        <v>104</v>
      </c>
      <c r="B110" s="100">
        <f t="shared" ref="B110:K110" si="18">SUM(B20,B26,B29:B30,B58,B60:B61,B63,B65,B111:B115,B138,B144,B150,B159,B161,B173,B180,B183:B184,B191,B193,B195,B199:B201,B203:B205,B210,B216:B217,B219:B221,B229,B234)</f>
        <v>162</v>
      </c>
      <c r="C110" s="100" t="e">
        <f t="shared" si="18"/>
        <v>#REF!</v>
      </c>
      <c r="D110" s="100" t="e">
        <f t="shared" si="18"/>
        <v>#REF!</v>
      </c>
      <c r="E110" s="100" t="e">
        <f t="shared" si="18"/>
        <v>#REF!</v>
      </c>
      <c r="F110" s="100" t="e">
        <f t="shared" si="18"/>
        <v>#REF!</v>
      </c>
      <c r="G110" s="100" t="e">
        <f t="shared" si="18"/>
        <v>#REF!</v>
      </c>
      <c r="H110" s="100" t="e">
        <f t="shared" si="18"/>
        <v>#REF!</v>
      </c>
      <c r="I110" s="100" t="e">
        <f t="shared" si="18"/>
        <v>#REF!</v>
      </c>
      <c r="J110" s="100" t="e">
        <f t="shared" si="18"/>
        <v>#REF!</v>
      </c>
      <c r="K110" s="100" t="e">
        <f t="shared" si="18"/>
        <v>#REF!</v>
      </c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1"/>
      <c r="AI110" s="48" t="e">
        <f t="shared" si="10"/>
        <v>#REF!</v>
      </c>
      <c r="AJ110" s="49" t="e">
        <f t="shared" si="11"/>
        <v>#REF!</v>
      </c>
    </row>
    <row r="111" spans="1:38" ht="15.75" hidden="1" thickBot="1" x14ac:dyDescent="0.3">
      <c r="A111" s="88" t="s">
        <v>105</v>
      </c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  <c r="AH111" s="103">
        <v>75</v>
      </c>
      <c r="AI111" s="48">
        <f t="shared" si="10"/>
        <v>0</v>
      </c>
      <c r="AJ111" s="49">
        <f t="shared" si="11"/>
        <v>0</v>
      </c>
    </row>
    <row r="112" spans="1:38" ht="15.75" hidden="1" thickBot="1" x14ac:dyDescent="0.3">
      <c r="A112" s="91" t="s">
        <v>106</v>
      </c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  <c r="AH112" s="103">
        <v>240</v>
      </c>
      <c r="AI112" s="48">
        <f t="shared" si="10"/>
        <v>0</v>
      </c>
      <c r="AJ112" s="49">
        <f t="shared" si="11"/>
        <v>0</v>
      </c>
    </row>
    <row r="113" spans="1:38" ht="15.75" hidden="1" thickBot="1" x14ac:dyDescent="0.3">
      <c r="A113" s="91" t="s">
        <v>107</v>
      </c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3">
        <v>240</v>
      </c>
      <c r="AI113" s="48">
        <f t="shared" si="10"/>
        <v>0</v>
      </c>
      <c r="AJ113" s="49">
        <f t="shared" si="11"/>
        <v>0</v>
      </c>
    </row>
    <row r="114" spans="1:38" ht="15.75" hidden="1" thickBot="1" x14ac:dyDescent="0.3">
      <c r="A114" s="91" t="s">
        <v>108</v>
      </c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03">
        <v>60</v>
      </c>
      <c r="AI114" s="48">
        <f t="shared" si="10"/>
        <v>0</v>
      </c>
      <c r="AJ114" s="49">
        <f t="shared" si="11"/>
        <v>0</v>
      </c>
    </row>
    <row r="115" spans="1:38" ht="15.75" hidden="1" thickBot="1" x14ac:dyDescent="0.3">
      <c r="A115" s="105" t="s">
        <v>109</v>
      </c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7">
        <v>120</v>
      </c>
      <c r="AI115" s="48">
        <f t="shared" si="10"/>
        <v>0</v>
      </c>
      <c r="AJ115" s="49">
        <f t="shared" si="11"/>
        <v>0</v>
      </c>
    </row>
    <row r="116" spans="1:38" ht="15.75" hidden="1" thickBot="1" x14ac:dyDescent="0.3">
      <c r="A116" s="105" t="s">
        <v>110</v>
      </c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7"/>
      <c r="AI116" s="48">
        <f t="shared" si="10"/>
        <v>0</v>
      </c>
      <c r="AJ116" s="49">
        <f t="shared" si="11"/>
        <v>0</v>
      </c>
    </row>
    <row r="117" spans="1:38" ht="15.75" hidden="1" thickBot="1" x14ac:dyDescent="0.3">
      <c r="A117" s="105" t="s">
        <v>111</v>
      </c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8"/>
      <c r="AI117" s="48">
        <f t="shared" si="10"/>
        <v>0</v>
      </c>
      <c r="AJ117" s="49">
        <f t="shared" si="11"/>
        <v>0</v>
      </c>
    </row>
    <row r="118" spans="1:38" ht="15.75" hidden="1" thickBot="1" x14ac:dyDescent="0.3">
      <c r="A118" s="109" t="s">
        <v>112</v>
      </c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108"/>
      <c r="AI118" s="48">
        <f t="shared" si="10"/>
        <v>0</v>
      </c>
      <c r="AJ118" s="49">
        <f t="shared" si="11"/>
        <v>0</v>
      </c>
    </row>
    <row r="119" spans="1:38" ht="15.75" hidden="1" thickBot="1" x14ac:dyDescent="0.3">
      <c r="A119" s="233" t="s">
        <v>269</v>
      </c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108"/>
      <c r="AI119" s="48">
        <f t="shared" si="10"/>
        <v>0</v>
      </c>
      <c r="AJ119" s="49">
        <f t="shared" si="11"/>
        <v>0</v>
      </c>
    </row>
    <row r="120" spans="1:38" ht="15.75" hidden="1" thickBot="1" x14ac:dyDescent="0.3">
      <c r="A120" s="109" t="s">
        <v>270</v>
      </c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108"/>
      <c r="AI120" s="48">
        <f t="shared" si="10"/>
        <v>0</v>
      </c>
      <c r="AJ120" s="49">
        <f t="shared" si="11"/>
        <v>0</v>
      </c>
    </row>
    <row r="121" spans="1:38" ht="15.75" hidden="1" thickBot="1" x14ac:dyDescent="0.3">
      <c r="A121" s="110" t="s">
        <v>114</v>
      </c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2"/>
      <c r="AI121" s="48"/>
      <c r="AJ121" s="49"/>
      <c r="AL121" s="50"/>
    </row>
    <row r="122" spans="1:38" ht="15.75" hidden="1" thickBot="1" x14ac:dyDescent="0.3">
      <c r="A122" s="113" t="s">
        <v>115</v>
      </c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4"/>
      <c r="AH122" s="116">
        <v>9.94</v>
      </c>
      <c r="AI122" s="48"/>
      <c r="AJ122" s="49"/>
      <c r="AL122" s="50"/>
    </row>
    <row r="123" spans="1:38" ht="15.75" hidden="1" thickBot="1" x14ac:dyDescent="0.3">
      <c r="A123" s="91" t="s">
        <v>116</v>
      </c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4"/>
      <c r="AH123" s="116"/>
      <c r="AI123" s="48"/>
      <c r="AJ123" s="49"/>
      <c r="AL123" s="50"/>
    </row>
    <row r="124" spans="1:38" ht="15.75" hidden="1" thickBot="1" x14ac:dyDescent="0.3">
      <c r="A124" s="91" t="s">
        <v>117</v>
      </c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4"/>
      <c r="AH124" s="116"/>
      <c r="AI124" s="48"/>
      <c r="AJ124" s="49"/>
      <c r="AL124" s="50"/>
    </row>
    <row r="125" spans="1:38" ht="15.75" hidden="1" thickBot="1" x14ac:dyDescent="0.3">
      <c r="A125" s="91" t="s">
        <v>118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4"/>
      <c r="AH125" s="116"/>
      <c r="AI125" s="48"/>
      <c r="AJ125" s="49"/>
      <c r="AL125" s="50"/>
    </row>
    <row r="126" spans="1:38" ht="15.75" hidden="1" thickBot="1" x14ac:dyDescent="0.3">
      <c r="A126" s="91" t="s">
        <v>119</v>
      </c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4"/>
      <c r="AH126" s="116"/>
      <c r="AI126" s="48"/>
      <c r="AJ126" s="49"/>
      <c r="AL126" s="50"/>
    </row>
    <row r="127" spans="1:38" ht="15.75" hidden="1" thickBot="1" x14ac:dyDescent="0.3">
      <c r="A127" s="91" t="s">
        <v>120</v>
      </c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4"/>
      <c r="AH127" s="116"/>
      <c r="AI127" s="48"/>
      <c r="AJ127" s="49"/>
      <c r="AL127" s="50"/>
    </row>
    <row r="128" spans="1:38" ht="15.75" hidden="1" thickBot="1" x14ac:dyDescent="0.3">
      <c r="A128" s="91" t="s">
        <v>121</v>
      </c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4"/>
      <c r="AH128" s="116"/>
      <c r="AI128" s="48"/>
      <c r="AJ128" s="49"/>
      <c r="AL128" s="50"/>
    </row>
    <row r="129" spans="1:38" ht="15.75" hidden="1" thickBot="1" x14ac:dyDescent="0.3">
      <c r="A129" s="91" t="s">
        <v>122</v>
      </c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4"/>
      <c r="AH129" s="116"/>
      <c r="AI129" s="48"/>
      <c r="AJ129" s="49"/>
      <c r="AL129" s="50"/>
    </row>
    <row r="130" spans="1:38" ht="15.75" hidden="1" thickBot="1" x14ac:dyDescent="0.3">
      <c r="A130" s="91" t="s">
        <v>123</v>
      </c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4"/>
      <c r="AH130" s="116"/>
      <c r="AI130" s="48"/>
      <c r="AJ130" s="49"/>
      <c r="AL130" s="50"/>
    </row>
    <row r="131" spans="1:38" ht="15.75" hidden="1" thickBot="1" x14ac:dyDescent="0.3">
      <c r="A131" s="91" t="s">
        <v>124</v>
      </c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  <c r="AD131" s="114"/>
      <c r="AE131" s="114"/>
      <c r="AF131" s="114"/>
      <c r="AG131" s="114"/>
      <c r="AH131" s="116"/>
      <c r="AI131" s="48"/>
      <c r="AJ131" s="49"/>
      <c r="AL131" s="50"/>
    </row>
    <row r="132" spans="1:38" ht="15.75" hidden="1" thickBot="1" x14ac:dyDescent="0.3">
      <c r="A132" s="91" t="s">
        <v>125</v>
      </c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  <c r="AD132" s="114"/>
      <c r="AE132" s="114"/>
      <c r="AF132" s="114"/>
      <c r="AG132" s="114"/>
      <c r="AH132" s="116"/>
      <c r="AI132" s="48"/>
      <c r="AJ132" s="49"/>
      <c r="AL132" s="50"/>
    </row>
    <row r="133" spans="1:38" ht="15.75" hidden="1" thickBot="1" x14ac:dyDescent="0.3">
      <c r="A133" s="91" t="s">
        <v>126</v>
      </c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14"/>
      <c r="AE133" s="114"/>
      <c r="AF133" s="114"/>
      <c r="AG133" s="114"/>
      <c r="AH133" s="116"/>
      <c r="AI133" s="48"/>
      <c r="AJ133" s="49"/>
      <c r="AL133" s="50"/>
    </row>
    <row r="134" spans="1:38" ht="15.75" hidden="1" thickBot="1" x14ac:dyDescent="0.3">
      <c r="A134" s="91" t="s">
        <v>127</v>
      </c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4"/>
      <c r="AD134" s="114"/>
      <c r="AE134" s="114"/>
      <c r="AF134" s="114"/>
      <c r="AG134" s="114"/>
      <c r="AH134" s="116"/>
      <c r="AI134" s="48"/>
      <c r="AJ134" s="49"/>
      <c r="AL134" s="50"/>
    </row>
    <row r="135" spans="1:38" ht="15.75" hidden="1" thickBot="1" x14ac:dyDescent="0.3">
      <c r="A135" s="91" t="s">
        <v>128</v>
      </c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114"/>
      <c r="AB135" s="114"/>
      <c r="AC135" s="114"/>
      <c r="AD135" s="114"/>
      <c r="AE135" s="114"/>
      <c r="AF135" s="114"/>
      <c r="AG135" s="114"/>
      <c r="AH135" s="116"/>
      <c r="AI135" s="48"/>
      <c r="AJ135" s="49"/>
      <c r="AL135" s="50"/>
    </row>
    <row r="136" spans="1:38" ht="15.75" hidden="1" thickBot="1" x14ac:dyDescent="0.3">
      <c r="A136" s="91" t="s">
        <v>129</v>
      </c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4"/>
      <c r="AD136" s="114"/>
      <c r="AE136" s="114"/>
      <c r="AF136" s="114"/>
      <c r="AG136" s="114"/>
      <c r="AH136" s="116"/>
      <c r="AI136" s="48"/>
      <c r="AJ136" s="49"/>
      <c r="AL136" s="50"/>
    </row>
    <row r="137" spans="1:38" ht="15.75" hidden="1" thickBot="1" x14ac:dyDescent="0.3">
      <c r="A137" s="91" t="s">
        <v>130</v>
      </c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  <c r="AD137" s="114"/>
      <c r="AE137" s="114"/>
      <c r="AF137" s="114"/>
      <c r="AG137" s="114"/>
      <c r="AH137" s="116"/>
      <c r="AI137" s="48"/>
      <c r="AJ137" s="49"/>
      <c r="AL137" s="50"/>
    </row>
    <row r="138" spans="1:38" ht="15.75" hidden="1" thickBot="1" x14ac:dyDescent="0.3">
      <c r="A138" s="91" t="s">
        <v>131</v>
      </c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17"/>
      <c r="AH138" s="119">
        <v>9.9</v>
      </c>
      <c r="AI138" s="48"/>
      <c r="AJ138" s="49"/>
      <c r="AL138" s="50"/>
    </row>
    <row r="139" spans="1:38" ht="15.75" hidden="1" thickBot="1" x14ac:dyDescent="0.3">
      <c r="A139" s="105" t="s">
        <v>132</v>
      </c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17"/>
      <c r="AH139" s="120">
        <v>9.6579999999999995</v>
      </c>
      <c r="AI139" s="48"/>
      <c r="AJ139" s="49"/>
      <c r="AL139" s="50"/>
    </row>
    <row r="140" spans="1:38" ht="15.75" hidden="1" thickBot="1" x14ac:dyDescent="0.3">
      <c r="A140" s="105" t="s">
        <v>133</v>
      </c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17"/>
      <c r="AH140" s="120">
        <v>9.6</v>
      </c>
      <c r="AI140" s="48"/>
      <c r="AJ140" s="49"/>
      <c r="AL140" s="50"/>
    </row>
    <row r="141" spans="1:38" ht="15.75" hidden="1" thickBot="1" x14ac:dyDescent="0.3">
      <c r="A141" s="105" t="s">
        <v>134</v>
      </c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17"/>
      <c r="AH141" s="120">
        <v>9.51</v>
      </c>
      <c r="AI141" s="48"/>
      <c r="AJ141" s="49"/>
      <c r="AL141" s="50"/>
    </row>
    <row r="142" spans="1:38" ht="15.75" hidden="1" thickBot="1" x14ac:dyDescent="0.3">
      <c r="A142" s="105" t="s">
        <v>135</v>
      </c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17"/>
      <c r="AH142" s="120">
        <v>9.4</v>
      </c>
      <c r="AI142" s="48"/>
      <c r="AJ142" s="49"/>
      <c r="AL142" s="50"/>
    </row>
    <row r="143" spans="1:38" ht="15.75" hidden="1" thickBot="1" x14ac:dyDescent="0.3">
      <c r="A143" s="105" t="s">
        <v>136</v>
      </c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17"/>
      <c r="AH143" s="120">
        <v>8.8000000000000007</v>
      </c>
      <c r="AI143" s="48"/>
      <c r="AJ143" s="49"/>
      <c r="AL143" s="50"/>
    </row>
    <row r="144" spans="1:38" ht="15.75" hidden="1" thickBot="1" x14ac:dyDescent="0.3">
      <c r="A144" s="105" t="s">
        <v>137</v>
      </c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17"/>
      <c r="AH144" s="120">
        <v>8.5</v>
      </c>
      <c r="AI144" s="48"/>
      <c r="AJ144" s="49"/>
      <c r="AL144" s="50"/>
    </row>
    <row r="145" spans="1:38" ht="15.75" hidden="1" thickBot="1" x14ac:dyDescent="0.3">
      <c r="A145" s="105" t="s">
        <v>138</v>
      </c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17"/>
      <c r="AH145" s="120">
        <v>8.5</v>
      </c>
      <c r="AI145" s="48"/>
      <c r="AJ145" s="49"/>
      <c r="AL145" s="50"/>
    </row>
    <row r="146" spans="1:38" ht="15.75" hidden="1" thickBot="1" x14ac:dyDescent="0.3">
      <c r="A146" s="105" t="s">
        <v>139</v>
      </c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17"/>
      <c r="AH146" s="120">
        <v>8.4</v>
      </c>
      <c r="AI146" s="48"/>
      <c r="AJ146" s="49"/>
      <c r="AL146" s="50"/>
    </row>
    <row r="147" spans="1:38" ht="13.5" hidden="1" customHeight="1" x14ac:dyDescent="0.25">
      <c r="A147" s="105" t="s">
        <v>140</v>
      </c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20">
        <v>8</v>
      </c>
      <c r="AI147" s="48"/>
      <c r="AJ147" s="49"/>
      <c r="AL147" s="50"/>
    </row>
    <row r="148" spans="1:38" ht="15.75" hidden="1" thickBot="1" x14ac:dyDescent="0.3">
      <c r="A148" s="105" t="s">
        <v>141</v>
      </c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17"/>
      <c r="AH148" s="120">
        <v>8</v>
      </c>
      <c r="AI148" s="48"/>
      <c r="AJ148" s="49"/>
      <c r="AL148" s="50"/>
    </row>
    <row r="149" spans="1:38" ht="15.75" hidden="1" thickBot="1" x14ac:dyDescent="0.3">
      <c r="A149" s="105" t="s">
        <v>142</v>
      </c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17"/>
      <c r="AH149" s="120">
        <v>8</v>
      </c>
      <c r="AI149" s="48"/>
      <c r="AJ149" s="49"/>
      <c r="AL149" s="50"/>
    </row>
    <row r="150" spans="1:38" ht="15.75" hidden="1" thickBot="1" x14ac:dyDescent="0.3">
      <c r="A150" s="105" t="s">
        <v>143</v>
      </c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17"/>
      <c r="AH150" s="120">
        <v>7.8</v>
      </c>
      <c r="AI150" s="48"/>
      <c r="AJ150" s="49"/>
      <c r="AL150" s="50"/>
    </row>
    <row r="151" spans="1:38" ht="15.75" hidden="1" thickBot="1" x14ac:dyDescent="0.3">
      <c r="A151" s="105" t="s">
        <v>144</v>
      </c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17"/>
      <c r="AH151" s="120">
        <v>7.6</v>
      </c>
      <c r="AI151" s="48"/>
      <c r="AJ151" s="49"/>
      <c r="AL151" s="50"/>
    </row>
    <row r="152" spans="1:38" ht="15.75" hidden="1" thickBot="1" x14ac:dyDescent="0.3">
      <c r="A152" s="105" t="s">
        <v>145</v>
      </c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17"/>
      <c r="AH152" s="120">
        <v>7.5</v>
      </c>
      <c r="AI152" s="48"/>
      <c r="AJ152" s="49"/>
      <c r="AL152" s="50"/>
    </row>
    <row r="153" spans="1:38" ht="15.75" hidden="1" thickBot="1" x14ac:dyDescent="0.3">
      <c r="A153" s="105" t="s">
        <v>146</v>
      </c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7"/>
      <c r="AH153" s="120">
        <v>7.5</v>
      </c>
      <c r="AI153" s="48"/>
      <c r="AJ153" s="49"/>
      <c r="AL153" s="50"/>
    </row>
    <row r="154" spans="1:38" ht="15.75" hidden="1" thickBot="1" x14ac:dyDescent="0.3">
      <c r="A154" s="105" t="s">
        <v>147</v>
      </c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17"/>
      <c r="AH154" s="120">
        <v>7</v>
      </c>
      <c r="AI154" s="48"/>
      <c r="AJ154" s="49"/>
      <c r="AL154" s="50"/>
    </row>
    <row r="155" spans="1:38" ht="15.75" hidden="1" thickBot="1" x14ac:dyDescent="0.3">
      <c r="A155" s="105" t="s">
        <v>148</v>
      </c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17"/>
      <c r="AH155" s="120">
        <v>7</v>
      </c>
      <c r="AI155" s="48"/>
      <c r="AJ155" s="49"/>
      <c r="AL155" s="50"/>
    </row>
    <row r="156" spans="1:38" ht="15.75" hidden="1" thickBot="1" x14ac:dyDescent="0.3">
      <c r="A156" s="105" t="s">
        <v>149</v>
      </c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7"/>
      <c r="AH156" s="120">
        <v>7</v>
      </c>
      <c r="AI156" s="48"/>
      <c r="AJ156" s="49"/>
      <c r="AL156" s="50"/>
    </row>
    <row r="157" spans="1:38" ht="15.75" hidden="1" thickBot="1" x14ac:dyDescent="0.3">
      <c r="A157" s="105" t="s">
        <v>150</v>
      </c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7"/>
      <c r="AH157" s="120">
        <v>7</v>
      </c>
      <c r="AI157" s="48"/>
      <c r="AJ157" s="49"/>
      <c r="AL157" s="50"/>
    </row>
    <row r="158" spans="1:38" ht="15.75" hidden="1" thickBot="1" x14ac:dyDescent="0.3">
      <c r="A158" s="105" t="s">
        <v>151</v>
      </c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17"/>
      <c r="AH158" s="120">
        <v>6.6</v>
      </c>
      <c r="AI158" s="48"/>
      <c r="AJ158" s="49"/>
      <c r="AL158" s="50"/>
    </row>
    <row r="159" spans="1:38" ht="15.75" hidden="1" thickBot="1" x14ac:dyDescent="0.3">
      <c r="A159" s="105" t="s">
        <v>152</v>
      </c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17"/>
      <c r="AH159" s="120">
        <v>6.6</v>
      </c>
      <c r="AI159" s="48"/>
      <c r="AJ159" s="49"/>
      <c r="AL159" s="50"/>
    </row>
    <row r="160" spans="1:38" ht="15.75" hidden="1" thickBot="1" x14ac:dyDescent="0.3">
      <c r="A160" s="105" t="s">
        <v>153</v>
      </c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17"/>
      <c r="AH160" s="120">
        <v>6.4</v>
      </c>
      <c r="AI160" s="48"/>
      <c r="AJ160" s="49"/>
      <c r="AL160" s="50"/>
    </row>
    <row r="161" spans="1:38" ht="15.75" hidden="1" thickBot="1" x14ac:dyDescent="0.3">
      <c r="A161" s="105" t="s">
        <v>154</v>
      </c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17"/>
      <c r="AH161" s="120">
        <v>6</v>
      </c>
      <c r="AI161" s="48"/>
      <c r="AJ161" s="49"/>
      <c r="AL161" s="50"/>
    </row>
    <row r="162" spans="1:38" ht="15.75" hidden="1" thickBot="1" x14ac:dyDescent="0.3">
      <c r="A162" s="105" t="s">
        <v>155</v>
      </c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17"/>
      <c r="AH162" s="120">
        <v>5.0999999999999996</v>
      </c>
      <c r="AI162" s="48"/>
      <c r="AJ162" s="49"/>
      <c r="AL162" s="50"/>
    </row>
    <row r="163" spans="1:38" ht="15.75" hidden="1" thickBot="1" x14ac:dyDescent="0.3">
      <c r="A163" s="105" t="s">
        <v>156</v>
      </c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17"/>
      <c r="AH163" s="120">
        <v>5</v>
      </c>
      <c r="AI163" s="48"/>
      <c r="AJ163" s="49"/>
      <c r="AL163" s="50"/>
    </row>
    <row r="164" spans="1:38" ht="15.75" hidden="1" thickBot="1" x14ac:dyDescent="0.3">
      <c r="A164" s="91" t="s">
        <v>157</v>
      </c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17"/>
      <c r="AH164" s="119">
        <v>5</v>
      </c>
      <c r="AI164" s="48"/>
      <c r="AJ164" s="49"/>
      <c r="AL164" s="50"/>
    </row>
    <row r="165" spans="1:38" ht="15.75" hidden="1" thickBot="1" x14ac:dyDescent="0.3">
      <c r="A165" s="105" t="s">
        <v>158</v>
      </c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17"/>
      <c r="AH165" s="120">
        <v>5</v>
      </c>
      <c r="AI165" s="48"/>
      <c r="AJ165" s="49"/>
      <c r="AL165" s="50"/>
    </row>
    <row r="166" spans="1:38" ht="15.75" hidden="1" thickBot="1" x14ac:dyDescent="0.3">
      <c r="A166" s="105" t="s">
        <v>159</v>
      </c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17"/>
      <c r="AH166" s="120">
        <v>5</v>
      </c>
      <c r="AI166" s="48"/>
      <c r="AJ166" s="49"/>
      <c r="AL166" s="50"/>
    </row>
    <row r="167" spans="1:38" ht="15.75" hidden="1" thickBot="1" x14ac:dyDescent="0.3">
      <c r="A167" s="105" t="s">
        <v>160</v>
      </c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17"/>
      <c r="AH167" s="120">
        <v>5</v>
      </c>
      <c r="AI167" s="48"/>
      <c r="AJ167" s="49"/>
      <c r="AL167" s="50"/>
    </row>
    <row r="168" spans="1:38" ht="15.75" hidden="1" thickBot="1" x14ac:dyDescent="0.3">
      <c r="A168" s="105" t="s">
        <v>161</v>
      </c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17"/>
      <c r="AH168" s="120">
        <v>5</v>
      </c>
      <c r="AI168" s="48"/>
      <c r="AJ168" s="49"/>
      <c r="AL168" s="50"/>
    </row>
    <row r="169" spans="1:38" ht="15.75" hidden="1" thickBot="1" x14ac:dyDescent="0.3">
      <c r="A169" s="105" t="s">
        <v>162</v>
      </c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17"/>
      <c r="AH169" s="120">
        <v>5</v>
      </c>
      <c r="AI169" s="48"/>
      <c r="AJ169" s="49"/>
      <c r="AL169" s="50"/>
    </row>
    <row r="170" spans="1:38" ht="15.75" hidden="1" thickBot="1" x14ac:dyDescent="0.3">
      <c r="A170" s="105" t="s">
        <v>163</v>
      </c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17"/>
      <c r="AH170" s="120">
        <v>4.9930000000000003</v>
      </c>
      <c r="AI170" s="48"/>
      <c r="AJ170" s="49"/>
      <c r="AL170" s="50"/>
    </row>
    <row r="171" spans="1:38" ht="15.75" hidden="1" thickBot="1" x14ac:dyDescent="0.3">
      <c r="A171" s="105" t="s">
        <v>164</v>
      </c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17"/>
      <c r="AH171" s="120">
        <v>4.9800000000000004</v>
      </c>
      <c r="AI171" s="48"/>
      <c r="AJ171" s="49"/>
      <c r="AL171" s="50"/>
    </row>
    <row r="172" spans="1:38" ht="15.75" hidden="1" thickBot="1" x14ac:dyDescent="0.3">
      <c r="A172" s="105" t="s">
        <v>165</v>
      </c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17"/>
      <c r="AH172" s="120">
        <v>4.95</v>
      </c>
      <c r="AI172" s="48"/>
      <c r="AJ172" s="49"/>
      <c r="AL172" s="50"/>
    </row>
    <row r="173" spans="1:38" ht="15.75" hidden="1" thickBot="1" x14ac:dyDescent="0.3">
      <c r="A173" s="105" t="s">
        <v>166</v>
      </c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17"/>
      <c r="AH173" s="120">
        <v>4.95</v>
      </c>
      <c r="AI173" s="48"/>
      <c r="AJ173" s="49"/>
      <c r="AL173" s="50"/>
    </row>
    <row r="174" spans="1:38" ht="15.75" hidden="1" thickBot="1" x14ac:dyDescent="0.3">
      <c r="A174" s="105" t="s">
        <v>167</v>
      </c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17"/>
      <c r="AH174" s="120">
        <v>4.8</v>
      </c>
      <c r="AI174" s="48"/>
      <c r="AJ174" s="49"/>
      <c r="AL174" s="50"/>
    </row>
    <row r="175" spans="1:38" ht="15.75" hidden="1" thickBot="1" x14ac:dyDescent="0.3">
      <c r="A175" s="105" t="s">
        <v>168</v>
      </c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17"/>
      <c r="AH175" s="120">
        <v>4.8</v>
      </c>
      <c r="AI175" s="48"/>
      <c r="AJ175" s="49"/>
      <c r="AL175" s="50"/>
    </row>
    <row r="176" spans="1:38" ht="15.75" hidden="1" thickBot="1" x14ac:dyDescent="0.3">
      <c r="A176" s="105" t="s">
        <v>169</v>
      </c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17"/>
      <c r="AH176" s="120">
        <v>4.8</v>
      </c>
      <c r="AI176" s="48"/>
      <c r="AJ176" s="49"/>
      <c r="AL176" s="50"/>
    </row>
    <row r="177" spans="1:38" ht="15.75" hidden="1" thickBot="1" x14ac:dyDescent="0.3">
      <c r="A177" s="105" t="s">
        <v>170</v>
      </c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17"/>
      <c r="AH177" s="120">
        <v>4.5</v>
      </c>
      <c r="AI177" s="48"/>
      <c r="AJ177" s="49"/>
      <c r="AL177" s="50"/>
    </row>
    <row r="178" spans="1:38" ht="15.75" hidden="1" thickBot="1" x14ac:dyDescent="0.3">
      <c r="A178" s="105" t="s">
        <v>171</v>
      </c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17"/>
      <c r="AH178" s="120">
        <v>4.5</v>
      </c>
      <c r="AI178" s="48"/>
      <c r="AJ178" s="49"/>
      <c r="AL178" s="50"/>
    </row>
    <row r="179" spans="1:38" ht="15.75" hidden="1" thickBot="1" x14ac:dyDescent="0.3">
      <c r="A179" s="105" t="s">
        <v>172</v>
      </c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17"/>
      <c r="AH179" s="120">
        <v>4.4550000000000001</v>
      </c>
      <c r="AI179" s="48"/>
      <c r="AJ179" s="49"/>
      <c r="AL179" s="50"/>
    </row>
    <row r="180" spans="1:38" ht="15.75" hidden="1" thickBot="1" x14ac:dyDescent="0.3">
      <c r="A180" s="105" t="s">
        <v>173</v>
      </c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17"/>
      <c r="AH180" s="120">
        <v>4.41</v>
      </c>
      <c r="AI180" s="48"/>
      <c r="AJ180" s="49"/>
      <c r="AL180" s="50"/>
    </row>
    <row r="181" spans="1:38" ht="15.75" hidden="1" thickBot="1" x14ac:dyDescent="0.3">
      <c r="A181" s="105" t="s">
        <v>174</v>
      </c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17"/>
      <c r="AH181" s="120">
        <v>4.4000000000000004</v>
      </c>
      <c r="AI181" s="48"/>
      <c r="AJ181" s="49"/>
      <c r="AL181" s="50"/>
    </row>
    <row r="182" spans="1:38" ht="15.75" hidden="1" thickBot="1" x14ac:dyDescent="0.3">
      <c r="A182" s="105" t="s">
        <v>175</v>
      </c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17"/>
      <c r="AH182" s="120">
        <v>4.3600000000000003</v>
      </c>
      <c r="AI182" s="48"/>
      <c r="AJ182" s="49"/>
      <c r="AL182" s="50"/>
    </row>
    <row r="183" spans="1:38" ht="15.75" hidden="1" thickBot="1" x14ac:dyDescent="0.3">
      <c r="A183" s="105" t="s">
        <v>176</v>
      </c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17"/>
      <c r="AH183" s="120">
        <v>4.2</v>
      </c>
      <c r="AI183" s="48"/>
      <c r="AJ183" s="49"/>
      <c r="AL183" s="50"/>
    </row>
    <row r="184" spans="1:38" ht="15.75" hidden="1" thickBot="1" x14ac:dyDescent="0.3">
      <c r="A184" s="105" t="s">
        <v>177</v>
      </c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17"/>
      <c r="AH184" s="120">
        <v>4</v>
      </c>
      <c r="AI184" s="48"/>
      <c r="AJ184" s="49"/>
      <c r="AL184" s="50"/>
    </row>
    <row r="185" spans="1:38" ht="15.75" hidden="1" thickBot="1" x14ac:dyDescent="0.3">
      <c r="A185" s="105" t="s">
        <v>178</v>
      </c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17"/>
      <c r="AH185" s="120">
        <v>4</v>
      </c>
      <c r="AI185" s="48"/>
      <c r="AJ185" s="49"/>
      <c r="AL185" s="50"/>
    </row>
    <row r="186" spans="1:38" ht="15.75" hidden="1" thickBot="1" x14ac:dyDescent="0.3">
      <c r="A186" s="105" t="s">
        <v>179</v>
      </c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17"/>
      <c r="AH186" s="120">
        <v>4</v>
      </c>
      <c r="AI186" s="48"/>
      <c r="AJ186" s="49"/>
      <c r="AL186" s="50"/>
    </row>
    <row r="187" spans="1:38" ht="15.75" hidden="1" thickBot="1" x14ac:dyDescent="0.3">
      <c r="A187" s="105" t="s">
        <v>180</v>
      </c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17"/>
      <c r="AH187" s="120">
        <v>4</v>
      </c>
      <c r="AI187" s="48"/>
      <c r="AJ187" s="49"/>
      <c r="AL187" s="50"/>
    </row>
    <row r="188" spans="1:38" ht="15.75" hidden="1" thickBot="1" x14ac:dyDescent="0.3">
      <c r="A188" s="105" t="s">
        <v>181</v>
      </c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17"/>
      <c r="AH188" s="120">
        <v>4</v>
      </c>
      <c r="AI188" s="48"/>
      <c r="AJ188" s="49"/>
      <c r="AL188" s="50"/>
    </row>
    <row r="189" spans="1:38" ht="15.75" hidden="1" thickBot="1" x14ac:dyDescent="0.3">
      <c r="A189" s="105" t="s">
        <v>182</v>
      </c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17"/>
      <c r="AH189" s="120">
        <v>4</v>
      </c>
      <c r="AI189" s="48"/>
      <c r="AJ189" s="49"/>
      <c r="AL189" s="50"/>
    </row>
    <row r="190" spans="1:38" ht="15.75" hidden="1" thickBot="1" x14ac:dyDescent="0.3">
      <c r="A190" s="105" t="s">
        <v>183</v>
      </c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17"/>
      <c r="AH190" s="120">
        <v>4</v>
      </c>
      <c r="AI190" s="48"/>
      <c r="AJ190" s="49"/>
      <c r="AL190" s="50"/>
    </row>
    <row r="191" spans="1:38" ht="15.75" hidden="1" thickBot="1" x14ac:dyDescent="0.3">
      <c r="A191" s="105" t="s">
        <v>184</v>
      </c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17"/>
      <c r="AH191" s="120">
        <v>4</v>
      </c>
      <c r="AI191" s="48"/>
      <c r="AJ191" s="49"/>
      <c r="AL191" s="50"/>
    </row>
    <row r="192" spans="1:38" ht="15.75" hidden="1" thickBot="1" x14ac:dyDescent="0.3">
      <c r="A192" s="105" t="s">
        <v>185</v>
      </c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17"/>
      <c r="AH192" s="120">
        <v>3.75</v>
      </c>
      <c r="AI192" s="48"/>
      <c r="AJ192" s="49"/>
      <c r="AL192" s="50"/>
    </row>
    <row r="193" spans="1:38" ht="15.75" hidden="1" thickBot="1" x14ac:dyDescent="0.3">
      <c r="A193" s="105" t="s">
        <v>186</v>
      </c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17"/>
      <c r="AH193" s="120">
        <v>3.52</v>
      </c>
      <c r="AI193" s="48"/>
      <c r="AJ193" s="49"/>
      <c r="AL193" s="50"/>
    </row>
    <row r="194" spans="1:38" ht="15.75" hidden="1" thickBot="1" x14ac:dyDescent="0.3">
      <c r="A194" s="105" t="s">
        <v>187</v>
      </c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17"/>
      <c r="AH194" s="120">
        <v>3.33</v>
      </c>
      <c r="AI194" s="48"/>
      <c r="AJ194" s="49"/>
      <c r="AL194" s="50"/>
    </row>
    <row r="195" spans="1:38" ht="15.75" hidden="1" thickBot="1" x14ac:dyDescent="0.3">
      <c r="A195" s="105" t="s">
        <v>188</v>
      </c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17"/>
      <c r="AH195" s="120">
        <v>3.2</v>
      </c>
      <c r="AI195" s="48"/>
      <c r="AJ195" s="49"/>
      <c r="AL195" s="50"/>
    </row>
    <row r="196" spans="1:38" ht="15.75" hidden="1" thickBot="1" x14ac:dyDescent="0.3">
      <c r="A196" s="105" t="s">
        <v>189</v>
      </c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17"/>
      <c r="AH196" s="120">
        <v>3</v>
      </c>
      <c r="AI196" s="48"/>
      <c r="AJ196" s="49"/>
      <c r="AL196" s="50"/>
    </row>
    <row r="197" spans="1:38" ht="15.75" hidden="1" thickBot="1" x14ac:dyDescent="0.3">
      <c r="A197" s="105" t="s">
        <v>190</v>
      </c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17"/>
      <c r="AH197" s="120">
        <v>3</v>
      </c>
      <c r="AI197" s="48"/>
      <c r="AJ197" s="49"/>
      <c r="AL197" s="50"/>
    </row>
    <row r="198" spans="1:38" ht="15.75" hidden="1" thickBot="1" x14ac:dyDescent="0.3">
      <c r="A198" s="105" t="s">
        <v>191</v>
      </c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17"/>
      <c r="AH198" s="120">
        <v>3</v>
      </c>
      <c r="AI198" s="48"/>
      <c r="AJ198" s="49"/>
      <c r="AL198" s="50"/>
    </row>
    <row r="199" spans="1:38" ht="15.75" hidden="1" thickBot="1" x14ac:dyDescent="0.3">
      <c r="A199" s="105" t="s">
        <v>192</v>
      </c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17"/>
      <c r="AH199" s="120">
        <v>3</v>
      </c>
      <c r="AI199" s="48"/>
      <c r="AJ199" s="49"/>
      <c r="AL199" s="50"/>
    </row>
    <row r="200" spans="1:38" ht="15.75" hidden="1" thickBot="1" x14ac:dyDescent="0.3">
      <c r="A200" s="105" t="s">
        <v>193</v>
      </c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17"/>
      <c r="AH200" s="120">
        <v>3</v>
      </c>
      <c r="AI200" s="48"/>
      <c r="AJ200" s="49"/>
      <c r="AL200" s="50"/>
    </row>
    <row r="201" spans="1:38" ht="15.75" hidden="1" thickBot="1" x14ac:dyDescent="0.3">
      <c r="A201" s="105" t="s">
        <v>194</v>
      </c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17"/>
      <c r="AH201" s="120">
        <v>3</v>
      </c>
      <c r="AI201" s="48"/>
      <c r="AJ201" s="49"/>
      <c r="AL201" s="50"/>
    </row>
    <row r="202" spans="1:38" ht="15.75" hidden="1" thickBot="1" x14ac:dyDescent="0.3">
      <c r="A202" s="105" t="s">
        <v>195</v>
      </c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17"/>
      <c r="AH202" s="120">
        <v>3</v>
      </c>
      <c r="AI202" s="48"/>
      <c r="AJ202" s="49"/>
      <c r="AL202" s="50"/>
    </row>
    <row r="203" spans="1:38" ht="15.75" hidden="1" thickBot="1" x14ac:dyDescent="0.3">
      <c r="A203" s="105" t="s">
        <v>196</v>
      </c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17"/>
      <c r="AH203" s="120">
        <v>3</v>
      </c>
      <c r="AI203" s="48"/>
      <c r="AJ203" s="49"/>
      <c r="AL203" s="50"/>
    </row>
    <row r="204" spans="1:38" ht="15.75" hidden="1" thickBot="1" x14ac:dyDescent="0.3">
      <c r="A204" s="105" t="s">
        <v>197</v>
      </c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17"/>
      <c r="AH204" s="120">
        <v>2.83</v>
      </c>
      <c r="AI204" s="48"/>
      <c r="AJ204" s="49"/>
      <c r="AL204" s="50"/>
    </row>
    <row r="205" spans="1:38" ht="15.75" hidden="1" thickBot="1" x14ac:dyDescent="0.3">
      <c r="A205" s="105" t="s">
        <v>198</v>
      </c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17"/>
      <c r="AH205" s="120">
        <v>2.5</v>
      </c>
      <c r="AI205" s="48"/>
      <c r="AJ205" s="49"/>
      <c r="AL205" s="50"/>
    </row>
    <row r="206" spans="1:38" ht="15.75" hidden="1" thickBot="1" x14ac:dyDescent="0.3">
      <c r="A206" s="105" t="s">
        <v>199</v>
      </c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17"/>
      <c r="AH206" s="120">
        <v>2.5</v>
      </c>
      <c r="AI206" s="48"/>
      <c r="AJ206" s="49"/>
      <c r="AL206" s="50"/>
    </row>
    <row r="207" spans="1:38" ht="15.75" hidden="1" thickBot="1" x14ac:dyDescent="0.3">
      <c r="A207" s="105" t="s">
        <v>200</v>
      </c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17"/>
      <c r="AH207" s="120">
        <v>2.4</v>
      </c>
      <c r="AI207" s="48"/>
      <c r="AJ207" s="49"/>
      <c r="AL207" s="50"/>
    </row>
    <row r="208" spans="1:38" ht="15.75" hidden="1" thickBot="1" x14ac:dyDescent="0.3">
      <c r="A208" s="105" t="s">
        <v>201</v>
      </c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17"/>
      <c r="AH208" s="120">
        <v>2.4</v>
      </c>
      <c r="AI208" s="48"/>
      <c r="AJ208" s="49"/>
      <c r="AL208" s="50"/>
    </row>
    <row r="209" spans="1:38" ht="15.75" hidden="1" thickBot="1" x14ac:dyDescent="0.3">
      <c r="A209" s="105" t="s">
        <v>202</v>
      </c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17"/>
      <c r="AH209" s="120">
        <v>2.2000000000000002</v>
      </c>
      <c r="AI209" s="48"/>
      <c r="AJ209" s="49"/>
      <c r="AL209" s="50"/>
    </row>
    <row r="210" spans="1:38" ht="15.75" hidden="1" thickBot="1" x14ac:dyDescent="0.3">
      <c r="A210" s="105" t="s">
        <v>203</v>
      </c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17"/>
      <c r="AH210" s="120">
        <v>2</v>
      </c>
      <c r="AI210" s="48"/>
      <c r="AJ210" s="49"/>
      <c r="AL210" s="50"/>
    </row>
    <row r="211" spans="1:38" ht="15.75" hidden="1" thickBot="1" x14ac:dyDescent="0.3">
      <c r="A211" s="105" t="s">
        <v>204</v>
      </c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17"/>
      <c r="AH211" s="120">
        <v>2</v>
      </c>
      <c r="AI211" s="48"/>
      <c r="AJ211" s="49"/>
      <c r="AL211" s="50"/>
    </row>
    <row r="212" spans="1:38" ht="15.75" hidden="1" thickBot="1" x14ac:dyDescent="0.3">
      <c r="A212" s="105" t="s">
        <v>205</v>
      </c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17"/>
      <c r="AH212" s="120">
        <v>2</v>
      </c>
      <c r="AI212" s="48"/>
      <c r="AJ212" s="49"/>
      <c r="AL212" s="50"/>
    </row>
    <row r="213" spans="1:38" ht="15.75" hidden="1" thickBot="1" x14ac:dyDescent="0.3">
      <c r="A213" s="105" t="s">
        <v>206</v>
      </c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17"/>
      <c r="AH213" s="120">
        <v>1.8</v>
      </c>
      <c r="AI213" s="48"/>
      <c r="AJ213" s="49"/>
      <c r="AL213" s="50"/>
    </row>
    <row r="214" spans="1:38" ht="15.75" hidden="1" thickBot="1" x14ac:dyDescent="0.3">
      <c r="A214" s="105" t="s">
        <v>207</v>
      </c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17"/>
      <c r="AH214" s="120">
        <v>1.8</v>
      </c>
      <c r="AI214" s="48"/>
      <c r="AJ214" s="49"/>
      <c r="AL214" s="50"/>
    </row>
    <row r="215" spans="1:38" ht="15.75" hidden="1" thickBot="1" x14ac:dyDescent="0.3">
      <c r="A215" s="105" t="s">
        <v>208</v>
      </c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17"/>
      <c r="AH215" s="120">
        <v>1.65</v>
      </c>
      <c r="AI215" s="48"/>
      <c r="AJ215" s="49"/>
      <c r="AL215" s="50"/>
    </row>
    <row r="216" spans="1:38" ht="15.75" hidden="1" thickBot="1" x14ac:dyDescent="0.3">
      <c r="A216" s="105" t="s">
        <v>209</v>
      </c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17"/>
      <c r="AH216" s="120">
        <v>1.5</v>
      </c>
      <c r="AI216" s="48"/>
      <c r="AJ216" s="49"/>
      <c r="AL216" s="50"/>
    </row>
    <row r="217" spans="1:38" ht="15.75" hidden="1" thickBot="1" x14ac:dyDescent="0.3">
      <c r="A217" s="105" t="s">
        <v>210</v>
      </c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17"/>
      <c r="AH217" s="120">
        <v>0.998</v>
      </c>
      <c r="AI217" s="48"/>
      <c r="AJ217" s="49"/>
      <c r="AL217" s="50"/>
    </row>
    <row r="218" spans="1:38" ht="15.75" hidden="1" thickBot="1" x14ac:dyDescent="0.3">
      <c r="A218" s="105" t="s">
        <v>211</v>
      </c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17"/>
      <c r="AH218" s="120">
        <v>0.997</v>
      </c>
      <c r="AI218" s="48"/>
      <c r="AJ218" s="49"/>
      <c r="AL218" s="50"/>
    </row>
    <row r="219" spans="1:38" ht="15.75" hidden="1" thickBot="1" x14ac:dyDescent="0.3">
      <c r="A219" s="105" t="s">
        <v>212</v>
      </c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17"/>
      <c r="AH219" s="120">
        <v>0.997</v>
      </c>
      <c r="AI219" s="48"/>
      <c r="AJ219" s="49"/>
      <c r="AL219" s="50"/>
    </row>
    <row r="220" spans="1:38" ht="15.75" hidden="1" thickBot="1" x14ac:dyDescent="0.3">
      <c r="A220" s="105" t="s">
        <v>213</v>
      </c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17"/>
      <c r="AH220" s="120">
        <v>0.996</v>
      </c>
      <c r="AI220" s="48"/>
      <c r="AJ220" s="49"/>
      <c r="AL220" s="50"/>
    </row>
    <row r="221" spans="1:38" ht="15.75" hidden="1" thickBot="1" x14ac:dyDescent="0.3">
      <c r="A221" s="105" t="s">
        <v>214</v>
      </c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17"/>
      <c r="AH221" s="120">
        <v>0.996</v>
      </c>
      <c r="AI221" s="48"/>
      <c r="AJ221" s="49"/>
      <c r="AL221" s="50"/>
    </row>
    <row r="222" spans="1:38" ht="15.75" hidden="1" thickBot="1" x14ac:dyDescent="0.3">
      <c r="A222" s="105" t="s">
        <v>215</v>
      </c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17"/>
      <c r="AH222" s="120">
        <v>0.996</v>
      </c>
      <c r="AI222" s="48"/>
      <c r="AJ222" s="49"/>
      <c r="AL222" s="50"/>
    </row>
    <row r="223" spans="1:38" ht="15.75" hidden="1" thickBot="1" x14ac:dyDescent="0.3">
      <c r="A223" s="105" t="s">
        <v>216</v>
      </c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17"/>
      <c r="AH223" s="120">
        <v>0.995</v>
      </c>
      <c r="AI223" s="48"/>
      <c r="AJ223" s="49"/>
      <c r="AL223" s="50"/>
    </row>
    <row r="224" spans="1:38" ht="15.75" hidden="1" thickBot="1" x14ac:dyDescent="0.3">
      <c r="A224" s="105" t="s">
        <v>217</v>
      </c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17"/>
      <c r="AH224" s="120">
        <v>0.99299999999999999</v>
      </c>
      <c r="AI224" s="48"/>
      <c r="AJ224" s="49"/>
      <c r="AL224" s="50"/>
    </row>
    <row r="225" spans="1:38" ht="15.75" hidden="1" thickBot="1" x14ac:dyDescent="0.3">
      <c r="A225" s="105" t="s">
        <v>218</v>
      </c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17"/>
      <c r="AH225" s="120">
        <v>0.99</v>
      </c>
      <c r="AI225" s="48"/>
      <c r="AJ225" s="49"/>
      <c r="AL225" s="50"/>
    </row>
    <row r="226" spans="1:38" ht="15.75" hidden="1" thickBot="1" x14ac:dyDescent="0.3">
      <c r="A226" s="105" t="s">
        <v>219</v>
      </c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1"/>
      <c r="AH226" s="120">
        <v>0.97899999999999998</v>
      </c>
      <c r="AI226" s="48"/>
      <c r="AJ226" s="49"/>
      <c r="AL226" s="50"/>
    </row>
    <row r="227" spans="1:38" ht="15.75" hidden="1" thickBot="1" x14ac:dyDescent="0.3">
      <c r="A227" s="123" t="s">
        <v>220</v>
      </c>
      <c r="B227" s="124">
        <f t="shared" ref="B227" si="19">SUM(B122:B226)</f>
        <v>0</v>
      </c>
      <c r="C227" s="124">
        <f t="shared" ref="C227:AH227" si="20">SUM(C122:C226)</f>
        <v>0</v>
      </c>
      <c r="D227" s="124">
        <f t="shared" si="20"/>
        <v>0</v>
      </c>
      <c r="E227" s="124">
        <f t="shared" si="20"/>
        <v>0</v>
      </c>
      <c r="F227" s="124">
        <f t="shared" si="20"/>
        <v>0</v>
      </c>
      <c r="G227" s="124">
        <f t="shared" si="20"/>
        <v>0</v>
      </c>
      <c r="H227" s="124">
        <f t="shared" si="20"/>
        <v>0</v>
      </c>
      <c r="I227" s="124">
        <f t="shared" si="20"/>
        <v>0</v>
      </c>
      <c r="J227" s="124">
        <f t="shared" si="20"/>
        <v>0</v>
      </c>
      <c r="K227" s="124">
        <f t="shared" si="20"/>
        <v>0</v>
      </c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  <c r="AB227" s="125"/>
      <c r="AC227" s="125"/>
      <c r="AD227" s="125"/>
      <c r="AE227" s="125"/>
      <c r="AF227" s="125"/>
      <c r="AG227" s="126"/>
      <c r="AH227" s="127">
        <f t="shared" si="20"/>
        <v>412.72299999999984</v>
      </c>
      <c r="AI227" s="48"/>
      <c r="AJ227" s="49"/>
      <c r="AL227" s="50"/>
    </row>
    <row r="228" spans="1:38" ht="15.75" hidden="1" thickBot="1" x14ac:dyDescent="0.3">
      <c r="A228" s="26" t="s">
        <v>65</v>
      </c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08"/>
      <c r="AI228" s="48"/>
      <c r="AJ228" s="49"/>
      <c r="AL228" s="50"/>
    </row>
    <row r="229" spans="1:38" ht="15.75" hidden="1" thickBot="1" x14ac:dyDescent="0.3">
      <c r="A229" s="88" t="s">
        <v>221</v>
      </c>
      <c r="B229" s="129">
        <f t="shared" ref="B229:K234" si="21">AF229</f>
        <v>0</v>
      </c>
      <c r="C229" s="129">
        <f t="shared" si="21"/>
        <v>0</v>
      </c>
      <c r="D229" s="129">
        <f t="shared" si="21"/>
        <v>2.4</v>
      </c>
      <c r="E229" s="129">
        <f t="shared" si="21"/>
        <v>0</v>
      </c>
      <c r="F229" s="129">
        <f t="shared" si="21"/>
        <v>0</v>
      </c>
      <c r="G229" s="129">
        <f t="shared" si="21"/>
        <v>0</v>
      </c>
      <c r="H229" s="129">
        <f t="shared" si="21"/>
        <v>0</v>
      </c>
      <c r="I229" s="129">
        <f t="shared" si="21"/>
        <v>0</v>
      </c>
      <c r="J229" s="129">
        <f t="shared" si="21"/>
        <v>0</v>
      </c>
      <c r="K229" s="129">
        <f t="shared" si="21"/>
        <v>0</v>
      </c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29"/>
      <c r="AH229" s="130">
        <v>2.4</v>
      </c>
      <c r="AI229" s="48"/>
      <c r="AJ229" s="49"/>
      <c r="AL229" s="50"/>
    </row>
    <row r="230" spans="1:38" ht="15.75" hidden="1" thickBot="1" x14ac:dyDescent="0.3">
      <c r="A230" s="91" t="s">
        <v>222</v>
      </c>
      <c r="B230" s="117">
        <f t="shared" si="21"/>
        <v>0</v>
      </c>
      <c r="C230" s="117">
        <f t="shared" si="21"/>
        <v>0</v>
      </c>
      <c r="D230" s="117">
        <f t="shared" si="21"/>
        <v>2</v>
      </c>
      <c r="E230" s="117">
        <f t="shared" si="21"/>
        <v>0</v>
      </c>
      <c r="F230" s="117">
        <f t="shared" si="21"/>
        <v>0</v>
      </c>
      <c r="G230" s="117">
        <f t="shared" si="21"/>
        <v>0</v>
      </c>
      <c r="H230" s="117">
        <f t="shared" si="21"/>
        <v>0</v>
      </c>
      <c r="I230" s="117">
        <f t="shared" si="21"/>
        <v>0</v>
      </c>
      <c r="J230" s="117">
        <f t="shared" si="21"/>
        <v>0</v>
      </c>
      <c r="K230" s="117">
        <f t="shared" si="21"/>
        <v>0</v>
      </c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117"/>
      <c r="AB230" s="117"/>
      <c r="AC230" s="117"/>
      <c r="AD230" s="117"/>
      <c r="AE230" s="117"/>
      <c r="AF230" s="117"/>
      <c r="AG230" s="117"/>
      <c r="AH230" s="131">
        <v>2</v>
      </c>
      <c r="AI230" s="48"/>
      <c r="AJ230" s="49"/>
      <c r="AL230" s="50"/>
    </row>
    <row r="231" spans="1:38" ht="15.75" hidden="1" thickBot="1" x14ac:dyDescent="0.3">
      <c r="A231" s="91" t="s">
        <v>223</v>
      </c>
      <c r="B231" s="117">
        <f t="shared" si="21"/>
        <v>0</v>
      </c>
      <c r="C231" s="117">
        <f t="shared" si="21"/>
        <v>0</v>
      </c>
      <c r="D231" s="117">
        <f t="shared" si="21"/>
        <v>1.5</v>
      </c>
      <c r="E231" s="117">
        <f t="shared" si="21"/>
        <v>0</v>
      </c>
      <c r="F231" s="117">
        <f t="shared" si="21"/>
        <v>0</v>
      </c>
      <c r="G231" s="117">
        <f t="shared" si="21"/>
        <v>0</v>
      </c>
      <c r="H231" s="117">
        <f t="shared" si="21"/>
        <v>0</v>
      </c>
      <c r="I231" s="117">
        <f t="shared" si="21"/>
        <v>0</v>
      </c>
      <c r="J231" s="117">
        <f t="shared" si="21"/>
        <v>0</v>
      </c>
      <c r="K231" s="117">
        <f t="shared" si="21"/>
        <v>0</v>
      </c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  <c r="AB231" s="117"/>
      <c r="AC231" s="117"/>
      <c r="AD231" s="117"/>
      <c r="AE231" s="117"/>
      <c r="AF231" s="117"/>
      <c r="AG231" s="117"/>
      <c r="AH231" s="131">
        <v>1.5</v>
      </c>
      <c r="AI231" s="48"/>
      <c r="AJ231" s="49"/>
      <c r="AL231" s="50"/>
    </row>
    <row r="232" spans="1:38" ht="15.75" hidden="1" thickBot="1" x14ac:dyDescent="0.3">
      <c r="A232" s="91" t="s">
        <v>224</v>
      </c>
      <c r="B232" s="117">
        <f t="shared" si="21"/>
        <v>0</v>
      </c>
      <c r="C232" s="117">
        <f t="shared" si="21"/>
        <v>0</v>
      </c>
      <c r="D232" s="117">
        <f t="shared" si="21"/>
        <v>1</v>
      </c>
      <c r="E232" s="117">
        <f t="shared" si="21"/>
        <v>0</v>
      </c>
      <c r="F232" s="117">
        <f t="shared" si="21"/>
        <v>0</v>
      </c>
      <c r="G232" s="117">
        <f t="shared" si="21"/>
        <v>0</v>
      </c>
      <c r="H232" s="117">
        <f t="shared" si="21"/>
        <v>0</v>
      </c>
      <c r="I232" s="117">
        <f t="shared" si="21"/>
        <v>0</v>
      </c>
      <c r="J232" s="117">
        <f t="shared" si="21"/>
        <v>0</v>
      </c>
      <c r="K232" s="117">
        <f t="shared" si="21"/>
        <v>0</v>
      </c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  <c r="AB232" s="117"/>
      <c r="AC232" s="117"/>
      <c r="AD232" s="117"/>
      <c r="AE232" s="117"/>
      <c r="AF232" s="117"/>
      <c r="AG232" s="117"/>
      <c r="AH232" s="131">
        <v>1</v>
      </c>
      <c r="AI232" s="48"/>
      <c r="AJ232" s="49"/>
      <c r="AL232" s="50"/>
    </row>
    <row r="233" spans="1:38" ht="15.75" hidden="1" thickBot="1" x14ac:dyDescent="0.3">
      <c r="A233" s="91" t="s">
        <v>225</v>
      </c>
      <c r="B233" s="117">
        <f t="shared" si="21"/>
        <v>0</v>
      </c>
      <c r="C233" s="117">
        <f t="shared" si="21"/>
        <v>0</v>
      </c>
      <c r="D233" s="117">
        <f t="shared" si="21"/>
        <v>1</v>
      </c>
      <c r="E233" s="117">
        <f t="shared" si="21"/>
        <v>0</v>
      </c>
      <c r="F233" s="117">
        <f t="shared" si="21"/>
        <v>0</v>
      </c>
      <c r="G233" s="117">
        <f t="shared" si="21"/>
        <v>0</v>
      </c>
      <c r="H233" s="117">
        <f t="shared" si="21"/>
        <v>0</v>
      </c>
      <c r="I233" s="117">
        <f t="shared" si="21"/>
        <v>0</v>
      </c>
      <c r="J233" s="117">
        <f t="shared" si="21"/>
        <v>0</v>
      </c>
      <c r="K233" s="117">
        <f t="shared" si="21"/>
        <v>0</v>
      </c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  <c r="AB233" s="117"/>
      <c r="AC233" s="117"/>
      <c r="AD233" s="117"/>
      <c r="AE233" s="117"/>
      <c r="AF233" s="117"/>
      <c r="AG233" s="117"/>
      <c r="AH233" s="131">
        <v>1</v>
      </c>
      <c r="AI233" s="48"/>
      <c r="AJ233" s="49"/>
      <c r="AL233" s="50"/>
    </row>
    <row r="234" spans="1:38" ht="15.75" hidden="1" thickBot="1" x14ac:dyDescent="0.3">
      <c r="A234" s="105" t="s">
        <v>226</v>
      </c>
      <c r="B234" s="121">
        <f t="shared" si="21"/>
        <v>0</v>
      </c>
      <c r="C234" s="121">
        <f t="shared" si="21"/>
        <v>0</v>
      </c>
      <c r="D234" s="121">
        <f t="shared" si="21"/>
        <v>0.66</v>
      </c>
      <c r="E234" s="121">
        <f t="shared" si="21"/>
        <v>0</v>
      </c>
      <c r="F234" s="121">
        <f t="shared" si="21"/>
        <v>0</v>
      </c>
      <c r="G234" s="121">
        <f t="shared" si="21"/>
        <v>0</v>
      </c>
      <c r="H234" s="121">
        <f t="shared" si="21"/>
        <v>0</v>
      </c>
      <c r="I234" s="121">
        <f t="shared" si="21"/>
        <v>0</v>
      </c>
      <c r="J234" s="121">
        <f t="shared" si="21"/>
        <v>0</v>
      </c>
      <c r="K234" s="121">
        <f t="shared" si="21"/>
        <v>0</v>
      </c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32">
        <v>0.66</v>
      </c>
      <c r="AI234" s="48"/>
      <c r="AJ234" s="49"/>
    </row>
    <row r="235" spans="1:38" ht="15.75" hidden="1" thickBot="1" x14ac:dyDescent="0.3">
      <c r="A235" s="133" t="s">
        <v>65</v>
      </c>
      <c r="B235" s="125">
        <f t="shared" ref="B235:AH235" si="22">SUM(B229:B234)</f>
        <v>0</v>
      </c>
      <c r="C235" s="125">
        <f t="shared" si="22"/>
        <v>0</v>
      </c>
      <c r="D235" s="125">
        <f t="shared" si="22"/>
        <v>8.56</v>
      </c>
      <c r="E235" s="125">
        <f t="shared" si="22"/>
        <v>0</v>
      </c>
      <c r="F235" s="125">
        <f t="shared" si="22"/>
        <v>0</v>
      </c>
      <c r="G235" s="125">
        <f t="shared" si="22"/>
        <v>0</v>
      </c>
      <c r="H235" s="125">
        <f t="shared" si="22"/>
        <v>0</v>
      </c>
      <c r="I235" s="125">
        <f t="shared" si="22"/>
        <v>0</v>
      </c>
      <c r="J235" s="125">
        <f t="shared" si="22"/>
        <v>0</v>
      </c>
      <c r="K235" s="125">
        <f t="shared" si="22"/>
        <v>0</v>
      </c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5"/>
      <c r="AD235" s="125"/>
      <c r="AE235" s="125"/>
      <c r="AF235" s="125"/>
      <c r="AG235" s="125"/>
      <c r="AH235" s="134">
        <f t="shared" si="22"/>
        <v>8.56</v>
      </c>
      <c r="AI235" s="48"/>
      <c r="AJ235" s="49"/>
    </row>
    <row r="236" spans="1:38" ht="15.75" hidden="1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128"/>
      <c r="AI236" s="43"/>
    </row>
    <row r="237" spans="1:38" ht="15.75" hidden="1" thickBot="1" x14ac:dyDescent="0.3">
      <c r="A237" s="135" t="s">
        <v>227</v>
      </c>
      <c r="B237" s="136"/>
      <c r="C237" s="136"/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  <c r="AA237" s="136"/>
      <c r="AB237" s="136"/>
      <c r="AC237" s="136"/>
      <c r="AD237" s="136"/>
      <c r="AE237" s="136"/>
      <c r="AF237" s="136"/>
      <c r="AG237" s="137"/>
      <c r="AH237" s="43"/>
      <c r="AI237" s="48"/>
      <c r="AJ237" s="49"/>
    </row>
    <row r="238" spans="1:38" ht="15.75" hidden="1" thickBot="1" x14ac:dyDescent="0.3">
      <c r="A238" s="138" t="s">
        <v>228</v>
      </c>
      <c r="B238" s="139"/>
      <c r="C238" s="139"/>
      <c r="D238" s="139"/>
      <c r="E238" s="139"/>
      <c r="F238" s="139"/>
      <c r="G238" s="139"/>
      <c r="H238" s="139"/>
      <c r="I238" s="139"/>
      <c r="J238" s="139"/>
      <c r="K238" s="139"/>
      <c r="L238" s="139"/>
      <c r="M238" s="139"/>
      <c r="N238" s="139"/>
      <c r="O238" s="139"/>
      <c r="P238" s="139"/>
      <c r="Q238" s="139"/>
      <c r="R238" s="139"/>
      <c r="S238" s="139"/>
      <c r="T238" s="139"/>
      <c r="U238" s="139"/>
      <c r="V238" s="139"/>
      <c r="W238" s="139"/>
      <c r="X238" s="139"/>
      <c r="Y238" s="139"/>
      <c r="Z238" s="139"/>
      <c r="AA238" s="139"/>
      <c r="AB238" s="139"/>
      <c r="AC238" s="139"/>
      <c r="AD238" s="139"/>
      <c r="AE238" s="139"/>
      <c r="AF238" s="139"/>
      <c r="AG238" s="140"/>
      <c r="AH238" s="141"/>
      <c r="AI238" s="48"/>
      <c r="AJ238" s="49"/>
    </row>
    <row r="239" spans="1:38" ht="15.75" hidden="1" thickBot="1" x14ac:dyDescent="0.3">
      <c r="A239" s="142" t="s">
        <v>229</v>
      </c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  <c r="AE239" s="143"/>
      <c r="AF239" s="143"/>
      <c r="AG239" s="144"/>
      <c r="AH239" s="141"/>
      <c r="AI239" s="48"/>
      <c r="AJ239" s="49"/>
    </row>
    <row r="240" spans="1:38" ht="15.75" hidden="1" thickBot="1" x14ac:dyDescent="0.3">
      <c r="A240" s="142" t="s">
        <v>230</v>
      </c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4"/>
      <c r="AH240" s="141"/>
      <c r="AI240" s="48"/>
      <c r="AJ240" s="49"/>
    </row>
    <row r="241" spans="1:51" ht="15.75" hidden="1" thickBot="1" x14ac:dyDescent="0.3">
      <c r="A241" s="145" t="s">
        <v>231</v>
      </c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46"/>
      <c r="AC241" s="146"/>
      <c r="AD241" s="146"/>
      <c r="AE241" s="146"/>
      <c r="AF241" s="146"/>
      <c r="AG241" s="147"/>
      <c r="AH241" s="141"/>
      <c r="AI241" s="48"/>
      <c r="AJ241" s="49"/>
    </row>
    <row r="242" spans="1:51" ht="19.5" thickBot="1" x14ac:dyDescent="0.35">
      <c r="A242" s="234" t="s">
        <v>271</v>
      </c>
      <c r="B242" s="237"/>
      <c r="C242" s="210" t="e">
        <f>C50+C68</f>
        <v>#REF!</v>
      </c>
      <c r="D242" s="210" t="e">
        <f t="shared" ref="D242:AG242" si="23">D50+D68</f>
        <v>#REF!</v>
      </c>
      <c r="E242" s="210" t="e">
        <f t="shared" si="23"/>
        <v>#REF!</v>
      </c>
      <c r="F242" s="210" t="e">
        <f t="shared" si="23"/>
        <v>#REF!</v>
      </c>
      <c r="G242" s="210" t="e">
        <f t="shared" si="23"/>
        <v>#REF!</v>
      </c>
      <c r="H242" s="210" t="e">
        <f t="shared" si="23"/>
        <v>#REF!</v>
      </c>
      <c r="I242" s="210" t="e">
        <f t="shared" si="23"/>
        <v>#REF!</v>
      </c>
      <c r="J242" s="210" t="e">
        <f t="shared" si="23"/>
        <v>#REF!</v>
      </c>
      <c r="K242" s="210" t="e">
        <f t="shared" si="23"/>
        <v>#REF!</v>
      </c>
      <c r="L242" s="210" t="e">
        <f t="shared" si="23"/>
        <v>#REF!</v>
      </c>
      <c r="M242" s="210" t="e">
        <f t="shared" si="23"/>
        <v>#REF!</v>
      </c>
      <c r="N242" s="210" t="e">
        <f t="shared" si="23"/>
        <v>#REF!</v>
      </c>
      <c r="O242" s="210" t="e">
        <f t="shared" si="23"/>
        <v>#REF!</v>
      </c>
      <c r="P242" s="210" t="e">
        <f t="shared" si="23"/>
        <v>#REF!</v>
      </c>
      <c r="Q242" s="210" t="e">
        <f t="shared" si="23"/>
        <v>#REF!</v>
      </c>
      <c r="R242" s="210" t="e">
        <f t="shared" si="23"/>
        <v>#REF!</v>
      </c>
      <c r="S242" s="210" t="e">
        <f t="shared" si="23"/>
        <v>#REF!</v>
      </c>
      <c r="T242" s="210" t="e">
        <f t="shared" si="23"/>
        <v>#REF!</v>
      </c>
      <c r="U242" s="210" t="e">
        <f t="shared" si="23"/>
        <v>#REF!</v>
      </c>
      <c r="V242" s="210" t="e">
        <f t="shared" si="23"/>
        <v>#REF!</v>
      </c>
      <c r="W242" s="210" t="e">
        <f t="shared" si="23"/>
        <v>#REF!</v>
      </c>
      <c r="X242" s="210" t="e">
        <f t="shared" si="23"/>
        <v>#REF!</v>
      </c>
      <c r="Y242" s="210" t="e">
        <f t="shared" si="23"/>
        <v>#REF!</v>
      </c>
      <c r="Z242" s="210" t="e">
        <f t="shared" si="23"/>
        <v>#REF!</v>
      </c>
      <c r="AA242" s="210" t="e">
        <f t="shared" si="23"/>
        <v>#REF!</v>
      </c>
      <c r="AB242" s="210" t="e">
        <f t="shared" si="23"/>
        <v>#REF!</v>
      </c>
      <c r="AC242" s="210" t="e">
        <f t="shared" si="23"/>
        <v>#REF!</v>
      </c>
      <c r="AD242" s="210" t="e">
        <f t="shared" si="23"/>
        <v>#REF!</v>
      </c>
      <c r="AE242" s="210" t="e">
        <f t="shared" si="23"/>
        <v>#REF!</v>
      </c>
      <c r="AF242" s="210" t="e">
        <f t="shared" si="23"/>
        <v>#REF!</v>
      </c>
      <c r="AG242" s="210" t="e">
        <f t="shared" si="23"/>
        <v>#REF!</v>
      </c>
      <c r="AH242" s="210" t="e">
        <f>SUM(C242:AG242)</f>
        <v>#REF!</v>
      </c>
      <c r="AI242" s="43"/>
      <c r="AL242" s="48" t="e">
        <f>AH242</f>
        <v>#REF!</v>
      </c>
      <c r="AM242" s="48">
        <f>AK55</f>
        <v>855</v>
      </c>
      <c r="AN242" s="48">
        <f>AK57</f>
        <v>480</v>
      </c>
      <c r="AO242" s="48" t="e">
        <f>AL242+AM242+AN242</f>
        <v>#REF!</v>
      </c>
    </row>
    <row r="243" spans="1:51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 t="s">
        <v>272</v>
      </c>
      <c r="AH243" s="49" t="e">
        <f>AH242/24</f>
        <v>#REF!</v>
      </c>
      <c r="AI243" s="43"/>
    </row>
    <row r="244" spans="1:51" x14ac:dyDescent="0.25">
      <c r="A244" s="148" t="s">
        <v>232</v>
      </c>
      <c r="B244" s="149" t="e">
        <f>MAX(G91:N91)</f>
        <v>#REF!</v>
      </c>
      <c r="C244" s="149" t="e">
        <f>MAX(H91:O91)</f>
        <v>#REF!</v>
      </c>
      <c r="D244" s="150" t="e">
        <f>INDEX(H9:O9,1,MATCH(MAX(H91:O91),H91:O91,0))</f>
        <v>#REF!</v>
      </c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 t="s">
        <v>273</v>
      </c>
      <c r="AH244" s="55" t="e">
        <f>AH242*4.67*1.6*1000</f>
        <v>#REF!</v>
      </c>
      <c r="AI244" s="55"/>
    </row>
    <row r="245" spans="1:51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151" t="str">
        <f ca="1">MID(CELL("filename",D7),FIND("]",CELL("filename",D7))+1,600)</f>
        <v>SP28</v>
      </c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</row>
    <row r="246" spans="1:51" x14ac:dyDescent="0.25">
      <c r="A246" s="175" t="s">
        <v>233</v>
      </c>
      <c r="B246" s="175"/>
      <c r="C246" s="175"/>
      <c r="D246" s="43"/>
      <c r="E246" s="151" t="e">
        <f ca="1">"Pie Chart of Daily Peak Demand(Inclusive of Export) of Nepal ("&amp;A4&amp;" "&amp;C4&amp;")"</f>
        <v>#VALUE!</v>
      </c>
      <c r="F246" s="43"/>
      <c r="G246" s="43"/>
      <c r="H246" s="151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151" t="e">
        <f ca="1">"Daily Load Curve(Excluding of Export) of Nepal ("&amp;A4&amp;" "&amp;C4&amp;")"</f>
        <v>#VALUE!</v>
      </c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</row>
    <row r="247" spans="1:51" ht="12.75" customHeight="1" thickBot="1" x14ac:dyDescent="0.3">
      <c r="A247" s="152" t="s">
        <v>7</v>
      </c>
      <c r="B247" s="153"/>
      <c r="C247" s="153"/>
      <c r="D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</row>
    <row r="248" spans="1:51" ht="15.75" thickTop="1" x14ac:dyDescent="0.25">
      <c r="A248" s="152" t="s">
        <v>234</v>
      </c>
      <c r="B248" s="153"/>
      <c r="C248" s="15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154" t="s">
        <v>235</v>
      </c>
      <c r="U248" s="155">
        <v>0</v>
      </c>
      <c r="V248" s="156">
        <v>4.1666666666666664E-2</v>
      </c>
      <c r="W248" s="157">
        <v>8.3333333333333301E-2</v>
      </c>
      <c r="X248" s="157">
        <v>0.125</v>
      </c>
      <c r="Y248" s="157">
        <v>0.16666666666666699</v>
      </c>
      <c r="Z248" s="157">
        <v>0.20833333333333301</v>
      </c>
      <c r="AA248" s="157">
        <v>0.22916666666666666</v>
      </c>
      <c r="AB248" s="157">
        <v>0.25</v>
      </c>
      <c r="AC248" s="157">
        <v>0.27083333333333331</v>
      </c>
      <c r="AD248" s="157">
        <v>0.29166666666666669</v>
      </c>
      <c r="AE248" s="157">
        <v>0.3125</v>
      </c>
      <c r="AF248" s="158">
        <v>0.33333333333333331</v>
      </c>
      <c r="AG248" s="158">
        <v>0.375</v>
      </c>
      <c r="AH248" s="158">
        <v>0.41666666666666702</v>
      </c>
      <c r="AI248" s="158">
        <v>0.45833333333333298</v>
      </c>
      <c r="AJ248" s="158">
        <v>0.5</v>
      </c>
      <c r="AK248" s="158">
        <v>0.54166666666666696</v>
      </c>
      <c r="AL248" s="158">
        <v>0.58333333333333304</v>
      </c>
      <c r="AM248" s="158">
        <v>0.625</v>
      </c>
      <c r="AN248" s="158">
        <v>0.66666666666666696</v>
      </c>
      <c r="AO248" s="158">
        <v>0.70833333333333304</v>
      </c>
      <c r="AP248" s="158">
        <v>0.72916666666666663</v>
      </c>
      <c r="AQ248" s="158">
        <v>0.75</v>
      </c>
      <c r="AR248" s="158">
        <v>0.77083333333333337</v>
      </c>
      <c r="AS248" s="158">
        <v>0.79166666666666663</v>
      </c>
      <c r="AT248" s="158">
        <v>0.8125</v>
      </c>
      <c r="AU248" s="157">
        <v>0.83333333333333337</v>
      </c>
      <c r="AV248" s="157">
        <v>0.85416666666666663</v>
      </c>
      <c r="AW248" s="157">
        <v>0.875</v>
      </c>
      <c r="AX248" s="157">
        <v>0.91666666666666696</v>
      </c>
      <c r="AY248" s="157">
        <v>0.95833333333333304</v>
      </c>
    </row>
    <row r="249" spans="1:51" x14ac:dyDescent="0.25">
      <c r="A249" s="152" t="s">
        <v>236</v>
      </c>
      <c r="B249" s="153"/>
      <c r="C249" s="15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 t="s">
        <v>237</v>
      </c>
      <c r="U249" s="159" t="e">
        <f t="shared" ref="U249:AY249" si="24">C91</f>
        <v>#REF!</v>
      </c>
      <c r="V249" s="159" t="e">
        <f t="shared" si="24"/>
        <v>#REF!</v>
      </c>
      <c r="W249" s="159" t="e">
        <f t="shared" si="24"/>
        <v>#REF!</v>
      </c>
      <c r="X249" s="159" t="e">
        <f t="shared" si="24"/>
        <v>#REF!</v>
      </c>
      <c r="Y249" s="159" t="e">
        <f t="shared" si="24"/>
        <v>#REF!</v>
      </c>
      <c r="Z249" s="159" t="e">
        <f t="shared" si="24"/>
        <v>#REF!</v>
      </c>
      <c r="AA249" s="159" t="e">
        <f t="shared" si="24"/>
        <v>#REF!</v>
      </c>
      <c r="AB249" s="159" t="e">
        <f t="shared" si="24"/>
        <v>#REF!</v>
      </c>
      <c r="AC249" s="159" t="e">
        <f t="shared" si="24"/>
        <v>#REF!</v>
      </c>
      <c r="AD249" s="159">
        <f t="shared" si="24"/>
        <v>0</v>
      </c>
      <c r="AE249" s="159">
        <f t="shared" si="24"/>
        <v>0</v>
      </c>
      <c r="AF249" s="159">
        <f t="shared" si="24"/>
        <v>0</v>
      </c>
      <c r="AG249" s="159">
        <f t="shared" si="24"/>
        <v>0</v>
      </c>
      <c r="AH249" s="159">
        <f t="shared" si="24"/>
        <v>0</v>
      </c>
      <c r="AI249" s="159">
        <f t="shared" si="24"/>
        <v>0</v>
      </c>
      <c r="AJ249" s="159">
        <f t="shared" si="24"/>
        <v>0</v>
      </c>
      <c r="AK249" s="159">
        <f t="shared" si="24"/>
        <v>0</v>
      </c>
      <c r="AL249" s="159">
        <f t="shared" si="24"/>
        <v>0</v>
      </c>
      <c r="AM249" s="159">
        <f t="shared" si="24"/>
        <v>0</v>
      </c>
      <c r="AN249" s="159">
        <f t="shared" si="24"/>
        <v>0</v>
      </c>
      <c r="AO249" s="159">
        <f t="shared" si="24"/>
        <v>0</v>
      </c>
      <c r="AP249" s="159">
        <f t="shared" si="24"/>
        <v>0</v>
      </c>
      <c r="AQ249" s="159">
        <f t="shared" si="24"/>
        <v>0</v>
      </c>
      <c r="AR249" s="159">
        <f t="shared" si="24"/>
        <v>0</v>
      </c>
      <c r="AS249" s="159">
        <f t="shared" si="24"/>
        <v>0</v>
      </c>
      <c r="AT249" s="159">
        <f t="shared" si="24"/>
        <v>0</v>
      </c>
      <c r="AU249" s="159">
        <f t="shared" si="24"/>
        <v>0</v>
      </c>
      <c r="AV249" s="159">
        <f t="shared" si="24"/>
        <v>0</v>
      </c>
      <c r="AW249" s="159">
        <f t="shared" si="24"/>
        <v>0</v>
      </c>
      <c r="AX249" s="159">
        <f t="shared" si="24"/>
        <v>0</v>
      </c>
      <c r="AY249" s="159">
        <f t="shared" si="24"/>
        <v>0</v>
      </c>
    </row>
    <row r="250" spans="1:51" x14ac:dyDescent="0.25">
      <c r="A250" s="152" t="s">
        <v>238</v>
      </c>
      <c r="B250" s="153"/>
      <c r="C250" s="15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</row>
    <row r="251" spans="1:51" x14ac:dyDescent="0.25">
      <c r="A251" s="152" t="s">
        <v>239</v>
      </c>
      <c r="B251" s="153"/>
      <c r="C251" s="15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</row>
    <row r="252" spans="1:51" x14ac:dyDescent="0.25">
      <c r="A252" s="152" t="s">
        <v>240</v>
      </c>
      <c r="B252" s="153"/>
      <c r="C252" s="15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</row>
    <row r="253" spans="1:51" x14ac:dyDescent="0.25">
      <c r="A253" s="152" t="s">
        <v>241</v>
      </c>
      <c r="B253" s="160"/>
      <c r="C253" s="160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</row>
    <row r="254" spans="1:51" x14ac:dyDescent="0.25">
      <c r="A254" s="152" t="s">
        <v>242</v>
      </c>
      <c r="B254" s="153"/>
      <c r="C254" s="15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</row>
    <row r="255" spans="1:51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</row>
    <row r="256" spans="1:51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</row>
    <row r="257" spans="1:35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</row>
    <row r="258" spans="1:35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</row>
    <row r="259" spans="1:35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</row>
    <row r="260" spans="1:35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</row>
    <row r="261" spans="1:35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</row>
    <row r="262" spans="1:35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</row>
    <row r="263" spans="1:35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</row>
    <row r="264" spans="1:35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</row>
    <row r="265" spans="1:35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</row>
    <row r="266" spans="1:35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</row>
    <row r="267" spans="1:35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</row>
    <row r="268" spans="1:35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</row>
    <row r="269" spans="1:35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</row>
    <row r="270" spans="1:35" x14ac:dyDescent="0.25">
      <c r="A270" s="161" t="s">
        <v>227</v>
      </c>
      <c r="B270" s="162">
        <f t="shared" ref="B270:AF270" si="25">C234</f>
        <v>0</v>
      </c>
      <c r="C270" s="162">
        <f t="shared" si="25"/>
        <v>0.66</v>
      </c>
      <c r="D270" s="162">
        <f t="shared" si="25"/>
        <v>0</v>
      </c>
      <c r="E270" s="162">
        <f t="shared" si="25"/>
        <v>0</v>
      </c>
      <c r="F270" s="162">
        <f t="shared" si="25"/>
        <v>0</v>
      </c>
      <c r="G270" s="162">
        <f t="shared" si="25"/>
        <v>0</v>
      </c>
      <c r="H270" s="162">
        <f t="shared" si="25"/>
        <v>0</v>
      </c>
      <c r="I270" s="162">
        <f t="shared" si="25"/>
        <v>0</v>
      </c>
      <c r="J270" s="162">
        <f t="shared" si="25"/>
        <v>0</v>
      </c>
      <c r="K270" s="162">
        <f t="shared" si="25"/>
        <v>0</v>
      </c>
      <c r="L270" s="162">
        <f t="shared" si="25"/>
        <v>0</v>
      </c>
      <c r="M270" s="162">
        <f t="shared" si="25"/>
        <v>0</v>
      </c>
      <c r="N270" s="162">
        <f t="shared" si="25"/>
        <v>0</v>
      </c>
      <c r="O270" s="162">
        <f t="shared" si="25"/>
        <v>0</v>
      </c>
      <c r="P270" s="162">
        <f t="shared" si="25"/>
        <v>0</v>
      </c>
      <c r="Q270" s="162">
        <f t="shared" si="25"/>
        <v>0</v>
      </c>
      <c r="R270" s="162">
        <f t="shared" si="25"/>
        <v>0</v>
      </c>
      <c r="S270" s="162">
        <f t="shared" si="25"/>
        <v>0</v>
      </c>
      <c r="T270" s="162">
        <f t="shared" si="25"/>
        <v>0</v>
      </c>
      <c r="U270" s="162">
        <f t="shared" si="25"/>
        <v>0</v>
      </c>
      <c r="V270" s="162">
        <f t="shared" si="25"/>
        <v>0</v>
      </c>
      <c r="W270" s="162">
        <f t="shared" si="25"/>
        <v>0</v>
      </c>
      <c r="X270" s="162">
        <f t="shared" si="25"/>
        <v>0</v>
      </c>
      <c r="Y270" s="162">
        <f t="shared" si="25"/>
        <v>0</v>
      </c>
      <c r="Z270" s="162">
        <f t="shared" si="25"/>
        <v>0</v>
      </c>
      <c r="AA270" s="162">
        <f t="shared" si="25"/>
        <v>0</v>
      </c>
      <c r="AB270" s="162">
        <f t="shared" si="25"/>
        <v>0</v>
      </c>
      <c r="AC270" s="162">
        <f t="shared" si="25"/>
        <v>0</v>
      </c>
      <c r="AD270" s="162">
        <f t="shared" si="25"/>
        <v>0</v>
      </c>
      <c r="AE270" s="162">
        <f t="shared" si="25"/>
        <v>0</v>
      </c>
      <c r="AF270" s="162">
        <f t="shared" si="25"/>
        <v>0</v>
      </c>
      <c r="AG270" s="162">
        <f>C234</f>
        <v>0</v>
      </c>
      <c r="AH270" s="43"/>
      <c r="AI270" s="43"/>
    </row>
    <row r="271" spans="1:35" x14ac:dyDescent="0.25">
      <c r="A271" s="163" t="str">
        <f>A238</f>
        <v>KGA</v>
      </c>
      <c r="B271" s="163" t="str">
        <f t="shared" ref="B271:AG271" si="26">IF(B238&lt;100,"",B238-520)</f>
        <v/>
      </c>
      <c r="C271" s="163" t="str">
        <f t="shared" si="26"/>
        <v/>
      </c>
      <c r="D271" s="163" t="str">
        <f t="shared" si="26"/>
        <v/>
      </c>
      <c r="E271" s="163" t="str">
        <f t="shared" si="26"/>
        <v/>
      </c>
      <c r="F271" s="163" t="str">
        <f t="shared" si="26"/>
        <v/>
      </c>
      <c r="G271" s="163" t="str">
        <f t="shared" si="26"/>
        <v/>
      </c>
      <c r="H271" s="163" t="str">
        <f t="shared" si="26"/>
        <v/>
      </c>
      <c r="I271" s="163" t="str">
        <f t="shared" si="26"/>
        <v/>
      </c>
      <c r="J271" s="163" t="str">
        <f t="shared" si="26"/>
        <v/>
      </c>
      <c r="K271" s="163" t="str">
        <f t="shared" si="26"/>
        <v/>
      </c>
      <c r="L271" s="163" t="str">
        <f t="shared" si="26"/>
        <v/>
      </c>
      <c r="M271" s="163" t="str">
        <f t="shared" si="26"/>
        <v/>
      </c>
      <c r="N271" s="163" t="str">
        <f t="shared" si="26"/>
        <v/>
      </c>
      <c r="O271" s="163" t="str">
        <f t="shared" si="26"/>
        <v/>
      </c>
      <c r="P271" s="163" t="str">
        <f t="shared" si="26"/>
        <v/>
      </c>
      <c r="Q271" s="163" t="str">
        <f t="shared" si="26"/>
        <v/>
      </c>
      <c r="R271" s="163" t="str">
        <f t="shared" si="26"/>
        <v/>
      </c>
      <c r="S271" s="163" t="str">
        <f t="shared" si="26"/>
        <v/>
      </c>
      <c r="T271" s="163" t="str">
        <f t="shared" si="26"/>
        <v/>
      </c>
      <c r="U271" s="163" t="str">
        <f t="shared" si="26"/>
        <v/>
      </c>
      <c r="V271" s="163" t="str">
        <f t="shared" si="26"/>
        <v/>
      </c>
      <c r="W271" s="163" t="str">
        <f t="shared" si="26"/>
        <v/>
      </c>
      <c r="X271" s="163" t="str">
        <f t="shared" si="26"/>
        <v/>
      </c>
      <c r="Y271" s="163" t="str">
        <f t="shared" si="26"/>
        <v/>
      </c>
      <c r="Z271" s="163" t="str">
        <f t="shared" si="26"/>
        <v/>
      </c>
      <c r="AA271" s="163" t="str">
        <f t="shared" si="26"/>
        <v/>
      </c>
      <c r="AB271" s="163" t="str">
        <f t="shared" si="26"/>
        <v/>
      </c>
      <c r="AC271" s="163" t="str">
        <f t="shared" si="26"/>
        <v/>
      </c>
      <c r="AD271" s="163" t="str">
        <f t="shared" si="26"/>
        <v/>
      </c>
      <c r="AE271" s="163" t="str">
        <f t="shared" si="26"/>
        <v/>
      </c>
      <c r="AF271" s="163" t="str">
        <f t="shared" si="26"/>
        <v/>
      </c>
      <c r="AG271" s="163" t="str">
        <f t="shared" si="26"/>
        <v/>
      </c>
      <c r="AH271" s="43"/>
      <c r="AI271" s="43"/>
    </row>
    <row r="272" spans="1:35" x14ac:dyDescent="0.25">
      <c r="A272" s="163" t="str">
        <f>A239</f>
        <v>MMRS</v>
      </c>
      <c r="B272" s="163" t="str">
        <f t="shared" ref="B272:AG272" si="27">IF(B239&lt;100,"",B239-620)</f>
        <v/>
      </c>
      <c r="C272" s="163" t="str">
        <f t="shared" si="27"/>
        <v/>
      </c>
      <c r="D272" s="163" t="str">
        <f t="shared" si="27"/>
        <v/>
      </c>
      <c r="E272" s="163" t="str">
        <f t="shared" si="27"/>
        <v/>
      </c>
      <c r="F272" s="163" t="str">
        <f t="shared" si="27"/>
        <v/>
      </c>
      <c r="G272" s="163" t="str">
        <f t="shared" si="27"/>
        <v/>
      </c>
      <c r="H272" s="163" t="str">
        <f t="shared" si="27"/>
        <v/>
      </c>
      <c r="I272" s="163" t="str">
        <f t="shared" si="27"/>
        <v/>
      </c>
      <c r="J272" s="163" t="str">
        <f t="shared" si="27"/>
        <v/>
      </c>
      <c r="K272" s="163" t="str">
        <f t="shared" si="27"/>
        <v/>
      </c>
      <c r="L272" s="163" t="str">
        <f t="shared" si="27"/>
        <v/>
      </c>
      <c r="M272" s="163" t="str">
        <f t="shared" si="27"/>
        <v/>
      </c>
      <c r="N272" s="163" t="str">
        <f t="shared" si="27"/>
        <v/>
      </c>
      <c r="O272" s="163" t="str">
        <f t="shared" si="27"/>
        <v/>
      </c>
      <c r="P272" s="163" t="str">
        <f t="shared" si="27"/>
        <v/>
      </c>
      <c r="Q272" s="163" t="str">
        <f t="shared" si="27"/>
        <v/>
      </c>
      <c r="R272" s="163" t="str">
        <f t="shared" si="27"/>
        <v/>
      </c>
      <c r="S272" s="163" t="str">
        <f t="shared" si="27"/>
        <v/>
      </c>
      <c r="T272" s="163" t="str">
        <f t="shared" si="27"/>
        <v/>
      </c>
      <c r="U272" s="163" t="str">
        <f t="shared" si="27"/>
        <v/>
      </c>
      <c r="V272" s="163" t="str">
        <f t="shared" si="27"/>
        <v/>
      </c>
      <c r="W272" s="163" t="str">
        <f t="shared" si="27"/>
        <v/>
      </c>
      <c r="X272" s="163" t="str">
        <f t="shared" si="27"/>
        <v/>
      </c>
      <c r="Y272" s="163" t="str">
        <f t="shared" si="27"/>
        <v/>
      </c>
      <c r="Z272" s="163" t="str">
        <f t="shared" si="27"/>
        <v/>
      </c>
      <c r="AA272" s="163" t="str">
        <f t="shared" si="27"/>
        <v/>
      </c>
      <c r="AB272" s="163" t="str">
        <f t="shared" si="27"/>
        <v/>
      </c>
      <c r="AC272" s="163" t="str">
        <f t="shared" si="27"/>
        <v/>
      </c>
      <c r="AD272" s="163" t="str">
        <f t="shared" si="27"/>
        <v/>
      </c>
      <c r="AE272" s="163" t="str">
        <f t="shared" si="27"/>
        <v/>
      </c>
      <c r="AF272" s="163" t="str">
        <f t="shared" si="27"/>
        <v/>
      </c>
      <c r="AG272" s="163" t="str">
        <f t="shared" si="27"/>
        <v/>
      </c>
      <c r="AH272" s="43"/>
      <c r="AI272" s="43"/>
    </row>
    <row r="273" spans="1:35" x14ac:dyDescent="0.25">
      <c r="A273" s="163" t="str">
        <f>A240</f>
        <v>MRS</v>
      </c>
      <c r="B273" s="163" t="str">
        <f t="shared" ref="B273:AG273" si="28">IF(B240&lt;100,"",B240-330)</f>
        <v/>
      </c>
      <c r="C273" s="163" t="str">
        <f t="shared" si="28"/>
        <v/>
      </c>
      <c r="D273" s="163" t="str">
        <f t="shared" si="28"/>
        <v/>
      </c>
      <c r="E273" s="163" t="str">
        <f t="shared" si="28"/>
        <v/>
      </c>
      <c r="F273" s="163" t="str">
        <f t="shared" si="28"/>
        <v/>
      </c>
      <c r="G273" s="163" t="str">
        <f t="shared" si="28"/>
        <v/>
      </c>
      <c r="H273" s="163" t="str">
        <f t="shared" si="28"/>
        <v/>
      </c>
      <c r="I273" s="163" t="str">
        <f t="shared" si="28"/>
        <v/>
      </c>
      <c r="J273" s="163" t="str">
        <f t="shared" si="28"/>
        <v/>
      </c>
      <c r="K273" s="163" t="str">
        <f t="shared" si="28"/>
        <v/>
      </c>
      <c r="L273" s="163" t="str">
        <f t="shared" si="28"/>
        <v/>
      </c>
      <c r="M273" s="163" t="str">
        <f t="shared" si="28"/>
        <v/>
      </c>
      <c r="N273" s="163" t="str">
        <f t="shared" si="28"/>
        <v/>
      </c>
      <c r="O273" s="163" t="str">
        <f t="shared" si="28"/>
        <v/>
      </c>
      <c r="P273" s="163" t="str">
        <f t="shared" si="28"/>
        <v/>
      </c>
      <c r="Q273" s="163" t="str">
        <f t="shared" si="28"/>
        <v/>
      </c>
      <c r="R273" s="163" t="str">
        <f t="shared" si="28"/>
        <v/>
      </c>
      <c r="S273" s="163" t="str">
        <f t="shared" si="28"/>
        <v/>
      </c>
      <c r="T273" s="163" t="str">
        <f t="shared" si="28"/>
        <v/>
      </c>
      <c r="U273" s="163" t="str">
        <f t="shared" si="28"/>
        <v/>
      </c>
      <c r="V273" s="163" t="str">
        <f t="shared" si="28"/>
        <v/>
      </c>
      <c r="W273" s="163" t="str">
        <f t="shared" si="28"/>
        <v/>
      </c>
      <c r="X273" s="163" t="str">
        <f t="shared" si="28"/>
        <v/>
      </c>
      <c r="Y273" s="163" t="str">
        <f t="shared" si="28"/>
        <v/>
      </c>
      <c r="Z273" s="163" t="str">
        <f t="shared" si="28"/>
        <v/>
      </c>
      <c r="AA273" s="163" t="str">
        <f t="shared" si="28"/>
        <v/>
      </c>
      <c r="AB273" s="163" t="str">
        <f t="shared" si="28"/>
        <v/>
      </c>
      <c r="AC273" s="163" t="str">
        <f t="shared" si="28"/>
        <v/>
      </c>
      <c r="AD273" s="163" t="str">
        <f t="shared" si="28"/>
        <v/>
      </c>
      <c r="AE273" s="163" t="str">
        <f t="shared" si="28"/>
        <v/>
      </c>
      <c r="AF273" s="163" t="str">
        <f t="shared" si="28"/>
        <v/>
      </c>
      <c r="AG273" s="163" t="str">
        <f t="shared" si="28"/>
        <v/>
      </c>
      <c r="AH273" s="43"/>
      <c r="AI273" s="43"/>
    </row>
    <row r="274" spans="1:35" x14ac:dyDescent="0.25">
      <c r="A274" s="163" t="str">
        <f>A241</f>
        <v>KL 1</v>
      </c>
      <c r="B274" s="163" t="str">
        <f t="shared" ref="B274:AG274" si="29">IF(B241&lt;100,"",B241-1500)</f>
        <v/>
      </c>
      <c r="C274" s="163" t="str">
        <f t="shared" si="29"/>
        <v/>
      </c>
      <c r="D274" s="163" t="str">
        <f t="shared" si="29"/>
        <v/>
      </c>
      <c r="E274" s="163" t="str">
        <f t="shared" si="29"/>
        <v/>
      </c>
      <c r="F274" s="163" t="str">
        <f t="shared" si="29"/>
        <v/>
      </c>
      <c r="G274" s="163" t="str">
        <f t="shared" si="29"/>
        <v/>
      </c>
      <c r="H274" s="163" t="str">
        <f t="shared" si="29"/>
        <v/>
      </c>
      <c r="I274" s="163" t="str">
        <f t="shared" si="29"/>
        <v/>
      </c>
      <c r="J274" s="163" t="str">
        <f t="shared" si="29"/>
        <v/>
      </c>
      <c r="K274" s="163" t="str">
        <f t="shared" si="29"/>
        <v/>
      </c>
      <c r="L274" s="163" t="str">
        <f t="shared" si="29"/>
        <v/>
      </c>
      <c r="M274" s="163" t="str">
        <f t="shared" si="29"/>
        <v/>
      </c>
      <c r="N274" s="163" t="str">
        <f t="shared" si="29"/>
        <v/>
      </c>
      <c r="O274" s="163" t="str">
        <f t="shared" si="29"/>
        <v/>
      </c>
      <c r="P274" s="163" t="str">
        <f t="shared" si="29"/>
        <v/>
      </c>
      <c r="Q274" s="163" t="str">
        <f t="shared" si="29"/>
        <v/>
      </c>
      <c r="R274" s="163" t="str">
        <f t="shared" si="29"/>
        <v/>
      </c>
      <c r="S274" s="163" t="str">
        <f t="shared" si="29"/>
        <v/>
      </c>
      <c r="T274" s="163" t="str">
        <f t="shared" si="29"/>
        <v/>
      </c>
      <c r="U274" s="163" t="str">
        <f t="shared" si="29"/>
        <v/>
      </c>
      <c r="V274" s="163" t="str">
        <f t="shared" si="29"/>
        <v/>
      </c>
      <c r="W274" s="163" t="str">
        <f t="shared" si="29"/>
        <v/>
      </c>
      <c r="X274" s="163" t="str">
        <f t="shared" si="29"/>
        <v/>
      </c>
      <c r="Y274" s="163" t="str">
        <f t="shared" si="29"/>
        <v/>
      </c>
      <c r="Z274" s="163" t="str">
        <f t="shared" si="29"/>
        <v/>
      </c>
      <c r="AA274" s="163" t="str">
        <f t="shared" si="29"/>
        <v/>
      </c>
      <c r="AB274" s="163" t="str">
        <f t="shared" si="29"/>
        <v/>
      </c>
      <c r="AC274" s="163" t="str">
        <f t="shared" si="29"/>
        <v/>
      </c>
      <c r="AD274" s="163" t="str">
        <f t="shared" si="29"/>
        <v/>
      </c>
      <c r="AE274" s="163" t="str">
        <f t="shared" si="29"/>
        <v/>
      </c>
      <c r="AF274" s="163" t="str">
        <f t="shared" si="29"/>
        <v/>
      </c>
      <c r="AG274" s="163" t="str">
        <f t="shared" si="29"/>
        <v/>
      </c>
      <c r="AH274" s="43"/>
      <c r="AI274" s="43"/>
    </row>
    <row r="275" spans="1:35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</row>
    <row r="276" spans="1:35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</row>
    <row r="277" spans="1:35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</row>
    <row r="278" spans="1:35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</row>
    <row r="279" spans="1:35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</row>
    <row r="280" spans="1:35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</row>
    <row r="281" spans="1:35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</row>
  </sheetData>
  <mergeCells count="53">
    <mergeCell ref="A246:C246"/>
    <mergeCell ref="AF9:AF10"/>
    <mergeCell ref="AG9:AG10"/>
    <mergeCell ref="AH9:AH10"/>
    <mergeCell ref="AK48:AM48"/>
    <mergeCell ref="AO72:AP72"/>
    <mergeCell ref="AO84:AO85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R9:R10"/>
    <mergeCell ref="S9:S10"/>
    <mergeCell ref="T8:AB8"/>
    <mergeCell ref="AC8:AG8"/>
    <mergeCell ref="A9:A10"/>
    <mergeCell ref="C9:C10"/>
    <mergeCell ref="D9:D10"/>
    <mergeCell ref="E9:E10"/>
    <mergeCell ref="F9:F10"/>
    <mergeCell ref="G9:G10"/>
    <mergeCell ref="H9:H10"/>
    <mergeCell ref="I9:I10"/>
    <mergeCell ref="C4:E4"/>
    <mergeCell ref="F4:H4"/>
    <mergeCell ref="I4:J4"/>
    <mergeCell ref="B8:B10"/>
    <mergeCell ref="C8:M8"/>
    <mergeCell ref="N8:S8"/>
    <mergeCell ref="J9:J10"/>
    <mergeCell ref="K9:K10"/>
    <mergeCell ref="L9:L10"/>
    <mergeCell ref="M9:M10"/>
    <mergeCell ref="A1:AG1"/>
    <mergeCell ref="AH1:AJ1"/>
    <mergeCell ref="B2:B3"/>
    <mergeCell ref="C2:C3"/>
    <mergeCell ref="E2:E3"/>
    <mergeCell ref="G2:G3"/>
    <mergeCell ref="I2:I3"/>
    <mergeCell ref="K2:K3"/>
  </mergeCells>
  <conditionalFormatting sqref="A11:A236">
    <cfRule type="expression" dxfId="181" priority="43">
      <formula>$AI11=0</formula>
    </cfRule>
  </conditionalFormatting>
  <conditionalFormatting sqref="B8 B11:B17 B51:B66 B69:B91 B93:B109 B111:B120 B227 B229:B235">
    <cfRule type="expression" dxfId="180" priority="101">
      <formula>AND(B$8&gt;=14/24,B$8&lt;20/24)</formula>
    </cfRule>
    <cfRule type="expression" dxfId="179" priority="102">
      <formula>AND(B$8&gt;=8/24,B$8&lt;14/24)</formula>
    </cfRule>
    <cfRule type="expression" dxfId="178" priority="103">
      <formula>B$8&lt;8/24</formula>
    </cfRule>
  </conditionalFormatting>
  <conditionalFormatting sqref="B11:B17 B51:B66 B69:B91 B8 B93:B109 B111:B120 B227 B229:B235">
    <cfRule type="expression" dxfId="177" priority="100">
      <formula>B$8&gt;=20/24</formula>
    </cfRule>
  </conditionalFormatting>
  <conditionalFormatting sqref="B18:B45">
    <cfRule type="expression" dxfId="176" priority="6">
      <formula>B$9&gt;=20/24</formula>
    </cfRule>
    <cfRule type="expression" dxfId="175" priority="7">
      <formula>AND(B$9&gt;=14/24,B$9&lt;20/24)</formula>
    </cfRule>
    <cfRule type="expression" dxfId="174" priority="8">
      <formula>AND(B$9&gt;=8/24,B$9&lt;14/24)</formula>
    </cfRule>
    <cfRule type="expression" dxfId="173" priority="9">
      <formula>B$9&lt;8/24</formula>
    </cfRule>
  </conditionalFormatting>
  <conditionalFormatting sqref="B18:B46">
    <cfRule type="expression" dxfId="172" priority="5">
      <formula>B18&gt;$AG18</formula>
    </cfRule>
  </conditionalFormatting>
  <conditionalFormatting sqref="B46">
    <cfRule type="expression" dxfId="171" priority="1">
      <formula>B$9&gt;=20/24</formula>
    </cfRule>
    <cfRule type="expression" dxfId="170" priority="2">
      <formula>AND(B$9&gt;=14/24,B$9&lt;20/24)</formula>
    </cfRule>
    <cfRule type="expression" dxfId="169" priority="3">
      <formula>AND(B$9&gt;=8/24,B$9&lt;14/24)</formula>
    </cfRule>
    <cfRule type="expression" dxfId="168" priority="4">
      <formula>B$9&lt;8/24</formula>
    </cfRule>
  </conditionalFormatting>
  <conditionalFormatting sqref="B47">
    <cfRule type="expression" dxfId="167" priority="15">
      <formula>B47&gt;$AG47</formula>
    </cfRule>
  </conditionalFormatting>
  <conditionalFormatting sqref="B47:B49">
    <cfRule type="expression" dxfId="166" priority="11">
      <formula>B$9&gt;=20/24</formula>
    </cfRule>
    <cfRule type="expression" dxfId="165" priority="12">
      <formula>AND(B$9&gt;=14/24,B$9&lt;20/24)</formula>
    </cfRule>
    <cfRule type="expression" dxfId="164" priority="13">
      <formula>AND(B$9&gt;=8/24,B$9&lt;14/24)</formula>
    </cfRule>
    <cfRule type="expression" dxfId="163" priority="14">
      <formula>B$9&lt;8/24</formula>
    </cfRule>
  </conditionalFormatting>
  <conditionalFormatting sqref="B48:B49">
    <cfRule type="expression" dxfId="162" priority="10">
      <formula>B48&gt;$AG48</formula>
    </cfRule>
  </conditionalFormatting>
  <conditionalFormatting sqref="B50:B67 B69:B72 C51:AG67">
    <cfRule type="expression" dxfId="161" priority="20">
      <formula>B50&gt;$AH50</formula>
    </cfRule>
  </conditionalFormatting>
  <conditionalFormatting sqref="B242:AH242">
    <cfRule type="expression" dxfId="160" priority="19">
      <formula>B242&gt;$AH242</formula>
    </cfRule>
  </conditionalFormatting>
  <conditionalFormatting sqref="C8 N8 T8 AC8">
    <cfRule type="expression" dxfId="159" priority="80">
      <formula>AND(D$9&gt;=14/24,D$9&lt;20/24)</formula>
    </cfRule>
    <cfRule type="expression" dxfId="158" priority="81">
      <formula>AND(D$9&gt;=8/24,D$9&lt;14/24)</formula>
    </cfRule>
    <cfRule type="expression" dxfId="157" priority="82">
      <formula>D$9&lt;8/24</formula>
    </cfRule>
  </conditionalFormatting>
  <conditionalFormatting sqref="C9:AG49 C69:AG72 C51:AG66">
    <cfRule type="expression" dxfId="156" priority="35">
      <formula>AND(C$9&gt;=14/24,C$9&lt;20/24)</formula>
    </cfRule>
    <cfRule type="expression" dxfId="155" priority="36">
      <formula>AND(C$9&gt;=8/24,C$9&lt;14/24)</formula>
    </cfRule>
    <cfRule type="expression" dxfId="154" priority="37">
      <formula>C$9&lt;8/24</formula>
    </cfRule>
  </conditionalFormatting>
  <conditionalFormatting sqref="C9:AG49 C69:AG72 C51:AG66">
    <cfRule type="expression" dxfId="153" priority="34">
      <formula>C$9&gt;=20/24</formula>
    </cfRule>
  </conditionalFormatting>
  <conditionalFormatting sqref="C18:Q49 B11:Q17 R11:AG49 C69:AG72">
    <cfRule type="expression" dxfId="152" priority="33">
      <formula>B11&gt;$AH11</formula>
    </cfRule>
  </conditionalFormatting>
  <conditionalFormatting sqref="C73:AG91">
    <cfRule type="expression" dxfId="151" priority="21">
      <formula>C$9&gt;=20/24</formula>
    </cfRule>
    <cfRule type="expression" dxfId="150" priority="22">
      <formula>AND(C$9&gt;=14/24,C$9&lt;20/24)</formula>
    </cfRule>
    <cfRule type="expression" dxfId="149" priority="23">
      <formula>AND(C$9&gt;=8/24,C$9&lt;14/24)</formula>
    </cfRule>
    <cfRule type="expression" dxfId="148" priority="24">
      <formula>C$9&lt;8/24</formula>
    </cfRule>
  </conditionalFormatting>
  <conditionalFormatting sqref="C111:AG120">
    <cfRule type="expression" dxfId="147" priority="25">
      <formula>C$9&gt;=20/24</formula>
    </cfRule>
    <cfRule type="expression" dxfId="146" priority="26">
      <formula>AND(C$9&gt;=14/24,C$9&lt;20/24)</formula>
    </cfRule>
    <cfRule type="expression" dxfId="145" priority="27">
      <formula>AND(C$9&gt;=8/24,C$9&lt;14/24)</formula>
    </cfRule>
    <cfRule type="expression" dxfId="144" priority="28">
      <formula>C$9&lt;8/24</formula>
    </cfRule>
  </conditionalFormatting>
  <conditionalFormatting sqref="C50:AH50">
    <cfRule type="expression" dxfId="143" priority="17">
      <formula>C50&gt;$AH50</formula>
    </cfRule>
  </conditionalFormatting>
  <conditionalFormatting sqref="P3:Q3">
    <cfRule type="iconSet" priority="77">
      <iconSet iconSet="3TrafficLights2" reverse="1">
        <cfvo type="percent" val="0"/>
        <cfvo type="num" val="1"/>
        <cfvo type="num" val="1"/>
      </iconSet>
    </cfRule>
  </conditionalFormatting>
  <conditionalFormatting sqref="T8 AC8 C8 N8">
    <cfRule type="expression" dxfId="142" priority="79">
      <formula>D$9&gt;=20/24</formula>
    </cfRule>
  </conditionalFormatting>
  <conditionalFormatting sqref="T8">
    <cfRule type="expression" dxfId="141" priority="66">
      <formula>V$9&gt;=20/24</formula>
    </cfRule>
    <cfRule type="expression" dxfId="140" priority="67">
      <formula>AND(V$9&gt;=14/24,V$9&lt;20/24)</formula>
    </cfRule>
    <cfRule type="expression" dxfId="139" priority="68">
      <formula>AND(V$9&gt;=8/24,V$9&lt;14/24)</formula>
    </cfRule>
    <cfRule type="expression" dxfId="138" priority="69">
      <formula>V$9&lt;8/24</formula>
    </cfRule>
  </conditionalFormatting>
  <conditionalFormatting sqref="U248">
    <cfRule type="expression" dxfId="137" priority="91">
      <formula>AY$9&gt;=20/24</formula>
    </cfRule>
    <cfRule type="expression" dxfId="136" priority="92">
      <formula>AND(AY$9&gt;=14/24,AY$9&lt;20/24)</formula>
    </cfRule>
    <cfRule type="expression" dxfId="135" priority="93">
      <formula>AND(AY$9&gt;=8/24,AY$9&lt;14/24)</formula>
    </cfRule>
    <cfRule type="expression" dxfId="134" priority="94">
      <formula>AY$9&lt;8/24</formula>
    </cfRule>
  </conditionalFormatting>
  <conditionalFormatting sqref="V248:AG248">
    <cfRule type="expression" dxfId="133" priority="73">
      <formula>V$9&gt;=20/24</formula>
    </cfRule>
    <cfRule type="expression" dxfId="132" priority="74">
      <formula>AND(V$9&gt;=14/24,V$9&lt;20/24)</formula>
    </cfRule>
    <cfRule type="expression" dxfId="131" priority="75">
      <formula>AND(V$9&gt;=8/24,V$9&lt;14/24)</formula>
    </cfRule>
    <cfRule type="expression" dxfId="130" priority="76">
      <formula>V$9&lt;8/24</formula>
    </cfRule>
  </conditionalFormatting>
  <conditionalFormatting sqref="W3 AC3">
    <cfRule type="iconSet" priority="78">
      <iconSet iconSet="3TrafficLights2" reverse="1">
        <cfvo type="percent" val="0"/>
        <cfvo type="num" val="1"/>
        <cfvo type="num" val="1"/>
      </iconSet>
    </cfRule>
  </conditionalFormatting>
  <conditionalFormatting sqref="AB47:AG47 AB49:AG49">
    <cfRule type="expression" dxfId="129" priority="29">
      <formula>AB$9&gt;=20/24</formula>
    </cfRule>
    <cfRule type="expression" dxfId="128" priority="30">
      <formula>AND(AB$9&gt;=14/24,AB$9&lt;20/24)</formula>
    </cfRule>
    <cfRule type="expression" dxfId="127" priority="31">
      <formula>AND(AB$9&gt;=8/24,AB$9&lt;14/24)</formula>
    </cfRule>
    <cfRule type="expression" dxfId="126" priority="32">
      <formula>AB$9&lt;8/24</formula>
    </cfRule>
  </conditionalFormatting>
  <conditionalFormatting sqref="AC8">
    <cfRule type="expression" dxfId="125" priority="62">
      <formula>AE$9&gt;=20/24</formula>
    </cfRule>
    <cfRule type="expression" dxfId="124" priority="63">
      <formula>AND(AE$9&gt;=14/24,AE$9&lt;20/24)</formula>
    </cfRule>
    <cfRule type="expression" dxfId="123" priority="64">
      <formula>AND(AE$9&gt;=8/24,AE$9&lt;14/24)</formula>
    </cfRule>
    <cfRule type="expression" dxfId="122" priority="65">
      <formula>AE$9&lt;8/24</formula>
    </cfRule>
  </conditionalFormatting>
  <conditionalFormatting sqref="AH54 AH72 C93:AG109 C227:AG227 C229:AG235">
    <cfRule type="expression" dxfId="121" priority="39">
      <formula>C$9&gt;=20/24</formula>
    </cfRule>
    <cfRule type="expression" dxfId="120" priority="40">
      <formula>AND(C$9&gt;=14/24,C$9&lt;20/24)</formula>
    </cfRule>
    <cfRule type="expression" dxfId="119" priority="41">
      <formula>AND(C$9&gt;=8/24,C$9&lt;14/24)</formula>
    </cfRule>
    <cfRule type="expression" dxfId="118" priority="42">
      <formula>C$9&lt;8/24</formula>
    </cfRule>
  </conditionalFormatting>
  <conditionalFormatting sqref="AH54 AH72">
    <cfRule type="expression" dxfId="117" priority="38">
      <formula>AH54&gt;$AH54</formula>
    </cfRule>
  </conditionalFormatting>
  <conditionalFormatting sqref="AH67 B68:AH68">
    <cfRule type="expression" dxfId="116" priority="18">
      <formula>B67&gt;$AH67</formula>
    </cfRule>
  </conditionalFormatting>
  <conditionalFormatting sqref="AH89">
    <cfRule type="expression" dxfId="115" priority="58">
      <formula>AH$9&gt;=20/24</formula>
    </cfRule>
    <cfRule type="expression" dxfId="114" priority="59">
      <formula>AND(AH$9&gt;=14/24,AH$9&lt;20/24)</formula>
    </cfRule>
    <cfRule type="expression" dxfId="113" priority="60">
      <formula>AND(AH$9&gt;=8/24,AH$9&lt;14/24)</formula>
    </cfRule>
    <cfRule type="expression" dxfId="112" priority="61">
      <formula>AH$9&lt;8/24</formula>
    </cfRule>
  </conditionalFormatting>
  <conditionalFormatting sqref="AH248">
    <cfRule type="expression" dxfId="111" priority="83">
      <formula>C$9&gt;=20/24</formula>
    </cfRule>
    <cfRule type="expression" dxfId="110" priority="84">
      <formula>AND(C$9&gt;=14/24,C$9&lt;20/24)</formula>
    </cfRule>
    <cfRule type="expression" dxfId="109" priority="85">
      <formula>AND(C$9&gt;=8/24,C$9&lt;14/24)</formula>
    </cfRule>
    <cfRule type="expression" dxfId="108" priority="86">
      <formula>C$9&lt;8/24</formula>
    </cfRule>
  </conditionalFormatting>
  <conditionalFormatting sqref="AI248:AY248">
    <cfRule type="expression" dxfId="107" priority="87">
      <formula>AH$9&gt;=20/24</formula>
    </cfRule>
    <cfRule type="expression" dxfId="106" priority="88">
      <formula>AND(AH$9&gt;=14/24,AH$9&lt;20/24)</formula>
    </cfRule>
    <cfRule type="expression" dxfId="105" priority="89">
      <formula>AND(AH$9&gt;=8/24,AH$9&lt;14/24)</formula>
    </cfRule>
    <cfRule type="expression" dxfId="104" priority="90">
      <formula>AH$9&lt;8/24</formula>
    </cfRule>
  </conditionalFormatting>
  <conditionalFormatting sqref="AL50">
    <cfRule type="expression" dxfId="103" priority="16">
      <formula>AL50&gt;$AH50</formula>
    </cfRule>
  </conditionalFormatting>
  <conditionalFormatting sqref="AM4:AM6">
    <cfRule type="iconSet" priority="72">
      <iconSet iconSet="3TrafficLights2" reverse="1">
        <cfvo type="percent" val="0"/>
        <cfvo type="num" val="1"/>
        <cfvo type="num" val="1"/>
      </iconSet>
    </cfRule>
  </conditionalFormatting>
  <conditionalFormatting sqref="AM18">
    <cfRule type="iconSet" priority="46">
      <iconSet iconSet="3TrafficLights2" reverse="1">
        <cfvo type="percent" val="0"/>
        <cfvo type="num" val="1"/>
        <cfvo type="num" val="1"/>
      </iconSet>
    </cfRule>
  </conditionalFormatting>
  <conditionalFormatting sqref="AM23">
    <cfRule type="iconSet" priority="56">
      <iconSet iconSet="3TrafficLights2" reverse="1">
        <cfvo type="percent" val="0"/>
        <cfvo type="num" val="1"/>
        <cfvo type="num" val="1"/>
      </iconSet>
    </cfRule>
  </conditionalFormatting>
  <conditionalFormatting sqref="AM35">
    <cfRule type="iconSet" priority="45">
      <iconSet iconSet="3TrafficLights2" reverse="1">
        <cfvo type="percent" val="0"/>
        <cfvo type="num" val="1"/>
        <cfvo type="num" val="1"/>
      </iconSet>
    </cfRule>
  </conditionalFormatting>
  <conditionalFormatting sqref="AM39">
    <cfRule type="iconSet" priority="55">
      <iconSet iconSet="3TrafficLights2" reverse="1">
        <cfvo type="percent" val="0"/>
        <cfvo type="num" val="1"/>
        <cfvo type="num" val="1"/>
      </iconSet>
    </cfRule>
  </conditionalFormatting>
  <conditionalFormatting sqref="AM42">
    <cfRule type="iconSet" priority="57">
      <iconSet iconSet="3TrafficLights2" reverse="1">
        <cfvo type="percent" val="0"/>
        <cfvo type="num" val="1"/>
        <cfvo type="num" val="1"/>
      </iconSet>
    </cfRule>
  </conditionalFormatting>
  <conditionalFormatting sqref="AM44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M45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M46">
    <cfRule type="iconSet" priority="44">
      <iconSet iconSet="3TrafficLights2" reverse="1">
        <cfvo type="percent" val="0"/>
        <cfvo type="num" val="1"/>
        <cfvo type="num" val="1"/>
      </iconSet>
    </cfRule>
  </conditionalFormatting>
  <conditionalFormatting sqref="AM47 AM43 AM24:AM34 AM40:AM41 AM19:AM22 AM36:AM38 AM7:AM17">
    <cfRule type="iconSet" priority="95">
      <iconSet iconSet="3TrafficLights2" reverse="1">
        <cfvo type="percent" val="0"/>
        <cfvo type="num" val="1"/>
        <cfvo type="num" val="1"/>
      </iconSet>
    </cfRule>
  </conditionalFormatting>
  <conditionalFormatting sqref="AM81:AN85">
    <cfRule type="expression" dxfId="102" priority="96">
      <formula>AK$9&gt;=20/24</formula>
    </cfRule>
    <cfRule type="expression" dxfId="101" priority="97">
      <formula>AND(AK$9&gt;=14/24,AK$9&lt;20/24)</formula>
    </cfRule>
    <cfRule type="expression" dxfId="100" priority="98">
      <formula>AND(AK$9&gt;=8/24,AK$9&lt;14/24)</formula>
    </cfRule>
    <cfRule type="expression" dxfId="99" priority="99">
      <formula>AK$9&lt;8/24</formula>
    </cfRule>
  </conditionalFormatting>
  <conditionalFormatting sqref="AM80:AO80 AM86:AO86">
    <cfRule type="expression" dxfId="98" priority="51">
      <formula>AM$9&gt;=20/24</formula>
    </cfRule>
    <cfRule type="expression" dxfId="97" priority="52">
      <formula>AND(AM$9&gt;=14/24,AM$9&lt;20/24)</formula>
    </cfRule>
    <cfRule type="expression" dxfId="96" priority="53">
      <formula>AND(AM$9&gt;=8/24,AM$9&lt;14/24)</formula>
    </cfRule>
    <cfRule type="expression" dxfId="95" priority="54">
      <formula>AM$9&lt;8/24</formula>
    </cfRule>
  </conditionalFormatting>
  <conditionalFormatting sqref="AO81:AO84">
    <cfRule type="expression" dxfId="94" priority="47">
      <formula>AO$9&gt;=20/24</formula>
    </cfRule>
    <cfRule type="expression" dxfId="93" priority="48">
      <formula>AND(AO$9&gt;=14/24,AO$9&lt;20/24)</formula>
    </cfRule>
    <cfRule type="expression" dxfId="92" priority="49">
      <formula>AND(AO$9&gt;=8/24,AO$9&lt;14/24)</formula>
    </cfRule>
    <cfRule type="expression" dxfId="91" priority="50">
      <formula>AO$9&lt;8/24</formula>
    </cfRule>
  </conditionalFormatting>
  <pageMargins left="0.7" right="0.7" top="0.75" bottom="0.75" header="0.3" footer="0.3"/>
  <drawing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3EDCE-2C7F-490F-B25B-949C93EC629A}">
  <dimension ref="A1:CK281"/>
  <sheetViews>
    <sheetView zoomScale="93" zoomScaleNormal="93" workbookViewId="0">
      <pane xSplit="1" ySplit="10" topLeftCell="B58" activePane="bottomRight" state="frozen"/>
      <selection activeCell="K242" sqref="K242:L242"/>
      <selection pane="topRight" activeCell="K242" sqref="K242:L242"/>
      <selection pane="bottomLeft" activeCell="K242" sqref="K242:L242"/>
      <selection pane="bottomRight" activeCell="K242" sqref="K242:L242"/>
    </sheetView>
  </sheetViews>
  <sheetFormatPr defaultRowHeight="15" x14ac:dyDescent="0.25"/>
  <cols>
    <col min="1" max="1" width="35.28515625" style="1" bestFit="1" customWidth="1"/>
    <col min="2" max="2" width="15.85546875" style="1" customWidth="1"/>
    <col min="3" max="3" width="6.85546875" style="1" bestFit="1" customWidth="1"/>
    <col min="4" max="4" width="6.140625" style="1" customWidth="1"/>
    <col min="5" max="5" width="7" style="1" customWidth="1"/>
    <col min="6" max="6" width="11.140625" style="1" customWidth="1"/>
    <col min="7" max="8" width="6.5703125" style="1" bestFit="1" customWidth="1"/>
    <col min="9" max="9" width="6.42578125" style="1" bestFit="1" customWidth="1"/>
    <col min="10" max="10" width="6.5703125" style="1" bestFit="1" customWidth="1"/>
    <col min="11" max="11" width="6.28515625" style="1" bestFit="1" customWidth="1"/>
    <col min="12" max="12" width="6.42578125" style="1" bestFit="1" customWidth="1"/>
    <col min="13" max="13" width="6" style="1" bestFit="1" customWidth="1"/>
    <col min="14" max="16" width="6.42578125" style="1" bestFit="1" customWidth="1"/>
    <col min="17" max="17" width="6.7109375" style="1" customWidth="1"/>
    <col min="18" max="18" width="7.140625" style="1" customWidth="1"/>
    <col min="19" max="19" width="6.28515625" style="1" customWidth="1"/>
    <col min="20" max="20" width="12.42578125" style="1" customWidth="1"/>
    <col min="21" max="21" width="6.85546875" style="1" customWidth="1"/>
    <col min="22" max="22" width="7.5703125" style="1" customWidth="1"/>
    <col min="23" max="27" width="6.85546875" style="1" customWidth="1"/>
    <col min="28" max="28" width="7.140625" style="1" customWidth="1"/>
    <col min="29" max="33" width="6.85546875" style="1" customWidth="1"/>
    <col min="34" max="34" width="14.42578125" style="1" customWidth="1"/>
    <col min="35" max="36" width="8" style="1" customWidth="1"/>
    <col min="37" max="37" width="21" style="1" bestFit="1" customWidth="1"/>
    <col min="38" max="38" width="23.85546875" style="1" bestFit="1" customWidth="1"/>
    <col min="39" max="42" width="9.140625" style="1" customWidth="1"/>
    <col min="43" max="16384" width="9.140625" style="1"/>
  </cols>
  <sheetData>
    <row r="1" spans="1:89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4" t="s">
        <v>1</v>
      </c>
      <c r="AI1" s="194"/>
      <c r="AJ1" s="194"/>
      <c r="AM1" s="2"/>
    </row>
    <row r="2" spans="1:89" ht="20.25" x14ac:dyDescent="0.25">
      <c r="A2" s="3"/>
      <c r="B2" s="195" t="s">
        <v>2</v>
      </c>
      <c r="C2" s="195" t="s">
        <v>2</v>
      </c>
      <c r="D2" s="4"/>
      <c r="E2" s="197" t="s">
        <v>3</v>
      </c>
      <c r="F2" s="4"/>
      <c r="G2" s="197" t="s">
        <v>4</v>
      </c>
      <c r="H2" s="4"/>
      <c r="I2" s="197" t="s">
        <v>5</v>
      </c>
      <c r="J2" s="5"/>
      <c r="K2" s="199" t="s">
        <v>6</v>
      </c>
      <c r="L2" s="6" t="s">
        <v>2</v>
      </c>
      <c r="M2" s="6" t="s">
        <v>3</v>
      </c>
      <c r="N2" s="6" t="s">
        <v>4</v>
      </c>
      <c r="O2" s="7" t="s">
        <v>5</v>
      </c>
      <c r="P2" s="8"/>
      <c r="Q2" s="8"/>
      <c r="R2" s="9"/>
      <c r="S2" s="9"/>
      <c r="T2" s="9"/>
      <c r="U2" s="9"/>
      <c r="V2" s="9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200" t="e">
        <f>AH50</f>
        <v>#REF!</v>
      </c>
      <c r="AI2" s="11" t="s">
        <v>7</v>
      </c>
      <c r="AJ2" s="12"/>
      <c r="AN2" s="13"/>
      <c r="AO2" s="14"/>
      <c r="AP2" s="14"/>
    </row>
    <row r="3" spans="1:89" ht="19.5" thickBot="1" x14ac:dyDescent="0.3">
      <c r="A3" s="15"/>
      <c r="B3" s="196"/>
      <c r="C3" s="196"/>
      <c r="D3" s="16"/>
      <c r="E3" s="198"/>
      <c r="F3" s="16"/>
      <c r="G3" s="198"/>
      <c r="H3" s="16"/>
      <c r="I3" s="198"/>
      <c r="J3" s="17"/>
      <c r="K3" s="199"/>
      <c r="L3" s="18"/>
      <c r="M3" s="18"/>
      <c r="N3" s="18"/>
      <c r="O3" s="18"/>
      <c r="P3" s="19"/>
      <c r="Q3" s="19"/>
      <c r="R3" s="8"/>
      <c r="S3" s="8"/>
      <c r="T3" s="8"/>
      <c r="U3" s="8"/>
      <c r="V3" s="8"/>
      <c r="W3" s="20" t="s">
        <v>8</v>
      </c>
      <c r="X3" s="20"/>
      <c r="Y3" s="20" t="s">
        <v>9</v>
      </c>
      <c r="Z3" s="20"/>
      <c r="AA3" s="20"/>
      <c r="AB3" s="20"/>
      <c r="AC3" s="19"/>
      <c r="AD3" s="21"/>
      <c r="AE3" s="21"/>
      <c r="AF3" s="21"/>
      <c r="AG3" s="21"/>
      <c r="AH3" s="201" t="e">
        <f>AH68</f>
        <v>#REF!</v>
      </c>
      <c r="AI3" s="11" t="s">
        <v>10</v>
      </c>
      <c r="AJ3" s="12"/>
      <c r="AM3" s="23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</row>
    <row r="4" spans="1:89" ht="18.75" x14ac:dyDescent="0.25">
      <c r="A4" s="25" t="s">
        <v>11</v>
      </c>
      <c r="B4" s="25"/>
      <c r="C4" s="188" t="e">
        <f ca="1">"2080/"&amp;"07/"&amp;INT(MID(CELL("filename",E6),FIND("]",CELL("filename",E6))+1,200))</f>
        <v>#VALUE!</v>
      </c>
      <c r="D4" s="188"/>
      <c r="E4" s="188"/>
      <c r="F4" s="189" t="e">
        <f ca="1">"2080/"&amp;"06/"&amp;INT(MID(CELL("filename",H6),FIND("]",CELL("filename",H6))+1,200))</f>
        <v>#VALUE!</v>
      </c>
      <c r="G4" s="189"/>
      <c r="H4" s="189"/>
      <c r="I4" s="189" t="e">
        <f ca="1">TEXT(F4,"dddd")</f>
        <v>#VALUE!</v>
      </c>
      <c r="J4" s="189"/>
      <c r="K4" s="26"/>
      <c r="L4" s="1" t="str">
        <f>"Total Peak Supply(Inclusive of Export) ("&amp;ROUND(C252,0)&amp;" MW)"&amp;"    IPP   = "&amp;ROUND(C247,0)&amp;" MW     NEA RoR = "&amp;ROUND(C248,0)&amp;" MWImport   = "&amp;ROUND(C250,0)&amp;" MW      KL1+KL2+K3 = "&amp;ROUND(C249,0) &amp;" MW    EXPORT = "&amp;ROUND(C251,0)</f>
        <v>Total Peak Supply(Inclusive of Export) (0 MW)    IPP   = 0 MW     NEA RoR = 0 MWImport   = 0 MW      KL1+KL2+K3 = 0 MW    EXPORT = 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27"/>
      <c r="AF4" s="27"/>
      <c r="AG4" s="27"/>
      <c r="AH4" s="201">
        <f>AH72</f>
        <v>106</v>
      </c>
      <c r="AI4" s="11" t="s">
        <v>12</v>
      </c>
      <c r="AJ4" s="12"/>
      <c r="AM4" s="28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</row>
    <row r="5" spans="1:89" ht="15.75" customHeight="1" x14ac:dyDescent="0.25">
      <c r="A5" s="29"/>
      <c r="B5" s="30">
        <f t="shared" ref="B5:AF5" si="0">C84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 t="shared" si="0"/>
        <v>0</v>
      </c>
      <c r="AG5" s="30">
        <f>C84</f>
        <v>0</v>
      </c>
      <c r="AH5" s="201"/>
      <c r="AI5" s="11"/>
      <c r="AJ5" s="12"/>
      <c r="AM5" s="28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</row>
    <row r="6" spans="1:89" ht="18.75" x14ac:dyDescent="0.25">
      <c r="A6" s="29"/>
      <c r="B6" s="31"/>
      <c r="C6" s="31"/>
      <c r="D6" s="29"/>
      <c r="E6" s="32"/>
      <c r="F6" s="32"/>
      <c r="G6" s="32"/>
      <c r="H6" s="32"/>
      <c r="I6" s="32"/>
      <c r="J6" s="32"/>
      <c r="K6" s="26"/>
      <c r="L6" s="1" t="e">
        <f>"Evening Peak "&amp;ROUND(C252,0)&amp;"MW at "&amp;TRUNC(C253*24,0)&amp;":"&amp;ROUND((C253*24-TRUNC(C253*24,0))*60,0)&amp;"hr at "&amp;ROUND(C254,1)&amp;"Hz     "&amp;A244&amp;" "&amp;ROUND(C244,0)&amp;"MW at "&amp;TRUNC(D244*24,0)&amp;":"&amp;ROUND((D244*24-TRUNC(D244*24,0))*6,0)&amp;"0hr"</f>
        <v>#REF!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27"/>
      <c r="AF6" s="27"/>
      <c r="AG6" s="27"/>
      <c r="AH6" s="201" t="e">
        <f>SUM(AH2:AH4)</f>
        <v>#REF!</v>
      </c>
      <c r="AI6" s="33" t="s">
        <v>13</v>
      </c>
      <c r="AJ6" s="12"/>
      <c r="AM6" s="28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</row>
    <row r="7" spans="1:89" ht="16.5" thickBot="1" x14ac:dyDescent="0.3">
      <c r="A7" s="34" t="e">
        <f>"Base Load="&amp;ROUND(MIN($C$7:$AG$7),0)</f>
        <v>#REF!</v>
      </c>
      <c r="B7" s="35">
        <f t="shared" ref="B7:AE7" si="1">B91</f>
        <v>1693.8400000000001</v>
      </c>
      <c r="C7" s="35" t="e">
        <f t="shared" si="1"/>
        <v>#REF!</v>
      </c>
      <c r="D7" s="35" t="e">
        <f t="shared" si="1"/>
        <v>#REF!</v>
      </c>
      <c r="E7" s="35" t="e">
        <f t="shared" si="1"/>
        <v>#REF!</v>
      </c>
      <c r="F7" s="35" t="e">
        <f t="shared" si="1"/>
        <v>#REF!</v>
      </c>
      <c r="G7" s="35" t="e">
        <f t="shared" si="1"/>
        <v>#REF!</v>
      </c>
      <c r="H7" s="35" t="e">
        <f t="shared" si="1"/>
        <v>#REF!</v>
      </c>
      <c r="I7" s="35" t="e">
        <f t="shared" si="1"/>
        <v>#REF!</v>
      </c>
      <c r="J7" s="35" t="e">
        <f t="shared" si="1"/>
        <v>#REF!</v>
      </c>
      <c r="K7" s="35" t="e">
        <f t="shared" si="1"/>
        <v>#REF!</v>
      </c>
      <c r="L7" s="35">
        <f t="shared" si="1"/>
        <v>0</v>
      </c>
      <c r="M7" s="35">
        <f t="shared" si="1"/>
        <v>0</v>
      </c>
      <c r="N7" s="35">
        <f t="shared" si="1"/>
        <v>0</v>
      </c>
      <c r="O7" s="35">
        <f>O91</f>
        <v>0</v>
      </c>
      <c r="P7" s="35">
        <f t="shared" si="1"/>
        <v>0</v>
      </c>
      <c r="Q7" s="35">
        <f t="shared" si="1"/>
        <v>0</v>
      </c>
      <c r="R7" s="35">
        <f t="shared" si="1"/>
        <v>0</v>
      </c>
      <c r="S7" s="35">
        <f t="shared" si="1"/>
        <v>0</v>
      </c>
      <c r="T7" s="35">
        <f t="shared" si="1"/>
        <v>0</v>
      </c>
      <c r="U7" s="35">
        <f t="shared" si="1"/>
        <v>0</v>
      </c>
      <c r="V7" s="35">
        <f t="shared" si="1"/>
        <v>0</v>
      </c>
      <c r="W7" s="35">
        <f t="shared" si="1"/>
        <v>0</v>
      </c>
      <c r="X7" s="35">
        <f t="shared" si="1"/>
        <v>0</v>
      </c>
      <c r="Y7" s="35">
        <f t="shared" si="1"/>
        <v>0</v>
      </c>
      <c r="Z7" s="35">
        <f t="shared" si="1"/>
        <v>0</v>
      </c>
      <c r="AA7" s="35">
        <f t="shared" si="1"/>
        <v>0</v>
      </c>
      <c r="AB7" s="35">
        <f t="shared" si="1"/>
        <v>0</v>
      </c>
      <c r="AC7" s="35">
        <f t="shared" si="1"/>
        <v>0</v>
      </c>
      <c r="AD7" s="35">
        <f t="shared" si="1"/>
        <v>0</v>
      </c>
      <c r="AE7" s="35">
        <f t="shared" si="1"/>
        <v>0</v>
      </c>
      <c r="AF7" s="35"/>
      <c r="AG7" s="35"/>
      <c r="AH7" s="202"/>
      <c r="AJ7" s="37"/>
      <c r="AK7" s="35"/>
      <c r="AM7" s="23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</row>
    <row r="8" spans="1:89" ht="27" customHeight="1" thickTop="1" thickBot="1" x14ac:dyDescent="0.3">
      <c r="A8" s="38"/>
      <c r="B8" s="203" t="s">
        <v>251</v>
      </c>
      <c r="C8" s="190" t="s">
        <v>14</v>
      </c>
      <c r="D8" s="191"/>
      <c r="E8" s="191"/>
      <c r="F8" s="191"/>
      <c r="G8" s="191"/>
      <c r="H8" s="191"/>
      <c r="I8" s="191"/>
      <c r="J8" s="191"/>
      <c r="K8" s="191"/>
      <c r="L8" s="191"/>
      <c r="M8" s="192"/>
      <c r="N8" s="183" t="s">
        <v>15</v>
      </c>
      <c r="O8" s="184"/>
      <c r="P8" s="184"/>
      <c r="Q8" s="184"/>
      <c r="R8" s="184"/>
      <c r="S8" s="185"/>
      <c r="T8" s="183" t="s">
        <v>16</v>
      </c>
      <c r="U8" s="184"/>
      <c r="V8" s="184"/>
      <c r="W8" s="184"/>
      <c r="X8" s="184"/>
      <c r="Y8" s="184"/>
      <c r="Z8" s="184"/>
      <c r="AA8" s="184"/>
      <c r="AB8" s="185"/>
      <c r="AC8" s="183" t="s">
        <v>17</v>
      </c>
      <c r="AD8" s="184"/>
      <c r="AE8" s="184"/>
      <c r="AF8" s="184"/>
      <c r="AG8" s="185"/>
      <c r="AH8" s="39"/>
      <c r="AI8" s="40"/>
      <c r="AJ8" s="41"/>
      <c r="AM8" s="28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</row>
    <row r="9" spans="1:89" ht="13.5" customHeight="1" thickTop="1" x14ac:dyDescent="0.25">
      <c r="A9" s="186" t="s">
        <v>18</v>
      </c>
      <c r="B9" s="204"/>
      <c r="C9" s="180">
        <v>0</v>
      </c>
      <c r="D9" s="180">
        <v>4.1666666666666664E-2</v>
      </c>
      <c r="E9" s="180">
        <v>8.3333333333333301E-2</v>
      </c>
      <c r="F9" s="180">
        <v>0.125</v>
      </c>
      <c r="G9" s="180">
        <v>0.16666666666666699</v>
      </c>
      <c r="H9" s="180">
        <v>0.20833333333333301</v>
      </c>
      <c r="I9" s="180">
        <v>0.22916666666666666</v>
      </c>
      <c r="J9" s="180">
        <v>0.25</v>
      </c>
      <c r="K9" s="180">
        <v>0.27083333333333331</v>
      </c>
      <c r="L9" s="180">
        <v>0.29166666666666669</v>
      </c>
      <c r="M9" s="180">
        <v>0.3125</v>
      </c>
      <c r="N9" s="178">
        <v>0.33333333333333331</v>
      </c>
      <c r="O9" s="178">
        <v>0.375</v>
      </c>
      <c r="P9" s="178">
        <v>0.41666666666666702</v>
      </c>
      <c r="Q9" s="178">
        <v>0.45833333333333298</v>
      </c>
      <c r="R9" s="178">
        <v>0.5</v>
      </c>
      <c r="S9" s="178">
        <v>0.54166666666666696</v>
      </c>
      <c r="T9" s="176">
        <v>0.58333333333333304</v>
      </c>
      <c r="U9" s="176">
        <v>0.625</v>
      </c>
      <c r="V9" s="176">
        <v>0.66666666666666696</v>
      </c>
      <c r="W9" s="176">
        <v>0.70833333333333304</v>
      </c>
      <c r="X9" s="176">
        <v>0.72916666666666663</v>
      </c>
      <c r="Y9" s="176">
        <v>0.75</v>
      </c>
      <c r="Z9" s="176">
        <v>0.77083333333333337</v>
      </c>
      <c r="AA9" s="176">
        <v>0.79166666666666663</v>
      </c>
      <c r="AB9" s="176">
        <v>0.8125</v>
      </c>
      <c r="AC9" s="176">
        <v>0.83333333333333337</v>
      </c>
      <c r="AD9" s="176">
        <v>0.85416666666666663</v>
      </c>
      <c r="AE9" s="176">
        <v>0.875</v>
      </c>
      <c r="AF9" s="176">
        <v>0.91666666666666696</v>
      </c>
      <c r="AG9" s="176">
        <v>0.95833333333333304</v>
      </c>
      <c r="AH9" s="181" t="s">
        <v>1</v>
      </c>
      <c r="AI9" s="42"/>
      <c r="AJ9" s="41"/>
      <c r="AM9" s="28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</row>
    <row r="10" spans="1:89" ht="15.75" thickBot="1" x14ac:dyDescent="0.3">
      <c r="A10" s="187"/>
      <c r="B10" s="205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9"/>
      <c r="O10" s="179"/>
      <c r="P10" s="179"/>
      <c r="Q10" s="179"/>
      <c r="R10" s="179"/>
      <c r="S10" s="179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82"/>
      <c r="AI10" s="43"/>
      <c r="AM10" s="28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</row>
    <row r="11" spans="1:89" ht="15.75" thickTop="1" x14ac:dyDescent="0.25">
      <c r="A11" s="44" t="s">
        <v>252</v>
      </c>
      <c r="B11" s="206">
        <v>60.8</v>
      </c>
      <c r="C11" s="45" t="e">
        <f>IF($B11-#REF!&lt;0,0,$B11-#REF!)</f>
        <v>#REF!</v>
      </c>
      <c r="D11" s="45" t="e">
        <f>IF($B11-#REF!&lt;0,0,$B11-#REF!)</f>
        <v>#REF!</v>
      </c>
      <c r="E11" s="45" t="e">
        <f>IF($B11-#REF!&lt;0,0,$B11-#REF!)</f>
        <v>#REF!</v>
      </c>
      <c r="F11" s="45" t="e">
        <f>IF($B11-#REF!&lt;0,0,$B11-#REF!)</f>
        <v>#REF!</v>
      </c>
      <c r="G11" s="45" t="e">
        <f>IF($B11-#REF!&lt;0,0,$B11-#REF!)</f>
        <v>#REF!</v>
      </c>
      <c r="H11" s="45" t="e">
        <f>IF($B11-#REF!&lt;0,0,$B11-#REF!)</f>
        <v>#REF!</v>
      </c>
      <c r="I11" s="45" t="e">
        <f>IF($B11-#REF!&lt;0,0,$B11-#REF!)</f>
        <v>#REF!</v>
      </c>
      <c r="J11" s="45" t="e">
        <f>IF($B11-#REF!&lt;0,0,$B11-#REF!)</f>
        <v>#REF!</v>
      </c>
      <c r="K11" s="45" t="e">
        <f>IF($B11-#REF!&lt;0,0,$B11-#REF!)</f>
        <v>#REF!</v>
      </c>
      <c r="L11" s="45" t="e">
        <f>IF($B11-#REF!&lt;0,0,$B11-#REF!)</f>
        <v>#REF!</v>
      </c>
      <c r="M11" s="45" t="e">
        <f>IF($B11-#REF!&lt;0,0,$B11-#REF!)</f>
        <v>#REF!</v>
      </c>
      <c r="N11" s="45" t="e">
        <f>IF($B11-#REF!&lt;0,0,$B11-#REF!)</f>
        <v>#REF!</v>
      </c>
      <c r="O11" s="45" t="e">
        <f>IF($B11-#REF!&lt;0,0,$B11-#REF!)</f>
        <v>#REF!</v>
      </c>
      <c r="P11" s="45" t="e">
        <f>IF($B11-#REF!&lt;0,0,$B11-#REF!)</f>
        <v>#REF!</v>
      </c>
      <c r="Q11" s="45" t="e">
        <f>IF($B11-#REF!&lt;0,0,$B11-#REF!)</f>
        <v>#REF!</v>
      </c>
      <c r="R11" s="45" t="e">
        <f>IF($B11-#REF!&lt;0,0,$B11-#REF!)</f>
        <v>#REF!</v>
      </c>
      <c r="S11" s="45" t="e">
        <f>IF($B11-#REF!&lt;0,0,$B11-#REF!)</f>
        <v>#REF!</v>
      </c>
      <c r="T11" s="45" t="e">
        <f>IF($B11-#REF!&lt;0,0,$B11-#REF!)</f>
        <v>#REF!</v>
      </c>
      <c r="U11" s="45" t="e">
        <f>IF($B11-#REF!&lt;0,0,$B11-#REF!)</f>
        <v>#REF!</v>
      </c>
      <c r="V11" s="45" t="e">
        <f>IF($B11-#REF!&lt;0,0,$B11-#REF!)</f>
        <v>#REF!</v>
      </c>
      <c r="W11" s="45" t="e">
        <f>IF($B11-#REF!&lt;0,0,$B11-#REF!)</f>
        <v>#REF!</v>
      </c>
      <c r="X11" s="45" t="e">
        <f>IF($B11-#REF!&lt;0,0,$B11-#REF!)</f>
        <v>#REF!</v>
      </c>
      <c r="Y11" s="45" t="e">
        <f>IF($B11-#REF!&lt;0,0,$B11-#REF!)</f>
        <v>#REF!</v>
      </c>
      <c r="Z11" s="45" t="e">
        <f>IF($B11-#REF!&lt;0,0,$B11-#REF!)</f>
        <v>#REF!</v>
      </c>
      <c r="AA11" s="45" t="e">
        <f>IF($B11-#REF!&lt;0,0,$B11-#REF!)</f>
        <v>#REF!</v>
      </c>
      <c r="AB11" s="45" t="e">
        <f>IF($B11-#REF!&lt;0,0,$B11-#REF!)</f>
        <v>#REF!</v>
      </c>
      <c r="AC11" s="45" t="e">
        <f>IF($B11-#REF!&lt;0,0,$B11-#REF!)</f>
        <v>#REF!</v>
      </c>
      <c r="AD11" s="45" t="e">
        <f>IF($B11-#REF!&lt;0,0,$B11-#REF!)</f>
        <v>#REF!</v>
      </c>
      <c r="AE11" s="45" t="e">
        <f>IF($B11-#REF!&lt;0,0,$B11-#REF!)</f>
        <v>#REF!</v>
      </c>
      <c r="AF11" s="45" t="e">
        <f>IF($B11-#REF!&lt;0,0,$B11-#REF!)</f>
        <v>#REF!</v>
      </c>
      <c r="AG11" s="45" t="e">
        <f>IF($B11-#REF!&lt;0,0,$B11-#REF!)</f>
        <v>#REF!</v>
      </c>
      <c r="AH11" s="47">
        <v>86</v>
      </c>
      <c r="AI11" s="48" t="e">
        <f t="shared" ref="AI11:AI76" si="2">MAX(C11:AG11)</f>
        <v>#REF!</v>
      </c>
      <c r="AJ11" s="49" t="e">
        <f t="shared" ref="AJ11:AJ76" si="3">MIN(C11:AG11)</f>
        <v>#REF!</v>
      </c>
      <c r="AL11" s="170"/>
      <c r="AM11" s="28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</row>
    <row r="12" spans="1:89" x14ac:dyDescent="0.25">
      <c r="A12" s="44" t="s">
        <v>253</v>
      </c>
      <c r="B12" s="206">
        <v>13</v>
      </c>
      <c r="C12" s="45" t="e">
        <f>IF($B12-#REF!&lt;0,0,$B12-#REF!)</f>
        <v>#REF!</v>
      </c>
      <c r="D12" s="45" t="e">
        <f>IF($B12-#REF!&lt;0,0,$B12-#REF!)</f>
        <v>#REF!</v>
      </c>
      <c r="E12" s="45" t="e">
        <f>IF($B12-#REF!&lt;0,0,$B12-#REF!)</f>
        <v>#REF!</v>
      </c>
      <c r="F12" s="45" t="e">
        <f>IF($B12-#REF!&lt;0,0,$B12-#REF!)</f>
        <v>#REF!</v>
      </c>
      <c r="G12" s="45" t="e">
        <f>IF($B12-#REF!&lt;0,0,$B12-#REF!)</f>
        <v>#REF!</v>
      </c>
      <c r="H12" s="45" t="e">
        <f>IF($B12-#REF!&lt;0,0,$B12-#REF!)</f>
        <v>#REF!</v>
      </c>
      <c r="I12" s="45" t="e">
        <f>IF($B12-#REF!&lt;0,0,$B12-#REF!)</f>
        <v>#REF!</v>
      </c>
      <c r="J12" s="45" t="e">
        <f>IF($B12-#REF!&lt;0,0,$B12-#REF!)</f>
        <v>#REF!</v>
      </c>
      <c r="K12" s="45" t="e">
        <f>IF($B12-#REF!&lt;0,0,$B12-#REF!)</f>
        <v>#REF!</v>
      </c>
      <c r="L12" s="45" t="e">
        <f>IF($B12-#REF!&lt;0,0,$B12-#REF!)</f>
        <v>#REF!</v>
      </c>
      <c r="M12" s="45" t="e">
        <f>IF($B12-#REF!&lt;0,0,$B12-#REF!)</f>
        <v>#REF!</v>
      </c>
      <c r="N12" s="45" t="e">
        <f>IF($B12-#REF!&lt;0,0,$B12-#REF!)</f>
        <v>#REF!</v>
      </c>
      <c r="O12" s="45" t="e">
        <f>IF($B12-#REF!&lt;0,0,$B12-#REF!)</f>
        <v>#REF!</v>
      </c>
      <c r="P12" s="45" t="e">
        <f>IF($B12-#REF!&lt;0,0,$B12-#REF!)</f>
        <v>#REF!</v>
      </c>
      <c r="Q12" s="45" t="e">
        <f>IF($B12-#REF!&lt;0,0,$B12-#REF!)</f>
        <v>#REF!</v>
      </c>
      <c r="R12" s="45" t="e">
        <f>IF($B12-#REF!&lt;0,0,$B12-#REF!)</f>
        <v>#REF!</v>
      </c>
      <c r="S12" s="45" t="e">
        <f>IF($B12-#REF!&lt;0,0,$B12-#REF!)</f>
        <v>#REF!</v>
      </c>
      <c r="T12" s="45" t="e">
        <f>IF($B12-#REF!&lt;0,0,$B12-#REF!)</f>
        <v>#REF!</v>
      </c>
      <c r="U12" s="45" t="e">
        <f>IF($B12-#REF!&lt;0,0,$B12-#REF!)</f>
        <v>#REF!</v>
      </c>
      <c r="V12" s="45" t="e">
        <f>IF($B12-#REF!&lt;0,0,$B12-#REF!)</f>
        <v>#REF!</v>
      </c>
      <c r="W12" s="45" t="e">
        <f>IF($B12-#REF!&lt;0,0,$B12-#REF!)</f>
        <v>#REF!</v>
      </c>
      <c r="X12" s="45" t="e">
        <f>IF($B12-#REF!&lt;0,0,$B12-#REF!)</f>
        <v>#REF!</v>
      </c>
      <c r="Y12" s="45" t="e">
        <f>IF($B12-#REF!&lt;0,0,$B12-#REF!)</f>
        <v>#REF!</v>
      </c>
      <c r="Z12" s="45" t="e">
        <f>IF($B12-#REF!&lt;0,0,$B12-#REF!)</f>
        <v>#REF!</v>
      </c>
      <c r="AA12" s="45" t="e">
        <f>IF($B12-#REF!&lt;0,0,$B12-#REF!)</f>
        <v>#REF!</v>
      </c>
      <c r="AB12" s="45" t="e">
        <f>IF($B12-#REF!&lt;0,0,$B12-#REF!)</f>
        <v>#REF!</v>
      </c>
      <c r="AC12" s="45" t="e">
        <f>IF($B12-#REF!&lt;0,0,$B12-#REF!)</f>
        <v>#REF!</v>
      </c>
      <c r="AD12" s="45" t="e">
        <f>IF($B12-#REF!&lt;0,0,$B12-#REF!)</f>
        <v>#REF!</v>
      </c>
      <c r="AE12" s="45" t="e">
        <f>IF($B12-#REF!&lt;0,0,$B12-#REF!)</f>
        <v>#REF!</v>
      </c>
      <c r="AF12" s="45" t="e">
        <f>IF($B12-#REF!&lt;0,0,$B12-#REF!)</f>
        <v>#REF!</v>
      </c>
      <c r="AG12" s="45" t="e">
        <f>IF($B12-#REF!&lt;0,0,$B12-#REF!)</f>
        <v>#REF!</v>
      </c>
      <c r="AH12" s="51">
        <v>54</v>
      </c>
      <c r="AI12" s="48" t="e">
        <f t="shared" si="2"/>
        <v>#REF!</v>
      </c>
      <c r="AJ12" s="49" t="e">
        <f t="shared" si="3"/>
        <v>#REF!</v>
      </c>
      <c r="AL12" s="170"/>
      <c r="AM12" s="28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</row>
    <row r="13" spans="1:89" x14ac:dyDescent="0.25">
      <c r="A13" s="44" t="s">
        <v>19</v>
      </c>
      <c r="B13" s="206">
        <v>34</v>
      </c>
      <c r="C13" s="45" t="e">
        <f>IF($B13-#REF!&lt;0,0,$B13-#REF!)</f>
        <v>#REF!</v>
      </c>
      <c r="D13" s="45" t="e">
        <f>IF($B13-#REF!&lt;0,0,$B13-#REF!)</f>
        <v>#REF!</v>
      </c>
      <c r="E13" s="45" t="e">
        <f>IF($B13-#REF!&lt;0,0,$B13-#REF!)</f>
        <v>#REF!</v>
      </c>
      <c r="F13" s="45" t="e">
        <f>IF($B13-#REF!&lt;0,0,$B13-#REF!)</f>
        <v>#REF!</v>
      </c>
      <c r="G13" s="45" t="e">
        <f>IF($B13-#REF!&lt;0,0,$B13-#REF!)</f>
        <v>#REF!</v>
      </c>
      <c r="H13" s="45" t="e">
        <f>IF($B13-#REF!&lt;0,0,$B13-#REF!)</f>
        <v>#REF!</v>
      </c>
      <c r="I13" s="45" t="e">
        <f>IF($B13-#REF!&lt;0,0,$B13-#REF!)</f>
        <v>#REF!</v>
      </c>
      <c r="J13" s="45" t="e">
        <f>IF($B13-#REF!&lt;0,0,$B13-#REF!)</f>
        <v>#REF!</v>
      </c>
      <c r="K13" s="45" t="e">
        <f>IF($B13-#REF!&lt;0,0,$B13-#REF!)</f>
        <v>#REF!</v>
      </c>
      <c r="L13" s="45" t="e">
        <f>IF($B13-#REF!&lt;0,0,$B13-#REF!)</f>
        <v>#REF!</v>
      </c>
      <c r="M13" s="45" t="e">
        <f>IF($B13-#REF!&lt;0,0,$B13-#REF!)</f>
        <v>#REF!</v>
      </c>
      <c r="N13" s="45" t="e">
        <f>IF($B13-#REF!&lt;0,0,$B13-#REF!)</f>
        <v>#REF!</v>
      </c>
      <c r="O13" s="45" t="e">
        <f>IF($B13-#REF!&lt;0,0,$B13-#REF!)</f>
        <v>#REF!</v>
      </c>
      <c r="P13" s="45" t="e">
        <f>IF($B13-#REF!&lt;0,0,$B13-#REF!)</f>
        <v>#REF!</v>
      </c>
      <c r="Q13" s="45" t="e">
        <f>IF($B13-#REF!&lt;0,0,$B13-#REF!)</f>
        <v>#REF!</v>
      </c>
      <c r="R13" s="45" t="e">
        <f>IF($B13-#REF!&lt;0,0,$B13-#REF!)</f>
        <v>#REF!</v>
      </c>
      <c r="S13" s="45" t="e">
        <f>IF($B13-#REF!&lt;0,0,$B13-#REF!)</f>
        <v>#REF!</v>
      </c>
      <c r="T13" s="45" t="e">
        <f>IF($B13-#REF!&lt;0,0,$B13-#REF!)</f>
        <v>#REF!</v>
      </c>
      <c r="U13" s="45" t="e">
        <f>IF($B13-#REF!&lt;0,0,$B13-#REF!)</f>
        <v>#REF!</v>
      </c>
      <c r="V13" s="45" t="e">
        <f>IF($B13-#REF!&lt;0,0,$B13-#REF!)</f>
        <v>#REF!</v>
      </c>
      <c r="W13" s="45" t="e">
        <f>IF($B13-#REF!&lt;0,0,$B13-#REF!)</f>
        <v>#REF!</v>
      </c>
      <c r="X13" s="45" t="e">
        <f>IF($B13-#REF!&lt;0,0,$B13-#REF!)</f>
        <v>#REF!</v>
      </c>
      <c r="Y13" s="45" t="e">
        <f>IF($B13-#REF!&lt;0,0,$B13-#REF!)</f>
        <v>#REF!</v>
      </c>
      <c r="Z13" s="45" t="e">
        <f>IF($B13-#REF!&lt;0,0,$B13-#REF!)</f>
        <v>#REF!</v>
      </c>
      <c r="AA13" s="45" t="e">
        <f>IF($B13-#REF!&lt;0,0,$B13-#REF!)</f>
        <v>#REF!</v>
      </c>
      <c r="AB13" s="45" t="e">
        <f>IF($B13-#REF!&lt;0,0,$B13-#REF!)</f>
        <v>#REF!</v>
      </c>
      <c r="AC13" s="45" t="e">
        <f>IF($B13-#REF!&lt;0,0,$B13-#REF!)</f>
        <v>#REF!</v>
      </c>
      <c r="AD13" s="45" t="e">
        <f>IF($B13-#REF!&lt;0,0,$B13-#REF!)</f>
        <v>#REF!</v>
      </c>
      <c r="AE13" s="45" t="e">
        <f>IF($B13-#REF!&lt;0,0,$B13-#REF!)</f>
        <v>#REF!</v>
      </c>
      <c r="AF13" s="45" t="e">
        <f>IF($B13-#REF!&lt;0,0,$B13-#REF!)</f>
        <v>#REF!</v>
      </c>
      <c r="AG13" s="45" t="e">
        <f>IF($B13-#REF!&lt;0,0,$B13-#REF!)</f>
        <v>#REF!</v>
      </c>
      <c r="AH13" s="47">
        <v>52.4</v>
      </c>
      <c r="AI13" s="48" t="e">
        <f t="shared" si="2"/>
        <v>#REF!</v>
      </c>
      <c r="AJ13" s="49" t="e">
        <f t="shared" si="3"/>
        <v>#REF!</v>
      </c>
      <c r="AL13" s="170"/>
      <c r="AM13" s="28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</row>
    <row r="14" spans="1:89" x14ac:dyDescent="0.25">
      <c r="A14" s="44" t="s">
        <v>20</v>
      </c>
      <c r="B14" s="207">
        <v>50.5</v>
      </c>
      <c r="C14" s="45" t="e">
        <f>IF($B14-#REF!&lt;0,0,$B14-#REF!)</f>
        <v>#REF!</v>
      </c>
      <c r="D14" s="45" t="e">
        <f>IF($B14-#REF!&lt;0,0,$B14-#REF!)</f>
        <v>#REF!</v>
      </c>
      <c r="E14" s="45" t="e">
        <f>IF($B14-#REF!&lt;0,0,$B14-#REF!)</f>
        <v>#REF!</v>
      </c>
      <c r="F14" s="45" t="e">
        <f>IF($B14-#REF!&lt;0,0,$B14-#REF!)</f>
        <v>#REF!</v>
      </c>
      <c r="G14" s="45" t="e">
        <f>IF($B14-#REF!&lt;0,0,$B14-#REF!)</f>
        <v>#REF!</v>
      </c>
      <c r="H14" s="45" t="e">
        <f>IF($B14-#REF!&lt;0,0,$B14-#REF!)</f>
        <v>#REF!</v>
      </c>
      <c r="I14" s="45" t="e">
        <f>IF($B14-#REF!&lt;0,0,$B14-#REF!)</f>
        <v>#REF!</v>
      </c>
      <c r="J14" s="45" t="e">
        <f>IF($B14-#REF!&lt;0,0,$B14-#REF!)</f>
        <v>#REF!</v>
      </c>
      <c r="K14" s="45" t="e">
        <f>IF($B14-#REF!&lt;0,0,$B14-#REF!)</f>
        <v>#REF!</v>
      </c>
      <c r="L14" s="45" t="e">
        <f>IF($B14-#REF!&lt;0,0,$B14-#REF!)</f>
        <v>#REF!</v>
      </c>
      <c r="M14" s="45" t="e">
        <f>IF($B14-#REF!&lt;0,0,$B14-#REF!)</f>
        <v>#REF!</v>
      </c>
      <c r="N14" s="45" t="e">
        <f>IF($B14-#REF!&lt;0,0,$B14-#REF!)</f>
        <v>#REF!</v>
      </c>
      <c r="O14" s="45" t="e">
        <f>IF($B14-#REF!&lt;0,0,$B14-#REF!)</f>
        <v>#REF!</v>
      </c>
      <c r="P14" s="45" t="e">
        <f>IF($B14-#REF!&lt;0,0,$B14-#REF!)</f>
        <v>#REF!</v>
      </c>
      <c r="Q14" s="45" t="e">
        <f>IF($B14-#REF!&lt;0,0,$B14-#REF!)</f>
        <v>#REF!</v>
      </c>
      <c r="R14" s="45" t="e">
        <f>IF($B14-#REF!&lt;0,0,$B14-#REF!)</f>
        <v>#REF!</v>
      </c>
      <c r="S14" s="45" t="e">
        <f>IF($B14-#REF!&lt;0,0,$B14-#REF!)</f>
        <v>#REF!</v>
      </c>
      <c r="T14" s="45" t="e">
        <f>IF($B14-#REF!&lt;0,0,$B14-#REF!)</f>
        <v>#REF!</v>
      </c>
      <c r="U14" s="45" t="e">
        <f>IF($B14-#REF!&lt;0,0,$B14-#REF!)</f>
        <v>#REF!</v>
      </c>
      <c r="V14" s="45" t="e">
        <f>IF($B14-#REF!&lt;0,0,$B14-#REF!)</f>
        <v>#REF!</v>
      </c>
      <c r="W14" s="45" t="e">
        <f>IF($B14-#REF!&lt;0,0,$B14-#REF!)</f>
        <v>#REF!</v>
      </c>
      <c r="X14" s="45" t="e">
        <f>IF($B14-#REF!&lt;0,0,$B14-#REF!)</f>
        <v>#REF!</v>
      </c>
      <c r="Y14" s="45" t="e">
        <f>IF($B14-#REF!&lt;0,0,$B14-#REF!)</f>
        <v>#REF!</v>
      </c>
      <c r="Z14" s="45" t="e">
        <f>IF($B14-#REF!&lt;0,0,$B14-#REF!)</f>
        <v>#REF!</v>
      </c>
      <c r="AA14" s="45" t="e">
        <f>IF($B14-#REF!&lt;0,0,$B14-#REF!)</f>
        <v>#REF!</v>
      </c>
      <c r="AB14" s="45" t="e">
        <f>IF($B14-#REF!&lt;0,0,$B14-#REF!)</f>
        <v>#REF!</v>
      </c>
      <c r="AC14" s="45" t="e">
        <f>IF($B14-#REF!&lt;0,0,$B14-#REF!)</f>
        <v>#REF!</v>
      </c>
      <c r="AD14" s="45" t="e">
        <f>IF($B14-#REF!&lt;0,0,$B14-#REF!)</f>
        <v>#REF!</v>
      </c>
      <c r="AE14" s="45" t="e">
        <f>IF($B14-#REF!&lt;0,0,$B14-#REF!)</f>
        <v>#REF!</v>
      </c>
      <c r="AF14" s="45" t="e">
        <f>IF($B14-#REF!&lt;0,0,$B14-#REF!)</f>
        <v>#REF!</v>
      </c>
      <c r="AG14" s="45" t="e">
        <f>IF($B14-#REF!&lt;0,0,$B14-#REF!)</f>
        <v>#REF!</v>
      </c>
      <c r="AH14" s="51">
        <v>50</v>
      </c>
      <c r="AI14" s="48" t="e">
        <f t="shared" si="2"/>
        <v>#REF!</v>
      </c>
      <c r="AJ14" s="49" t="e">
        <f t="shared" si="3"/>
        <v>#REF!</v>
      </c>
      <c r="AL14" s="170"/>
      <c r="AM14" s="28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</row>
    <row r="15" spans="1:89" x14ac:dyDescent="0.25">
      <c r="A15" s="44" t="s">
        <v>21</v>
      </c>
      <c r="B15" s="207">
        <v>33.5</v>
      </c>
      <c r="C15" s="45" t="e">
        <f>IF($B15-#REF!&lt;0,0,$B15-#REF!)</f>
        <v>#REF!</v>
      </c>
      <c r="D15" s="45" t="e">
        <f>IF($B15-#REF!&lt;0,0,$B15-#REF!)</f>
        <v>#REF!</v>
      </c>
      <c r="E15" s="45" t="e">
        <f>IF($B15-#REF!&lt;0,0,$B15-#REF!)</f>
        <v>#REF!</v>
      </c>
      <c r="F15" s="45" t="e">
        <f>IF($B15-#REF!&lt;0,0,$B15-#REF!)</f>
        <v>#REF!</v>
      </c>
      <c r="G15" s="45" t="e">
        <f>IF($B15-#REF!&lt;0,0,$B15-#REF!)</f>
        <v>#REF!</v>
      </c>
      <c r="H15" s="45" t="e">
        <f>IF($B15-#REF!&lt;0,0,$B15-#REF!)</f>
        <v>#REF!</v>
      </c>
      <c r="I15" s="45" t="e">
        <f>IF($B15-#REF!&lt;0,0,$B15-#REF!)</f>
        <v>#REF!</v>
      </c>
      <c r="J15" s="45" t="e">
        <f>IF($B15-#REF!&lt;0,0,$B15-#REF!)</f>
        <v>#REF!</v>
      </c>
      <c r="K15" s="45" t="e">
        <f>IF($B15-#REF!&lt;0,0,$B15-#REF!)</f>
        <v>#REF!</v>
      </c>
      <c r="L15" s="45" t="e">
        <f>IF($B15-#REF!&lt;0,0,$B15-#REF!)</f>
        <v>#REF!</v>
      </c>
      <c r="M15" s="45" t="e">
        <f>IF($B15-#REF!&lt;0,0,$B15-#REF!)</f>
        <v>#REF!</v>
      </c>
      <c r="N15" s="45" t="e">
        <f>IF($B15-#REF!&lt;0,0,$B15-#REF!)</f>
        <v>#REF!</v>
      </c>
      <c r="O15" s="45" t="e">
        <f>IF($B15-#REF!&lt;0,0,$B15-#REF!)</f>
        <v>#REF!</v>
      </c>
      <c r="P15" s="45" t="e">
        <f>IF($B15-#REF!&lt;0,0,$B15-#REF!)</f>
        <v>#REF!</v>
      </c>
      <c r="Q15" s="45" t="e">
        <f>IF($B15-#REF!&lt;0,0,$B15-#REF!)</f>
        <v>#REF!</v>
      </c>
      <c r="R15" s="45" t="e">
        <f>IF($B15-#REF!&lt;0,0,$B15-#REF!)</f>
        <v>#REF!</v>
      </c>
      <c r="S15" s="45" t="e">
        <f>IF($B15-#REF!&lt;0,0,$B15-#REF!)</f>
        <v>#REF!</v>
      </c>
      <c r="T15" s="45" t="e">
        <f>IF($B15-#REF!&lt;0,0,$B15-#REF!)</f>
        <v>#REF!</v>
      </c>
      <c r="U15" s="45" t="e">
        <f>IF($B15-#REF!&lt;0,0,$B15-#REF!)</f>
        <v>#REF!</v>
      </c>
      <c r="V15" s="45" t="e">
        <f>IF($B15-#REF!&lt;0,0,$B15-#REF!)</f>
        <v>#REF!</v>
      </c>
      <c r="W15" s="45" t="e">
        <f>IF($B15-#REF!&lt;0,0,$B15-#REF!)</f>
        <v>#REF!</v>
      </c>
      <c r="X15" s="45" t="e">
        <f>IF($B15-#REF!&lt;0,0,$B15-#REF!)</f>
        <v>#REF!</v>
      </c>
      <c r="Y15" s="45" t="e">
        <f>IF($B15-#REF!&lt;0,0,$B15-#REF!)</f>
        <v>#REF!</v>
      </c>
      <c r="Z15" s="45" t="e">
        <f>IF($B15-#REF!&lt;0,0,$B15-#REF!)</f>
        <v>#REF!</v>
      </c>
      <c r="AA15" s="45" t="e">
        <f>IF($B15-#REF!&lt;0,0,$B15-#REF!)</f>
        <v>#REF!</v>
      </c>
      <c r="AB15" s="45" t="e">
        <f>IF($B15-#REF!&lt;0,0,$B15-#REF!)</f>
        <v>#REF!</v>
      </c>
      <c r="AC15" s="45" t="e">
        <f>IF($B15-#REF!&lt;0,0,$B15-#REF!)</f>
        <v>#REF!</v>
      </c>
      <c r="AD15" s="45" t="e">
        <f>IF($B15-#REF!&lt;0,0,$B15-#REF!)</f>
        <v>#REF!</v>
      </c>
      <c r="AE15" s="45" t="e">
        <f>IF($B15-#REF!&lt;0,0,$B15-#REF!)</f>
        <v>#REF!</v>
      </c>
      <c r="AF15" s="45" t="e">
        <f>IF($B15-#REF!&lt;0,0,$B15-#REF!)</f>
        <v>#REF!</v>
      </c>
      <c r="AG15" s="45" t="e">
        <f>IF($B15-#REF!&lt;0,0,$B15-#REF!)</f>
        <v>#REF!</v>
      </c>
      <c r="AH15" s="51">
        <v>45</v>
      </c>
      <c r="AI15" s="48" t="e">
        <f t="shared" si="2"/>
        <v>#REF!</v>
      </c>
      <c r="AJ15" s="49" t="e">
        <f t="shared" si="3"/>
        <v>#REF!</v>
      </c>
      <c r="AL15" s="170"/>
      <c r="AM15" s="28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</row>
    <row r="16" spans="1:89" x14ac:dyDescent="0.25">
      <c r="A16" s="44" t="s">
        <v>254</v>
      </c>
      <c r="B16" s="207">
        <v>32</v>
      </c>
      <c r="C16" s="45" t="e">
        <f>IF($B16-#REF!&lt;0,0,$B16-#REF!)</f>
        <v>#REF!</v>
      </c>
      <c r="D16" s="45" t="e">
        <f>IF($B16-#REF!&lt;0,0,$B16-#REF!)</f>
        <v>#REF!</v>
      </c>
      <c r="E16" s="45" t="e">
        <f>IF($B16-#REF!&lt;0,0,$B16-#REF!)</f>
        <v>#REF!</v>
      </c>
      <c r="F16" s="45" t="e">
        <f>IF($B16-#REF!&lt;0,0,$B16-#REF!)</f>
        <v>#REF!</v>
      </c>
      <c r="G16" s="45" t="e">
        <f>IF($B16-#REF!&lt;0,0,$B16-#REF!)</f>
        <v>#REF!</v>
      </c>
      <c r="H16" s="45" t="e">
        <f>IF($B16-#REF!&lt;0,0,$B16-#REF!)</f>
        <v>#REF!</v>
      </c>
      <c r="I16" s="45" t="e">
        <f>IF($B16-#REF!&lt;0,0,$B16-#REF!)</f>
        <v>#REF!</v>
      </c>
      <c r="J16" s="45" t="e">
        <f>IF($B16-#REF!&lt;0,0,$B16-#REF!)</f>
        <v>#REF!</v>
      </c>
      <c r="K16" s="45" t="e">
        <f>IF($B16-#REF!&lt;0,0,$B16-#REF!)</f>
        <v>#REF!</v>
      </c>
      <c r="L16" s="45" t="e">
        <f>IF($B16-#REF!&lt;0,0,$B16-#REF!)</f>
        <v>#REF!</v>
      </c>
      <c r="M16" s="45" t="e">
        <f>IF($B16-#REF!&lt;0,0,$B16-#REF!)</f>
        <v>#REF!</v>
      </c>
      <c r="N16" s="45" t="e">
        <f>IF($B16-#REF!&lt;0,0,$B16-#REF!)</f>
        <v>#REF!</v>
      </c>
      <c r="O16" s="45" t="e">
        <f>IF($B16-#REF!&lt;0,0,$B16-#REF!)</f>
        <v>#REF!</v>
      </c>
      <c r="P16" s="45" t="e">
        <f>IF($B16-#REF!&lt;0,0,$B16-#REF!)</f>
        <v>#REF!</v>
      </c>
      <c r="Q16" s="45" t="e">
        <f>IF($B16-#REF!&lt;0,0,$B16-#REF!)</f>
        <v>#REF!</v>
      </c>
      <c r="R16" s="45" t="e">
        <f>IF($B16-#REF!&lt;0,0,$B16-#REF!)</f>
        <v>#REF!</v>
      </c>
      <c r="S16" s="45" t="e">
        <f>IF($B16-#REF!&lt;0,0,$B16-#REF!)</f>
        <v>#REF!</v>
      </c>
      <c r="T16" s="45" t="e">
        <f>IF($B16-#REF!&lt;0,0,$B16-#REF!)</f>
        <v>#REF!</v>
      </c>
      <c r="U16" s="45" t="e">
        <f>IF($B16-#REF!&lt;0,0,$B16-#REF!)</f>
        <v>#REF!</v>
      </c>
      <c r="V16" s="45" t="e">
        <f>IF($B16-#REF!&lt;0,0,$B16-#REF!)</f>
        <v>#REF!</v>
      </c>
      <c r="W16" s="45" t="e">
        <f>IF($B16-#REF!&lt;0,0,$B16-#REF!)</f>
        <v>#REF!</v>
      </c>
      <c r="X16" s="45" t="e">
        <f>IF($B16-#REF!&lt;0,0,$B16-#REF!)</f>
        <v>#REF!</v>
      </c>
      <c r="Y16" s="45" t="e">
        <f>IF($B16-#REF!&lt;0,0,$B16-#REF!)</f>
        <v>#REF!</v>
      </c>
      <c r="Z16" s="45" t="e">
        <f>IF($B16-#REF!&lt;0,0,$B16-#REF!)</f>
        <v>#REF!</v>
      </c>
      <c r="AA16" s="45" t="e">
        <f>IF($B16-#REF!&lt;0,0,$B16-#REF!)</f>
        <v>#REF!</v>
      </c>
      <c r="AB16" s="45" t="e">
        <f>IF($B16-#REF!&lt;0,0,$B16-#REF!)</f>
        <v>#REF!</v>
      </c>
      <c r="AC16" s="45" t="e">
        <f>IF($B16-#REF!&lt;0,0,$B16-#REF!)</f>
        <v>#REF!</v>
      </c>
      <c r="AD16" s="45" t="e">
        <f>IF($B16-#REF!&lt;0,0,$B16-#REF!)</f>
        <v>#REF!</v>
      </c>
      <c r="AE16" s="45" t="e">
        <f>IF($B16-#REF!&lt;0,0,$B16-#REF!)</f>
        <v>#REF!</v>
      </c>
      <c r="AF16" s="45" t="e">
        <f>IF($B16-#REF!&lt;0,0,$B16-#REF!)</f>
        <v>#REF!</v>
      </c>
      <c r="AG16" s="45" t="e">
        <f>IF($B16-#REF!&lt;0,0,$B16-#REF!)</f>
        <v>#REF!</v>
      </c>
      <c r="AH16" s="51">
        <v>44</v>
      </c>
      <c r="AI16" s="48" t="e">
        <f>MAX(C16:AH16)</f>
        <v>#REF!</v>
      </c>
      <c r="AJ16" s="49" t="e">
        <f>MIN(C16:AH16)</f>
        <v>#REF!</v>
      </c>
      <c r="AL16" s="170"/>
      <c r="AM16" s="28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</row>
    <row r="17" spans="1:89" x14ac:dyDescent="0.25">
      <c r="A17" s="44" t="s">
        <v>22</v>
      </c>
      <c r="B17" s="207">
        <v>20.5</v>
      </c>
      <c r="C17" s="45" t="e">
        <f>IF($B17-#REF!&lt;0,0,$B17-#REF!)</f>
        <v>#REF!</v>
      </c>
      <c r="D17" s="45" t="e">
        <f>IF($B17-#REF!&lt;0,0,$B17-#REF!)</f>
        <v>#REF!</v>
      </c>
      <c r="E17" s="45" t="e">
        <f>IF($B17-#REF!&lt;0,0,$B17-#REF!)</f>
        <v>#REF!</v>
      </c>
      <c r="F17" s="45" t="e">
        <f>IF($B17-#REF!&lt;0,0,$B17-#REF!)</f>
        <v>#REF!</v>
      </c>
      <c r="G17" s="45" t="e">
        <f>IF($B17-#REF!&lt;0,0,$B17-#REF!)</f>
        <v>#REF!</v>
      </c>
      <c r="H17" s="45" t="e">
        <f>IF($B17-#REF!&lt;0,0,$B17-#REF!)</f>
        <v>#REF!</v>
      </c>
      <c r="I17" s="45" t="e">
        <f>IF($B17-#REF!&lt;0,0,$B17-#REF!)</f>
        <v>#REF!</v>
      </c>
      <c r="J17" s="45" t="e">
        <f>IF($B17-#REF!&lt;0,0,$B17-#REF!)</f>
        <v>#REF!</v>
      </c>
      <c r="K17" s="45" t="e">
        <f>IF($B17-#REF!&lt;0,0,$B17-#REF!)</f>
        <v>#REF!</v>
      </c>
      <c r="L17" s="45" t="e">
        <f>IF($B17-#REF!&lt;0,0,$B17-#REF!)</f>
        <v>#REF!</v>
      </c>
      <c r="M17" s="45" t="e">
        <f>IF($B17-#REF!&lt;0,0,$B17-#REF!)</f>
        <v>#REF!</v>
      </c>
      <c r="N17" s="45" t="e">
        <f>IF($B17-#REF!&lt;0,0,$B17-#REF!)</f>
        <v>#REF!</v>
      </c>
      <c r="O17" s="45" t="e">
        <f>IF($B17-#REF!&lt;0,0,$B17-#REF!)</f>
        <v>#REF!</v>
      </c>
      <c r="P17" s="45" t="e">
        <f>IF($B17-#REF!&lt;0,0,$B17-#REF!)</f>
        <v>#REF!</v>
      </c>
      <c r="Q17" s="45" t="e">
        <f>IF($B17-#REF!&lt;0,0,$B17-#REF!)</f>
        <v>#REF!</v>
      </c>
      <c r="R17" s="45" t="e">
        <f>IF($B17-#REF!&lt;0,0,$B17-#REF!)</f>
        <v>#REF!</v>
      </c>
      <c r="S17" s="45" t="e">
        <f>IF($B17-#REF!&lt;0,0,$B17-#REF!)</f>
        <v>#REF!</v>
      </c>
      <c r="T17" s="45" t="e">
        <f>IF($B17-#REF!&lt;0,0,$B17-#REF!)</f>
        <v>#REF!</v>
      </c>
      <c r="U17" s="45" t="e">
        <f>IF($B17-#REF!&lt;0,0,$B17-#REF!)</f>
        <v>#REF!</v>
      </c>
      <c r="V17" s="45" t="e">
        <f>IF($B17-#REF!&lt;0,0,$B17-#REF!)</f>
        <v>#REF!</v>
      </c>
      <c r="W17" s="45" t="e">
        <f>IF($B17-#REF!&lt;0,0,$B17-#REF!)</f>
        <v>#REF!</v>
      </c>
      <c r="X17" s="45" t="e">
        <f>IF($B17-#REF!&lt;0,0,$B17-#REF!)</f>
        <v>#REF!</v>
      </c>
      <c r="Y17" s="45" t="e">
        <f>IF($B17-#REF!&lt;0,0,$B17-#REF!)</f>
        <v>#REF!</v>
      </c>
      <c r="Z17" s="45" t="e">
        <f>IF($B17-#REF!&lt;0,0,$B17-#REF!)</f>
        <v>#REF!</v>
      </c>
      <c r="AA17" s="45" t="e">
        <f>IF($B17-#REF!&lt;0,0,$B17-#REF!)</f>
        <v>#REF!</v>
      </c>
      <c r="AB17" s="45" t="e">
        <f>IF($B17-#REF!&lt;0,0,$B17-#REF!)</f>
        <v>#REF!</v>
      </c>
      <c r="AC17" s="45" t="e">
        <f>IF($B17-#REF!&lt;0,0,$B17-#REF!)</f>
        <v>#REF!</v>
      </c>
      <c r="AD17" s="45" t="e">
        <f>IF($B17-#REF!&lt;0,0,$B17-#REF!)</f>
        <v>#REF!</v>
      </c>
      <c r="AE17" s="45" t="e">
        <f>IF($B17-#REF!&lt;0,0,$B17-#REF!)</f>
        <v>#REF!</v>
      </c>
      <c r="AF17" s="45" t="e">
        <f>IF($B17-#REF!&lt;0,0,$B17-#REF!)</f>
        <v>#REF!</v>
      </c>
      <c r="AG17" s="45" t="e">
        <f>IF($B17-#REF!&lt;0,0,$B17-#REF!)</f>
        <v>#REF!</v>
      </c>
      <c r="AH17" s="51">
        <v>42</v>
      </c>
      <c r="AI17" s="48" t="e">
        <f t="shared" si="2"/>
        <v>#REF!</v>
      </c>
      <c r="AJ17" s="49" t="e">
        <f t="shared" si="3"/>
        <v>#REF!</v>
      </c>
      <c r="AL17" s="170"/>
      <c r="AM17" s="28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</row>
    <row r="18" spans="1:89" x14ac:dyDescent="0.25">
      <c r="A18" s="44" t="s">
        <v>255</v>
      </c>
      <c r="B18" s="45">
        <v>20.5</v>
      </c>
      <c r="C18" s="45" t="e">
        <f>IF($B18-#REF!&lt;0,0,$B18-#REF!)</f>
        <v>#REF!</v>
      </c>
      <c r="D18" s="45" t="e">
        <f>IF($B18-#REF!&lt;0,0,$B18-#REF!)</f>
        <v>#REF!</v>
      </c>
      <c r="E18" s="45" t="e">
        <f>IF($B18-#REF!&lt;0,0,$B18-#REF!)</f>
        <v>#REF!</v>
      </c>
      <c r="F18" s="45" t="e">
        <f>IF($B18-#REF!&lt;0,0,$B18-#REF!)</f>
        <v>#REF!</v>
      </c>
      <c r="G18" s="45" t="e">
        <f>IF($B18-#REF!&lt;0,0,$B18-#REF!)</f>
        <v>#REF!</v>
      </c>
      <c r="H18" s="45" t="e">
        <f>IF($B18-#REF!&lt;0,0,$B18-#REF!)</f>
        <v>#REF!</v>
      </c>
      <c r="I18" s="45" t="e">
        <f>IF($B18-#REF!&lt;0,0,$B18-#REF!)</f>
        <v>#REF!</v>
      </c>
      <c r="J18" s="45" t="e">
        <f>IF($B18-#REF!&lt;0,0,$B18-#REF!)</f>
        <v>#REF!</v>
      </c>
      <c r="K18" s="45" t="e">
        <f>IF($B18-#REF!&lt;0,0,$B18-#REF!)</f>
        <v>#REF!</v>
      </c>
      <c r="L18" s="45" t="e">
        <f>IF($B18-#REF!&lt;0,0,$B18-#REF!)</f>
        <v>#REF!</v>
      </c>
      <c r="M18" s="45" t="e">
        <f>IF($B18-#REF!&lt;0,0,$B18-#REF!)</f>
        <v>#REF!</v>
      </c>
      <c r="N18" s="45" t="e">
        <f>IF($B18-#REF!&lt;0,0,$B18-#REF!)</f>
        <v>#REF!</v>
      </c>
      <c r="O18" s="45" t="e">
        <f>IF($B18-#REF!&lt;0,0,$B18-#REF!)</f>
        <v>#REF!</v>
      </c>
      <c r="P18" s="45" t="e">
        <f>IF($B18-#REF!&lt;0,0,$B18-#REF!)</f>
        <v>#REF!</v>
      </c>
      <c r="Q18" s="45" t="e">
        <f>IF($B18-#REF!&lt;0,0,$B18-#REF!)</f>
        <v>#REF!</v>
      </c>
      <c r="R18" s="45" t="e">
        <f>IF($B18-#REF!&lt;0,0,$B18-#REF!)</f>
        <v>#REF!</v>
      </c>
      <c r="S18" s="45" t="e">
        <f>IF($B18-#REF!&lt;0,0,$B18-#REF!)</f>
        <v>#REF!</v>
      </c>
      <c r="T18" s="45" t="e">
        <f>IF($B18-#REF!&lt;0,0,$B18-#REF!)</f>
        <v>#REF!</v>
      </c>
      <c r="U18" s="45" t="e">
        <f>IF($B18-#REF!&lt;0,0,$B18-#REF!)</f>
        <v>#REF!</v>
      </c>
      <c r="V18" s="45" t="e">
        <f>IF($B18-#REF!&lt;0,0,$B18-#REF!)</f>
        <v>#REF!</v>
      </c>
      <c r="W18" s="45" t="e">
        <f>IF($B18-#REF!&lt;0,0,$B18-#REF!)</f>
        <v>#REF!</v>
      </c>
      <c r="X18" s="45" t="e">
        <f>IF($B18-#REF!&lt;0,0,$B18-#REF!)</f>
        <v>#REF!</v>
      </c>
      <c r="Y18" s="45" t="e">
        <f>IF($B18-#REF!&lt;0,0,$B18-#REF!)</f>
        <v>#REF!</v>
      </c>
      <c r="Z18" s="45" t="e">
        <f>IF($B18-#REF!&lt;0,0,$B18-#REF!)</f>
        <v>#REF!</v>
      </c>
      <c r="AA18" s="45" t="e">
        <f>IF($B18-#REF!&lt;0,0,$B18-#REF!)</f>
        <v>#REF!</v>
      </c>
      <c r="AB18" s="45" t="e">
        <f>IF($B18-#REF!&lt;0,0,$B18-#REF!)</f>
        <v>#REF!</v>
      </c>
      <c r="AC18" s="45" t="e">
        <f>IF($B18-#REF!&lt;0,0,$B18-#REF!)</f>
        <v>#REF!</v>
      </c>
      <c r="AD18" s="45" t="e">
        <f>IF($B18-#REF!&lt;0,0,$B18-#REF!)</f>
        <v>#REF!</v>
      </c>
      <c r="AE18" s="45" t="e">
        <f>IF($B18-#REF!&lt;0,0,$B18-#REF!)</f>
        <v>#REF!</v>
      </c>
      <c r="AF18" s="45" t="e">
        <f>IF($B18-#REF!&lt;0,0,$B18-#REF!)</f>
        <v>#REF!</v>
      </c>
      <c r="AG18" s="45" t="e">
        <f>IF($B18-#REF!&lt;0,0,$B18-#REF!)</f>
        <v>#REF!</v>
      </c>
      <c r="AH18" s="51">
        <v>38.46</v>
      </c>
      <c r="AI18" s="48" t="e">
        <f t="shared" si="2"/>
        <v>#REF!</v>
      </c>
      <c r="AJ18" s="49" t="e">
        <f t="shared" si="3"/>
        <v>#REF!</v>
      </c>
      <c r="AL18" s="170"/>
      <c r="AM18" s="28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</row>
    <row r="19" spans="1:89" x14ac:dyDescent="0.25">
      <c r="A19" s="44" t="s">
        <v>256</v>
      </c>
      <c r="B19" s="45">
        <v>22</v>
      </c>
      <c r="C19" s="45" t="e">
        <f>IF($B19-#REF!&lt;0,0,$B19-#REF!)</f>
        <v>#REF!</v>
      </c>
      <c r="D19" s="45" t="e">
        <f>IF($B19-#REF!&lt;0,0,$B19-#REF!)</f>
        <v>#REF!</v>
      </c>
      <c r="E19" s="45" t="e">
        <f>IF($B19-#REF!&lt;0,0,$B19-#REF!)</f>
        <v>#REF!</v>
      </c>
      <c r="F19" s="45" t="e">
        <f>IF($B19-#REF!&lt;0,0,$B19-#REF!)</f>
        <v>#REF!</v>
      </c>
      <c r="G19" s="45" t="e">
        <f>IF($B19-#REF!&lt;0,0,$B19-#REF!)</f>
        <v>#REF!</v>
      </c>
      <c r="H19" s="45" t="e">
        <f>IF($B19-#REF!&lt;0,0,$B19-#REF!)</f>
        <v>#REF!</v>
      </c>
      <c r="I19" s="45" t="e">
        <f>IF($B19-#REF!&lt;0,0,$B19-#REF!)</f>
        <v>#REF!</v>
      </c>
      <c r="J19" s="45" t="e">
        <f>IF($B19-#REF!&lt;0,0,$B19-#REF!)</f>
        <v>#REF!</v>
      </c>
      <c r="K19" s="45" t="e">
        <f>IF($B19-#REF!&lt;0,0,$B19-#REF!)</f>
        <v>#REF!</v>
      </c>
      <c r="L19" s="45" t="e">
        <f>IF($B19-#REF!&lt;0,0,$B19-#REF!)</f>
        <v>#REF!</v>
      </c>
      <c r="M19" s="45" t="e">
        <f>IF($B19-#REF!&lt;0,0,$B19-#REF!)</f>
        <v>#REF!</v>
      </c>
      <c r="N19" s="45" t="e">
        <f>IF($B19-#REF!&lt;0,0,$B19-#REF!)</f>
        <v>#REF!</v>
      </c>
      <c r="O19" s="45" t="e">
        <f>IF($B19-#REF!&lt;0,0,$B19-#REF!)</f>
        <v>#REF!</v>
      </c>
      <c r="P19" s="45" t="e">
        <f>IF($B19-#REF!&lt;0,0,$B19-#REF!)</f>
        <v>#REF!</v>
      </c>
      <c r="Q19" s="45" t="e">
        <f>IF($B19-#REF!&lt;0,0,$B19-#REF!)</f>
        <v>#REF!</v>
      </c>
      <c r="R19" s="45" t="e">
        <f>IF($B19-#REF!&lt;0,0,$B19-#REF!)</f>
        <v>#REF!</v>
      </c>
      <c r="S19" s="45" t="e">
        <f>IF($B19-#REF!&lt;0,0,$B19-#REF!)</f>
        <v>#REF!</v>
      </c>
      <c r="T19" s="45" t="e">
        <f>IF($B19-#REF!&lt;0,0,$B19-#REF!)</f>
        <v>#REF!</v>
      </c>
      <c r="U19" s="45" t="e">
        <f>IF($B19-#REF!&lt;0,0,$B19-#REF!)</f>
        <v>#REF!</v>
      </c>
      <c r="V19" s="45" t="e">
        <f>IF($B19-#REF!&lt;0,0,$B19-#REF!)</f>
        <v>#REF!</v>
      </c>
      <c r="W19" s="45" t="e">
        <f>IF($B19-#REF!&lt;0,0,$B19-#REF!)</f>
        <v>#REF!</v>
      </c>
      <c r="X19" s="45" t="e">
        <f>IF($B19-#REF!&lt;0,0,$B19-#REF!)</f>
        <v>#REF!</v>
      </c>
      <c r="Y19" s="45" t="e">
        <f>IF($B19-#REF!&lt;0,0,$B19-#REF!)</f>
        <v>#REF!</v>
      </c>
      <c r="Z19" s="45" t="e">
        <f>IF($B19-#REF!&lt;0,0,$B19-#REF!)</f>
        <v>#REF!</v>
      </c>
      <c r="AA19" s="45" t="e">
        <f>IF($B19-#REF!&lt;0,0,$B19-#REF!)</f>
        <v>#REF!</v>
      </c>
      <c r="AB19" s="45" t="e">
        <f>IF($B19-#REF!&lt;0,0,$B19-#REF!)</f>
        <v>#REF!</v>
      </c>
      <c r="AC19" s="45" t="e">
        <f>IF($B19-#REF!&lt;0,0,$B19-#REF!)</f>
        <v>#REF!</v>
      </c>
      <c r="AD19" s="45" t="e">
        <f>IF($B19-#REF!&lt;0,0,$B19-#REF!)</f>
        <v>#REF!</v>
      </c>
      <c r="AE19" s="45" t="e">
        <f>IF($B19-#REF!&lt;0,0,$B19-#REF!)</f>
        <v>#REF!</v>
      </c>
      <c r="AF19" s="45" t="e">
        <f>IF($B19-#REF!&lt;0,0,$B19-#REF!)</f>
        <v>#REF!</v>
      </c>
      <c r="AG19" s="45" t="e">
        <f>IF($B19-#REF!&lt;0,0,$B19-#REF!)</f>
        <v>#REF!</v>
      </c>
      <c r="AH19" s="51">
        <v>36</v>
      </c>
      <c r="AI19" s="48" t="e">
        <f t="shared" si="2"/>
        <v>#REF!</v>
      </c>
      <c r="AJ19" s="49" t="e">
        <f t="shared" si="3"/>
        <v>#REF!</v>
      </c>
      <c r="AL19" s="170"/>
      <c r="AM19" s="28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</row>
    <row r="20" spans="1:89" x14ac:dyDescent="0.25">
      <c r="A20" s="44" t="s">
        <v>23</v>
      </c>
      <c r="B20" s="45">
        <v>22</v>
      </c>
      <c r="C20" s="45" t="e">
        <f>IF($B20-#REF!&lt;0,0,$B20-#REF!)</f>
        <v>#REF!</v>
      </c>
      <c r="D20" s="45" t="e">
        <f>IF($B20-#REF!&lt;0,0,$B20-#REF!)</f>
        <v>#REF!</v>
      </c>
      <c r="E20" s="45" t="e">
        <f>IF($B20-#REF!&lt;0,0,$B20-#REF!)</f>
        <v>#REF!</v>
      </c>
      <c r="F20" s="45" t="e">
        <f>IF($B20-#REF!&lt;0,0,$B20-#REF!)</f>
        <v>#REF!</v>
      </c>
      <c r="G20" s="45" t="e">
        <f>IF($B20-#REF!&lt;0,0,$B20-#REF!)</f>
        <v>#REF!</v>
      </c>
      <c r="H20" s="45" t="e">
        <f>IF($B20-#REF!&lt;0,0,$B20-#REF!)</f>
        <v>#REF!</v>
      </c>
      <c r="I20" s="45" t="e">
        <f>IF($B20-#REF!&lt;0,0,$B20-#REF!)</f>
        <v>#REF!</v>
      </c>
      <c r="J20" s="45" t="e">
        <f>IF($B20-#REF!&lt;0,0,$B20-#REF!)</f>
        <v>#REF!</v>
      </c>
      <c r="K20" s="45" t="e">
        <f>IF($B20-#REF!&lt;0,0,$B20-#REF!)</f>
        <v>#REF!</v>
      </c>
      <c r="L20" s="45" t="e">
        <f>IF($B20-#REF!&lt;0,0,$B20-#REF!)</f>
        <v>#REF!</v>
      </c>
      <c r="M20" s="45" t="e">
        <f>IF($B20-#REF!&lt;0,0,$B20-#REF!)</f>
        <v>#REF!</v>
      </c>
      <c r="N20" s="45" t="e">
        <f>IF($B20-#REF!&lt;0,0,$B20-#REF!)</f>
        <v>#REF!</v>
      </c>
      <c r="O20" s="45" t="e">
        <f>IF($B20-#REF!&lt;0,0,$B20-#REF!)</f>
        <v>#REF!</v>
      </c>
      <c r="P20" s="45" t="e">
        <f>IF($B20-#REF!&lt;0,0,$B20-#REF!)</f>
        <v>#REF!</v>
      </c>
      <c r="Q20" s="45" t="e">
        <f>IF($B20-#REF!&lt;0,0,$B20-#REF!)</f>
        <v>#REF!</v>
      </c>
      <c r="R20" s="45" t="e">
        <f>IF($B20-#REF!&lt;0,0,$B20-#REF!)</f>
        <v>#REF!</v>
      </c>
      <c r="S20" s="45" t="e">
        <f>IF($B20-#REF!&lt;0,0,$B20-#REF!)</f>
        <v>#REF!</v>
      </c>
      <c r="T20" s="45" t="e">
        <f>IF($B20-#REF!&lt;0,0,$B20-#REF!)</f>
        <v>#REF!</v>
      </c>
      <c r="U20" s="45" t="e">
        <f>IF($B20-#REF!&lt;0,0,$B20-#REF!)</f>
        <v>#REF!</v>
      </c>
      <c r="V20" s="45" t="e">
        <f>IF($B20-#REF!&lt;0,0,$B20-#REF!)</f>
        <v>#REF!</v>
      </c>
      <c r="W20" s="45" t="e">
        <f>IF($B20-#REF!&lt;0,0,$B20-#REF!)</f>
        <v>#REF!</v>
      </c>
      <c r="X20" s="45" t="e">
        <f>IF($B20-#REF!&lt;0,0,$B20-#REF!)</f>
        <v>#REF!</v>
      </c>
      <c r="Y20" s="45" t="e">
        <f>IF($B20-#REF!&lt;0,0,$B20-#REF!)</f>
        <v>#REF!</v>
      </c>
      <c r="Z20" s="45" t="e">
        <f>IF($B20-#REF!&lt;0,0,$B20-#REF!)</f>
        <v>#REF!</v>
      </c>
      <c r="AA20" s="45" t="e">
        <f>IF($B20-#REF!&lt;0,0,$B20-#REF!)</f>
        <v>#REF!</v>
      </c>
      <c r="AB20" s="45" t="e">
        <f>IF($B20-#REF!&lt;0,0,$B20-#REF!)</f>
        <v>#REF!</v>
      </c>
      <c r="AC20" s="45" t="e">
        <f>IF($B20-#REF!&lt;0,0,$B20-#REF!)</f>
        <v>#REF!</v>
      </c>
      <c r="AD20" s="45" t="e">
        <f>IF($B20-#REF!&lt;0,0,$B20-#REF!)</f>
        <v>#REF!</v>
      </c>
      <c r="AE20" s="45" t="e">
        <f>IF($B20-#REF!&lt;0,0,$B20-#REF!)</f>
        <v>#REF!</v>
      </c>
      <c r="AF20" s="45" t="e">
        <f>IF($B20-#REF!&lt;0,0,$B20-#REF!)</f>
        <v>#REF!</v>
      </c>
      <c r="AG20" s="45" t="e">
        <f>IF($B20-#REF!&lt;0,0,$B20-#REF!)</f>
        <v>#REF!</v>
      </c>
      <c r="AH20" s="52">
        <v>30</v>
      </c>
      <c r="AI20" s="48" t="e">
        <f t="shared" si="2"/>
        <v>#REF!</v>
      </c>
      <c r="AJ20" s="49" t="e">
        <f t="shared" si="3"/>
        <v>#REF!</v>
      </c>
      <c r="AL20" s="170"/>
      <c r="AM20" s="28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</row>
    <row r="21" spans="1:89" x14ac:dyDescent="0.25">
      <c r="A21" s="44" t="s">
        <v>24</v>
      </c>
      <c r="B21" s="45">
        <v>18.8</v>
      </c>
      <c r="C21" s="45" t="e">
        <f>IF($B21-#REF!&lt;0,0,$B21-#REF!)</f>
        <v>#REF!</v>
      </c>
      <c r="D21" s="45" t="e">
        <f>IF($B21-#REF!&lt;0,0,$B21-#REF!)</f>
        <v>#REF!</v>
      </c>
      <c r="E21" s="45" t="e">
        <f>IF($B21-#REF!&lt;0,0,$B21-#REF!)</f>
        <v>#REF!</v>
      </c>
      <c r="F21" s="45" t="e">
        <f>IF($B21-#REF!&lt;0,0,$B21-#REF!)</f>
        <v>#REF!</v>
      </c>
      <c r="G21" s="45" t="e">
        <f>IF($B21-#REF!&lt;0,0,$B21-#REF!)</f>
        <v>#REF!</v>
      </c>
      <c r="H21" s="45" t="e">
        <f>IF($B21-#REF!&lt;0,0,$B21-#REF!)</f>
        <v>#REF!</v>
      </c>
      <c r="I21" s="45" t="e">
        <f>IF($B21-#REF!&lt;0,0,$B21-#REF!)</f>
        <v>#REF!</v>
      </c>
      <c r="J21" s="45" t="e">
        <f>IF($B21-#REF!&lt;0,0,$B21-#REF!)</f>
        <v>#REF!</v>
      </c>
      <c r="K21" s="45" t="e">
        <f>IF($B21-#REF!&lt;0,0,$B21-#REF!)</f>
        <v>#REF!</v>
      </c>
      <c r="L21" s="45" t="e">
        <f>IF($B21-#REF!&lt;0,0,$B21-#REF!)</f>
        <v>#REF!</v>
      </c>
      <c r="M21" s="45" t="e">
        <f>IF($B21-#REF!&lt;0,0,$B21-#REF!)</f>
        <v>#REF!</v>
      </c>
      <c r="N21" s="45" t="e">
        <f>IF($B21-#REF!&lt;0,0,$B21-#REF!)</f>
        <v>#REF!</v>
      </c>
      <c r="O21" s="45" t="e">
        <f>IF($B21-#REF!&lt;0,0,$B21-#REF!)</f>
        <v>#REF!</v>
      </c>
      <c r="P21" s="45" t="e">
        <f>IF($B21-#REF!&lt;0,0,$B21-#REF!)</f>
        <v>#REF!</v>
      </c>
      <c r="Q21" s="45" t="e">
        <f>IF($B21-#REF!&lt;0,0,$B21-#REF!)</f>
        <v>#REF!</v>
      </c>
      <c r="R21" s="45" t="e">
        <f>IF($B21-#REF!&lt;0,0,$B21-#REF!)</f>
        <v>#REF!</v>
      </c>
      <c r="S21" s="45" t="e">
        <f>IF($B21-#REF!&lt;0,0,$B21-#REF!)</f>
        <v>#REF!</v>
      </c>
      <c r="T21" s="45" t="e">
        <f>IF($B21-#REF!&lt;0,0,$B21-#REF!)</f>
        <v>#REF!</v>
      </c>
      <c r="U21" s="45" t="e">
        <f>IF($B21-#REF!&lt;0,0,$B21-#REF!)</f>
        <v>#REF!</v>
      </c>
      <c r="V21" s="45" t="e">
        <f>IF($B21-#REF!&lt;0,0,$B21-#REF!)</f>
        <v>#REF!</v>
      </c>
      <c r="W21" s="45" t="e">
        <f>IF($B21-#REF!&lt;0,0,$B21-#REF!)</f>
        <v>#REF!</v>
      </c>
      <c r="X21" s="45" t="e">
        <f>IF($B21-#REF!&lt;0,0,$B21-#REF!)</f>
        <v>#REF!</v>
      </c>
      <c r="Y21" s="45" t="e">
        <f>IF($B21-#REF!&lt;0,0,$B21-#REF!)</f>
        <v>#REF!</v>
      </c>
      <c r="Z21" s="45" t="e">
        <f>IF($B21-#REF!&lt;0,0,$B21-#REF!)</f>
        <v>#REF!</v>
      </c>
      <c r="AA21" s="45" t="e">
        <f>IF($B21-#REF!&lt;0,0,$B21-#REF!)</f>
        <v>#REF!</v>
      </c>
      <c r="AB21" s="45" t="e">
        <f>IF($B21-#REF!&lt;0,0,$B21-#REF!)</f>
        <v>#REF!</v>
      </c>
      <c r="AC21" s="45" t="e">
        <f>IF($B21-#REF!&lt;0,0,$B21-#REF!)</f>
        <v>#REF!</v>
      </c>
      <c r="AD21" s="45" t="e">
        <f>IF($B21-#REF!&lt;0,0,$B21-#REF!)</f>
        <v>#REF!</v>
      </c>
      <c r="AE21" s="45" t="e">
        <f>IF($B21-#REF!&lt;0,0,$B21-#REF!)</f>
        <v>#REF!</v>
      </c>
      <c r="AF21" s="45" t="e">
        <f>IF($B21-#REF!&lt;0,0,$B21-#REF!)</f>
        <v>#REF!</v>
      </c>
      <c r="AG21" s="45" t="e">
        <f>IF($B21-#REF!&lt;0,0,$B21-#REF!)</f>
        <v>#REF!</v>
      </c>
      <c r="AH21" s="51">
        <v>24.2</v>
      </c>
      <c r="AI21" s="48" t="e">
        <f t="shared" si="2"/>
        <v>#REF!</v>
      </c>
      <c r="AJ21" s="49" t="e">
        <f t="shared" si="3"/>
        <v>#REF!</v>
      </c>
      <c r="AL21" s="170"/>
      <c r="AM21" s="28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</row>
    <row r="22" spans="1:89" x14ac:dyDescent="0.25">
      <c r="A22" s="44" t="s">
        <v>257</v>
      </c>
      <c r="B22" s="45">
        <v>20</v>
      </c>
      <c r="C22" s="45" t="e">
        <f>IF($B22-#REF!&lt;0,0,$B22-#REF!)</f>
        <v>#REF!</v>
      </c>
      <c r="D22" s="45" t="e">
        <f>IF($B22-#REF!&lt;0,0,$B22-#REF!)</f>
        <v>#REF!</v>
      </c>
      <c r="E22" s="45" t="e">
        <f>IF($B22-#REF!&lt;0,0,$B22-#REF!)</f>
        <v>#REF!</v>
      </c>
      <c r="F22" s="45" t="e">
        <f>IF($B22-#REF!&lt;0,0,$B22-#REF!)</f>
        <v>#REF!</v>
      </c>
      <c r="G22" s="45" t="e">
        <f>IF($B22-#REF!&lt;0,0,$B22-#REF!)</f>
        <v>#REF!</v>
      </c>
      <c r="H22" s="45" t="e">
        <f>IF($B22-#REF!&lt;0,0,$B22-#REF!)</f>
        <v>#REF!</v>
      </c>
      <c r="I22" s="45" t="e">
        <f>IF($B22-#REF!&lt;0,0,$B22-#REF!)</f>
        <v>#REF!</v>
      </c>
      <c r="J22" s="45" t="e">
        <f>IF($B22-#REF!&lt;0,0,$B22-#REF!)</f>
        <v>#REF!</v>
      </c>
      <c r="K22" s="45" t="e">
        <f>IF($B22-#REF!&lt;0,0,$B22-#REF!)</f>
        <v>#REF!</v>
      </c>
      <c r="L22" s="45" t="e">
        <f>IF($B22-#REF!&lt;0,0,$B22-#REF!)</f>
        <v>#REF!</v>
      </c>
      <c r="M22" s="45" t="e">
        <f>IF($B22-#REF!&lt;0,0,$B22-#REF!)</f>
        <v>#REF!</v>
      </c>
      <c r="N22" s="45" t="e">
        <f>IF($B22-#REF!&lt;0,0,$B22-#REF!)</f>
        <v>#REF!</v>
      </c>
      <c r="O22" s="45" t="e">
        <f>IF($B22-#REF!&lt;0,0,$B22-#REF!)</f>
        <v>#REF!</v>
      </c>
      <c r="P22" s="45" t="e">
        <f>IF($B22-#REF!&lt;0,0,$B22-#REF!)</f>
        <v>#REF!</v>
      </c>
      <c r="Q22" s="45" t="e">
        <f>IF($B22-#REF!&lt;0,0,$B22-#REF!)</f>
        <v>#REF!</v>
      </c>
      <c r="R22" s="45" t="e">
        <f>IF($B22-#REF!&lt;0,0,$B22-#REF!)</f>
        <v>#REF!</v>
      </c>
      <c r="S22" s="45" t="e">
        <f>IF($B22-#REF!&lt;0,0,$B22-#REF!)</f>
        <v>#REF!</v>
      </c>
      <c r="T22" s="45" t="e">
        <f>IF($B22-#REF!&lt;0,0,$B22-#REF!)</f>
        <v>#REF!</v>
      </c>
      <c r="U22" s="45" t="e">
        <f>IF($B22-#REF!&lt;0,0,$B22-#REF!)</f>
        <v>#REF!</v>
      </c>
      <c r="V22" s="45" t="e">
        <f>IF($B22-#REF!&lt;0,0,$B22-#REF!)</f>
        <v>#REF!</v>
      </c>
      <c r="W22" s="45" t="e">
        <f>IF($B22-#REF!&lt;0,0,$B22-#REF!)</f>
        <v>#REF!</v>
      </c>
      <c r="X22" s="45" t="e">
        <f>IF($B22-#REF!&lt;0,0,$B22-#REF!)</f>
        <v>#REF!</v>
      </c>
      <c r="Y22" s="45" t="e">
        <f>IF($B22-#REF!&lt;0,0,$B22-#REF!)</f>
        <v>#REF!</v>
      </c>
      <c r="Z22" s="45" t="e">
        <f>IF($B22-#REF!&lt;0,0,$B22-#REF!)</f>
        <v>#REF!</v>
      </c>
      <c r="AA22" s="45" t="e">
        <f>IF($B22-#REF!&lt;0,0,$B22-#REF!)</f>
        <v>#REF!</v>
      </c>
      <c r="AB22" s="45" t="e">
        <f>IF($B22-#REF!&lt;0,0,$B22-#REF!)</f>
        <v>#REF!</v>
      </c>
      <c r="AC22" s="45" t="e">
        <f>IF($B22-#REF!&lt;0,0,$B22-#REF!)</f>
        <v>#REF!</v>
      </c>
      <c r="AD22" s="45" t="e">
        <f>IF($B22-#REF!&lt;0,0,$B22-#REF!)</f>
        <v>#REF!</v>
      </c>
      <c r="AE22" s="45" t="e">
        <f>IF($B22-#REF!&lt;0,0,$B22-#REF!)</f>
        <v>#REF!</v>
      </c>
      <c r="AF22" s="45" t="e">
        <f>IF($B22-#REF!&lt;0,0,$B22-#REF!)</f>
        <v>#REF!</v>
      </c>
      <c r="AG22" s="45" t="e">
        <f>IF($B22-#REF!&lt;0,0,$B22-#REF!)</f>
        <v>#REF!</v>
      </c>
      <c r="AH22" s="51">
        <v>28</v>
      </c>
      <c r="AI22" s="48" t="e">
        <f t="shared" si="2"/>
        <v>#REF!</v>
      </c>
      <c r="AJ22" s="49" t="e">
        <f t="shared" si="3"/>
        <v>#REF!</v>
      </c>
      <c r="AL22" s="170"/>
      <c r="AM22" s="28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</row>
    <row r="23" spans="1:89" x14ac:dyDescent="0.25">
      <c r="A23" s="44" t="s">
        <v>25</v>
      </c>
      <c r="B23" s="45">
        <v>23</v>
      </c>
      <c r="C23" s="45" t="e">
        <f>IF($B23-#REF!&lt;0,0,$B23-#REF!)</f>
        <v>#REF!</v>
      </c>
      <c r="D23" s="45" t="e">
        <f>IF($B23-#REF!&lt;0,0,$B23-#REF!)</f>
        <v>#REF!</v>
      </c>
      <c r="E23" s="45" t="e">
        <f>IF($B23-#REF!&lt;0,0,$B23-#REF!)</f>
        <v>#REF!</v>
      </c>
      <c r="F23" s="45" t="e">
        <f>IF($B23-#REF!&lt;0,0,$B23-#REF!)</f>
        <v>#REF!</v>
      </c>
      <c r="G23" s="45" t="e">
        <f>IF($B23-#REF!&lt;0,0,$B23-#REF!)</f>
        <v>#REF!</v>
      </c>
      <c r="H23" s="45" t="e">
        <f>IF($B23-#REF!&lt;0,0,$B23-#REF!)</f>
        <v>#REF!</v>
      </c>
      <c r="I23" s="45" t="e">
        <f>IF($B23-#REF!&lt;0,0,$B23-#REF!)</f>
        <v>#REF!</v>
      </c>
      <c r="J23" s="45" t="e">
        <f>IF($B23-#REF!&lt;0,0,$B23-#REF!)</f>
        <v>#REF!</v>
      </c>
      <c r="K23" s="45" t="e">
        <f>IF($B23-#REF!&lt;0,0,$B23-#REF!)</f>
        <v>#REF!</v>
      </c>
      <c r="L23" s="45" t="e">
        <f>IF($B23-#REF!&lt;0,0,$B23-#REF!)</f>
        <v>#REF!</v>
      </c>
      <c r="M23" s="45" t="e">
        <f>IF($B23-#REF!&lt;0,0,$B23-#REF!)</f>
        <v>#REF!</v>
      </c>
      <c r="N23" s="45" t="e">
        <f>IF($B23-#REF!&lt;0,0,$B23-#REF!)</f>
        <v>#REF!</v>
      </c>
      <c r="O23" s="45" t="e">
        <f>IF($B23-#REF!&lt;0,0,$B23-#REF!)</f>
        <v>#REF!</v>
      </c>
      <c r="P23" s="45" t="e">
        <f>IF($B23-#REF!&lt;0,0,$B23-#REF!)</f>
        <v>#REF!</v>
      </c>
      <c r="Q23" s="45" t="e">
        <f>IF($B23-#REF!&lt;0,0,$B23-#REF!)</f>
        <v>#REF!</v>
      </c>
      <c r="R23" s="45" t="e">
        <f>IF($B23-#REF!&lt;0,0,$B23-#REF!)</f>
        <v>#REF!</v>
      </c>
      <c r="S23" s="45" t="e">
        <f>IF($B23-#REF!&lt;0,0,$B23-#REF!)</f>
        <v>#REF!</v>
      </c>
      <c r="T23" s="45" t="e">
        <f>IF($B23-#REF!&lt;0,0,$B23-#REF!)</f>
        <v>#REF!</v>
      </c>
      <c r="U23" s="45" t="e">
        <f>IF($B23-#REF!&lt;0,0,$B23-#REF!)</f>
        <v>#REF!</v>
      </c>
      <c r="V23" s="45" t="e">
        <f>IF($B23-#REF!&lt;0,0,$B23-#REF!)</f>
        <v>#REF!</v>
      </c>
      <c r="W23" s="45" t="e">
        <f>IF($B23-#REF!&lt;0,0,$B23-#REF!)</f>
        <v>#REF!</v>
      </c>
      <c r="X23" s="45" t="e">
        <f>IF($B23-#REF!&lt;0,0,$B23-#REF!)</f>
        <v>#REF!</v>
      </c>
      <c r="Y23" s="45" t="e">
        <f>IF($B23-#REF!&lt;0,0,$B23-#REF!)</f>
        <v>#REF!</v>
      </c>
      <c r="Z23" s="45" t="e">
        <f>IF($B23-#REF!&lt;0,0,$B23-#REF!)</f>
        <v>#REF!</v>
      </c>
      <c r="AA23" s="45" t="e">
        <f>IF($B23-#REF!&lt;0,0,$B23-#REF!)</f>
        <v>#REF!</v>
      </c>
      <c r="AB23" s="45" t="e">
        <f>IF($B23-#REF!&lt;0,0,$B23-#REF!)</f>
        <v>#REF!</v>
      </c>
      <c r="AC23" s="45" t="e">
        <f>IF($B23-#REF!&lt;0,0,$B23-#REF!)</f>
        <v>#REF!</v>
      </c>
      <c r="AD23" s="45" t="e">
        <f>IF($B23-#REF!&lt;0,0,$B23-#REF!)</f>
        <v>#REF!</v>
      </c>
      <c r="AE23" s="45" t="e">
        <f>IF($B23-#REF!&lt;0,0,$B23-#REF!)</f>
        <v>#REF!</v>
      </c>
      <c r="AF23" s="45" t="e">
        <f>IF($B23-#REF!&lt;0,0,$B23-#REF!)</f>
        <v>#REF!</v>
      </c>
      <c r="AG23" s="45" t="e">
        <f>IF($B23-#REF!&lt;0,0,$B23-#REF!)</f>
        <v>#REF!</v>
      </c>
      <c r="AH23" s="52">
        <v>30</v>
      </c>
      <c r="AI23" s="48" t="e">
        <f t="shared" si="2"/>
        <v>#REF!</v>
      </c>
      <c r="AJ23" s="49" t="e">
        <f t="shared" si="3"/>
        <v>#REF!</v>
      </c>
      <c r="AL23" s="170"/>
      <c r="AM23" s="28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</row>
    <row r="24" spans="1:89" x14ac:dyDescent="0.25">
      <c r="A24" s="44" t="s">
        <v>26</v>
      </c>
      <c r="B24" s="45">
        <v>22.3</v>
      </c>
      <c r="C24" s="45" t="e">
        <f>IF($B24-#REF!&lt;0,0,$B24-#REF!)</f>
        <v>#REF!</v>
      </c>
      <c r="D24" s="45" t="e">
        <f>IF($B24-#REF!&lt;0,0,$B24-#REF!)</f>
        <v>#REF!</v>
      </c>
      <c r="E24" s="45" t="e">
        <f>IF($B24-#REF!&lt;0,0,$B24-#REF!)</f>
        <v>#REF!</v>
      </c>
      <c r="F24" s="45" t="e">
        <f>IF($B24-#REF!&lt;0,0,$B24-#REF!)</f>
        <v>#REF!</v>
      </c>
      <c r="G24" s="45" t="e">
        <f>IF($B24-#REF!&lt;0,0,$B24-#REF!)</f>
        <v>#REF!</v>
      </c>
      <c r="H24" s="45" t="e">
        <f>IF($B24-#REF!&lt;0,0,$B24-#REF!)</f>
        <v>#REF!</v>
      </c>
      <c r="I24" s="45" t="e">
        <f>IF($B24-#REF!&lt;0,0,$B24-#REF!)</f>
        <v>#REF!</v>
      </c>
      <c r="J24" s="45" t="e">
        <f>IF($B24-#REF!&lt;0,0,$B24-#REF!)</f>
        <v>#REF!</v>
      </c>
      <c r="K24" s="45" t="e">
        <f>IF($B24-#REF!&lt;0,0,$B24-#REF!)</f>
        <v>#REF!</v>
      </c>
      <c r="L24" s="45" t="e">
        <f>IF($B24-#REF!&lt;0,0,$B24-#REF!)</f>
        <v>#REF!</v>
      </c>
      <c r="M24" s="45" t="e">
        <f>IF($B24-#REF!&lt;0,0,$B24-#REF!)</f>
        <v>#REF!</v>
      </c>
      <c r="N24" s="45" t="e">
        <f>IF($B24-#REF!&lt;0,0,$B24-#REF!)</f>
        <v>#REF!</v>
      </c>
      <c r="O24" s="45" t="e">
        <f>IF($B24-#REF!&lt;0,0,$B24-#REF!)</f>
        <v>#REF!</v>
      </c>
      <c r="P24" s="45" t="e">
        <f>IF($B24-#REF!&lt;0,0,$B24-#REF!)</f>
        <v>#REF!</v>
      </c>
      <c r="Q24" s="45" t="e">
        <f>IF($B24-#REF!&lt;0,0,$B24-#REF!)</f>
        <v>#REF!</v>
      </c>
      <c r="R24" s="45" t="e">
        <f>IF($B24-#REF!&lt;0,0,$B24-#REF!)</f>
        <v>#REF!</v>
      </c>
      <c r="S24" s="45" t="e">
        <f>IF($B24-#REF!&lt;0,0,$B24-#REF!)</f>
        <v>#REF!</v>
      </c>
      <c r="T24" s="45" t="e">
        <f>IF($B24-#REF!&lt;0,0,$B24-#REF!)</f>
        <v>#REF!</v>
      </c>
      <c r="U24" s="45" t="e">
        <f>IF($B24-#REF!&lt;0,0,$B24-#REF!)</f>
        <v>#REF!</v>
      </c>
      <c r="V24" s="45" t="e">
        <f>IF($B24-#REF!&lt;0,0,$B24-#REF!)</f>
        <v>#REF!</v>
      </c>
      <c r="W24" s="45" t="e">
        <f>IF($B24-#REF!&lt;0,0,$B24-#REF!)</f>
        <v>#REF!</v>
      </c>
      <c r="X24" s="45" t="e">
        <f>IF($B24-#REF!&lt;0,0,$B24-#REF!)</f>
        <v>#REF!</v>
      </c>
      <c r="Y24" s="45" t="e">
        <f>IF($B24-#REF!&lt;0,0,$B24-#REF!)</f>
        <v>#REF!</v>
      </c>
      <c r="Z24" s="45" t="e">
        <f>IF($B24-#REF!&lt;0,0,$B24-#REF!)</f>
        <v>#REF!</v>
      </c>
      <c r="AA24" s="45" t="e">
        <f>IF($B24-#REF!&lt;0,0,$B24-#REF!)</f>
        <v>#REF!</v>
      </c>
      <c r="AB24" s="45" t="e">
        <f>IF($B24-#REF!&lt;0,0,$B24-#REF!)</f>
        <v>#REF!</v>
      </c>
      <c r="AC24" s="45" t="e">
        <f>IF($B24-#REF!&lt;0,0,$B24-#REF!)</f>
        <v>#REF!</v>
      </c>
      <c r="AD24" s="45" t="e">
        <f>IF($B24-#REF!&lt;0,0,$B24-#REF!)</f>
        <v>#REF!</v>
      </c>
      <c r="AE24" s="45" t="e">
        <f>IF($B24-#REF!&lt;0,0,$B24-#REF!)</f>
        <v>#REF!</v>
      </c>
      <c r="AF24" s="45" t="e">
        <f>IF($B24-#REF!&lt;0,0,$B24-#REF!)</f>
        <v>#REF!</v>
      </c>
      <c r="AG24" s="45" t="e">
        <f>IF($B24-#REF!&lt;0,0,$B24-#REF!)</f>
        <v>#REF!</v>
      </c>
      <c r="AH24" s="51">
        <v>25</v>
      </c>
      <c r="AI24" s="48" t="e">
        <f t="shared" si="2"/>
        <v>#REF!</v>
      </c>
      <c r="AJ24" s="49" t="e">
        <f t="shared" si="3"/>
        <v>#REF!</v>
      </c>
      <c r="AL24" s="170"/>
      <c r="AM24" s="28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</row>
    <row r="25" spans="1:89" x14ac:dyDescent="0.25">
      <c r="A25" s="44" t="s">
        <v>27</v>
      </c>
      <c r="B25" s="45">
        <v>0</v>
      </c>
      <c r="C25" s="45" t="e">
        <f>IF($B25-#REF!&lt;0,0,$B25-#REF!)</f>
        <v>#REF!</v>
      </c>
      <c r="D25" s="45" t="e">
        <f>IF($B25-#REF!&lt;0,0,$B25-#REF!)</f>
        <v>#REF!</v>
      </c>
      <c r="E25" s="45" t="e">
        <f>IF($B25-#REF!&lt;0,0,$B25-#REF!)</f>
        <v>#REF!</v>
      </c>
      <c r="F25" s="45" t="e">
        <f>IF($B25-#REF!&lt;0,0,$B25-#REF!)</f>
        <v>#REF!</v>
      </c>
      <c r="G25" s="45" t="e">
        <f>IF($B25-#REF!&lt;0,0,$B25-#REF!)</f>
        <v>#REF!</v>
      </c>
      <c r="H25" s="45" t="e">
        <f>IF($B25-#REF!&lt;0,0,$B25-#REF!)</f>
        <v>#REF!</v>
      </c>
      <c r="I25" s="45" t="e">
        <f>IF($B25-#REF!&lt;0,0,$B25-#REF!)</f>
        <v>#REF!</v>
      </c>
      <c r="J25" s="45" t="e">
        <f>IF($B25-#REF!&lt;0,0,$B25-#REF!)</f>
        <v>#REF!</v>
      </c>
      <c r="K25" s="45" t="e">
        <f>IF($B25-#REF!&lt;0,0,$B25-#REF!)</f>
        <v>#REF!</v>
      </c>
      <c r="L25" s="45" t="e">
        <f>IF($B25-#REF!&lt;0,0,$B25-#REF!)</f>
        <v>#REF!</v>
      </c>
      <c r="M25" s="45" t="e">
        <f>IF($B25-#REF!&lt;0,0,$B25-#REF!)</f>
        <v>#REF!</v>
      </c>
      <c r="N25" s="45" t="e">
        <f>IF($B25-#REF!&lt;0,0,$B25-#REF!)</f>
        <v>#REF!</v>
      </c>
      <c r="O25" s="45" t="e">
        <f>IF($B25-#REF!&lt;0,0,$B25-#REF!)</f>
        <v>#REF!</v>
      </c>
      <c r="P25" s="45" t="e">
        <f>IF($B25-#REF!&lt;0,0,$B25-#REF!)</f>
        <v>#REF!</v>
      </c>
      <c r="Q25" s="45" t="e">
        <f>IF($B25-#REF!&lt;0,0,$B25-#REF!)</f>
        <v>#REF!</v>
      </c>
      <c r="R25" s="45" t="e">
        <f>IF($B25-#REF!&lt;0,0,$B25-#REF!)</f>
        <v>#REF!</v>
      </c>
      <c r="S25" s="45" t="e">
        <f>IF($B25-#REF!&lt;0,0,$B25-#REF!)</f>
        <v>#REF!</v>
      </c>
      <c r="T25" s="45" t="e">
        <f>IF($B25-#REF!&lt;0,0,$B25-#REF!)</f>
        <v>#REF!</v>
      </c>
      <c r="U25" s="45" t="e">
        <f>IF($B25-#REF!&lt;0,0,$B25-#REF!)</f>
        <v>#REF!</v>
      </c>
      <c r="V25" s="45" t="e">
        <f>IF($B25-#REF!&lt;0,0,$B25-#REF!)</f>
        <v>#REF!</v>
      </c>
      <c r="W25" s="45" t="e">
        <f>IF($B25-#REF!&lt;0,0,$B25-#REF!)</f>
        <v>#REF!</v>
      </c>
      <c r="X25" s="45" t="e">
        <f>IF($B25-#REF!&lt;0,0,$B25-#REF!)</f>
        <v>#REF!</v>
      </c>
      <c r="Y25" s="45" t="e">
        <f>IF($B25-#REF!&lt;0,0,$B25-#REF!)</f>
        <v>#REF!</v>
      </c>
      <c r="Z25" s="45" t="e">
        <f>IF($B25-#REF!&lt;0,0,$B25-#REF!)</f>
        <v>#REF!</v>
      </c>
      <c r="AA25" s="45" t="e">
        <f>IF($B25-#REF!&lt;0,0,$B25-#REF!)</f>
        <v>#REF!</v>
      </c>
      <c r="AB25" s="45" t="e">
        <f>IF($B25-#REF!&lt;0,0,$B25-#REF!)</f>
        <v>#REF!</v>
      </c>
      <c r="AC25" s="45" t="e">
        <f>IF($B25-#REF!&lt;0,0,$B25-#REF!)</f>
        <v>#REF!</v>
      </c>
      <c r="AD25" s="45" t="e">
        <f>IF($B25-#REF!&lt;0,0,$B25-#REF!)</f>
        <v>#REF!</v>
      </c>
      <c r="AE25" s="45" t="e">
        <f>IF($B25-#REF!&lt;0,0,$B25-#REF!)</f>
        <v>#REF!</v>
      </c>
      <c r="AF25" s="45" t="e">
        <f>IF($B25-#REF!&lt;0,0,$B25-#REF!)</f>
        <v>#REF!</v>
      </c>
      <c r="AG25" s="45" t="e">
        <f>IF($B25-#REF!&lt;0,0,$B25-#REF!)</f>
        <v>#REF!</v>
      </c>
      <c r="AH25" s="51">
        <v>25</v>
      </c>
      <c r="AI25" s="48" t="e">
        <f t="shared" si="2"/>
        <v>#REF!</v>
      </c>
      <c r="AJ25" s="49" t="e">
        <f t="shared" si="3"/>
        <v>#REF!</v>
      </c>
      <c r="AL25" s="170"/>
      <c r="AM25" s="28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</row>
    <row r="26" spans="1:89" x14ac:dyDescent="0.25">
      <c r="A26" s="44" t="s">
        <v>28</v>
      </c>
      <c r="B26" s="45">
        <v>19</v>
      </c>
      <c r="C26" s="45" t="e">
        <f>IF($B26-#REF!&lt;0,0,$B26-#REF!)</f>
        <v>#REF!</v>
      </c>
      <c r="D26" s="45" t="e">
        <f>IF($B26-#REF!&lt;0,0,$B26-#REF!)</f>
        <v>#REF!</v>
      </c>
      <c r="E26" s="45" t="e">
        <f>IF($B26-#REF!&lt;0,0,$B26-#REF!)</f>
        <v>#REF!</v>
      </c>
      <c r="F26" s="45" t="e">
        <f>IF($B26-#REF!&lt;0,0,$B26-#REF!)</f>
        <v>#REF!</v>
      </c>
      <c r="G26" s="45" t="e">
        <f>IF($B26-#REF!&lt;0,0,$B26-#REF!)</f>
        <v>#REF!</v>
      </c>
      <c r="H26" s="45" t="e">
        <f>IF($B26-#REF!&lt;0,0,$B26-#REF!)</f>
        <v>#REF!</v>
      </c>
      <c r="I26" s="45" t="e">
        <f>IF($B26-#REF!&lt;0,0,$B26-#REF!)</f>
        <v>#REF!</v>
      </c>
      <c r="J26" s="45" t="e">
        <f>IF($B26-#REF!&lt;0,0,$B26-#REF!)</f>
        <v>#REF!</v>
      </c>
      <c r="K26" s="45" t="e">
        <f>IF($B26-#REF!&lt;0,0,$B26-#REF!)</f>
        <v>#REF!</v>
      </c>
      <c r="L26" s="45" t="e">
        <f>IF($B26-#REF!&lt;0,0,$B26-#REF!)</f>
        <v>#REF!</v>
      </c>
      <c r="M26" s="45" t="e">
        <f>IF($B26-#REF!&lt;0,0,$B26-#REF!)</f>
        <v>#REF!</v>
      </c>
      <c r="N26" s="45" t="e">
        <f>IF($B26-#REF!&lt;0,0,$B26-#REF!)</f>
        <v>#REF!</v>
      </c>
      <c r="O26" s="45" t="e">
        <f>IF($B26-#REF!&lt;0,0,$B26-#REF!)</f>
        <v>#REF!</v>
      </c>
      <c r="P26" s="45" t="e">
        <f>IF($B26-#REF!&lt;0,0,$B26-#REF!)</f>
        <v>#REF!</v>
      </c>
      <c r="Q26" s="45" t="e">
        <f>IF($B26-#REF!&lt;0,0,$B26-#REF!)</f>
        <v>#REF!</v>
      </c>
      <c r="R26" s="45" t="e">
        <f>IF($B26-#REF!&lt;0,0,$B26-#REF!)</f>
        <v>#REF!</v>
      </c>
      <c r="S26" s="45" t="e">
        <f>IF($B26-#REF!&lt;0,0,$B26-#REF!)</f>
        <v>#REF!</v>
      </c>
      <c r="T26" s="45" t="e">
        <f>IF($B26-#REF!&lt;0,0,$B26-#REF!)</f>
        <v>#REF!</v>
      </c>
      <c r="U26" s="45" t="e">
        <f>IF($B26-#REF!&lt;0,0,$B26-#REF!)</f>
        <v>#REF!</v>
      </c>
      <c r="V26" s="45" t="e">
        <f>IF($B26-#REF!&lt;0,0,$B26-#REF!)</f>
        <v>#REF!</v>
      </c>
      <c r="W26" s="45" t="e">
        <f>IF($B26-#REF!&lt;0,0,$B26-#REF!)</f>
        <v>#REF!</v>
      </c>
      <c r="X26" s="45" t="e">
        <f>IF($B26-#REF!&lt;0,0,$B26-#REF!)</f>
        <v>#REF!</v>
      </c>
      <c r="Y26" s="45" t="e">
        <f>IF($B26-#REF!&lt;0,0,$B26-#REF!)</f>
        <v>#REF!</v>
      </c>
      <c r="Z26" s="45" t="e">
        <f>IF($B26-#REF!&lt;0,0,$B26-#REF!)</f>
        <v>#REF!</v>
      </c>
      <c r="AA26" s="45" t="e">
        <f>IF($B26-#REF!&lt;0,0,$B26-#REF!)</f>
        <v>#REF!</v>
      </c>
      <c r="AB26" s="45" t="e">
        <f>IF($B26-#REF!&lt;0,0,$B26-#REF!)</f>
        <v>#REF!</v>
      </c>
      <c r="AC26" s="45" t="e">
        <f>IF($B26-#REF!&lt;0,0,$B26-#REF!)</f>
        <v>#REF!</v>
      </c>
      <c r="AD26" s="45" t="e">
        <f>IF($B26-#REF!&lt;0,0,$B26-#REF!)</f>
        <v>#REF!</v>
      </c>
      <c r="AE26" s="45" t="e">
        <f>IF($B26-#REF!&lt;0,0,$B26-#REF!)</f>
        <v>#REF!</v>
      </c>
      <c r="AF26" s="45" t="e">
        <f>IF($B26-#REF!&lt;0,0,$B26-#REF!)</f>
        <v>#REF!</v>
      </c>
      <c r="AG26" s="45" t="e">
        <f>IF($B26-#REF!&lt;0,0,$B26-#REF!)</f>
        <v>#REF!</v>
      </c>
      <c r="AH26" s="51">
        <v>25</v>
      </c>
      <c r="AI26" s="48" t="e">
        <f t="shared" si="2"/>
        <v>#REF!</v>
      </c>
      <c r="AJ26" s="49" t="e">
        <f t="shared" si="3"/>
        <v>#REF!</v>
      </c>
      <c r="AL26" s="170"/>
      <c r="AM26" s="28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</row>
    <row r="27" spans="1:89" x14ac:dyDescent="0.25">
      <c r="A27" s="44" t="s">
        <v>258</v>
      </c>
      <c r="B27" s="45">
        <v>22</v>
      </c>
      <c r="C27" s="45" t="e">
        <f>IF($B27-#REF!&lt;0,0,$B27-#REF!)</f>
        <v>#REF!</v>
      </c>
      <c r="D27" s="45" t="e">
        <f>IF($B27-#REF!&lt;0,0,$B27-#REF!)</f>
        <v>#REF!</v>
      </c>
      <c r="E27" s="45" t="e">
        <f>IF($B27-#REF!&lt;0,0,$B27-#REF!)</f>
        <v>#REF!</v>
      </c>
      <c r="F27" s="45" t="e">
        <f>IF($B27-#REF!&lt;0,0,$B27-#REF!)</f>
        <v>#REF!</v>
      </c>
      <c r="G27" s="45" t="e">
        <f>IF($B27-#REF!&lt;0,0,$B27-#REF!)</f>
        <v>#REF!</v>
      </c>
      <c r="H27" s="45" t="e">
        <f>IF($B27-#REF!&lt;0,0,$B27-#REF!)</f>
        <v>#REF!</v>
      </c>
      <c r="I27" s="45" t="e">
        <f>IF($B27-#REF!&lt;0,0,$B27-#REF!)</f>
        <v>#REF!</v>
      </c>
      <c r="J27" s="45" t="e">
        <f>IF($B27-#REF!&lt;0,0,$B27-#REF!)</f>
        <v>#REF!</v>
      </c>
      <c r="K27" s="45" t="e">
        <f>IF($B27-#REF!&lt;0,0,$B27-#REF!)</f>
        <v>#REF!</v>
      </c>
      <c r="L27" s="45" t="e">
        <f>IF($B27-#REF!&lt;0,0,$B27-#REF!)</f>
        <v>#REF!</v>
      </c>
      <c r="M27" s="45" t="e">
        <f>IF($B27-#REF!&lt;0,0,$B27-#REF!)</f>
        <v>#REF!</v>
      </c>
      <c r="N27" s="45" t="e">
        <f>IF($B27-#REF!&lt;0,0,$B27-#REF!)</f>
        <v>#REF!</v>
      </c>
      <c r="O27" s="45" t="e">
        <f>IF($B27-#REF!&lt;0,0,$B27-#REF!)</f>
        <v>#REF!</v>
      </c>
      <c r="P27" s="45" t="e">
        <f>IF($B27-#REF!&lt;0,0,$B27-#REF!)</f>
        <v>#REF!</v>
      </c>
      <c r="Q27" s="45" t="e">
        <f>IF($B27-#REF!&lt;0,0,$B27-#REF!)</f>
        <v>#REF!</v>
      </c>
      <c r="R27" s="45" t="e">
        <f>IF($B27-#REF!&lt;0,0,$B27-#REF!)</f>
        <v>#REF!</v>
      </c>
      <c r="S27" s="45" t="e">
        <f>IF($B27-#REF!&lt;0,0,$B27-#REF!)</f>
        <v>#REF!</v>
      </c>
      <c r="T27" s="45" t="e">
        <f>IF($B27-#REF!&lt;0,0,$B27-#REF!)</f>
        <v>#REF!</v>
      </c>
      <c r="U27" s="45" t="e">
        <f>IF($B27-#REF!&lt;0,0,$B27-#REF!)</f>
        <v>#REF!</v>
      </c>
      <c r="V27" s="45" t="e">
        <f>IF($B27-#REF!&lt;0,0,$B27-#REF!)</f>
        <v>#REF!</v>
      </c>
      <c r="W27" s="45" t="e">
        <f>IF($B27-#REF!&lt;0,0,$B27-#REF!)</f>
        <v>#REF!</v>
      </c>
      <c r="X27" s="45" t="e">
        <f>IF($B27-#REF!&lt;0,0,$B27-#REF!)</f>
        <v>#REF!</v>
      </c>
      <c r="Y27" s="45" t="e">
        <f>IF($B27-#REF!&lt;0,0,$B27-#REF!)</f>
        <v>#REF!</v>
      </c>
      <c r="Z27" s="45" t="e">
        <f>IF($B27-#REF!&lt;0,0,$B27-#REF!)</f>
        <v>#REF!</v>
      </c>
      <c r="AA27" s="45" t="e">
        <f>IF($B27-#REF!&lt;0,0,$B27-#REF!)</f>
        <v>#REF!</v>
      </c>
      <c r="AB27" s="45" t="e">
        <f>IF($B27-#REF!&lt;0,0,$B27-#REF!)</f>
        <v>#REF!</v>
      </c>
      <c r="AC27" s="45" t="e">
        <f>IF($B27-#REF!&lt;0,0,$B27-#REF!)</f>
        <v>#REF!</v>
      </c>
      <c r="AD27" s="45" t="e">
        <f>IF($B27-#REF!&lt;0,0,$B27-#REF!)</f>
        <v>#REF!</v>
      </c>
      <c r="AE27" s="45" t="e">
        <f>IF($B27-#REF!&lt;0,0,$B27-#REF!)</f>
        <v>#REF!</v>
      </c>
      <c r="AF27" s="45" t="e">
        <f>IF($B27-#REF!&lt;0,0,$B27-#REF!)</f>
        <v>#REF!</v>
      </c>
      <c r="AG27" s="45" t="e">
        <f>IF($B27-#REF!&lt;0,0,$B27-#REF!)</f>
        <v>#REF!</v>
      </c>
      <c r="AH27" s="51">
        <v>25</v>
      </c>
      <c r="AI27" s="48" t="e">
        <f t="shared" si="2"/>
        <v>#REF!</v>
      </c>
      <c r="AJ27" s="49" t="e">
        <f t="shared" si="3"/>
        <v>#REF!</v>
      </c>
      <c r="AL27" s="170"/>
      <c r="AM27" s="28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</row>
    <row r="28" spans="1:89" x14ac:dyDescent="0.25">
      <c r="A28" s="44" t="s">
        <v>29</v>
      </c>
      <c r="B28" s="45">
        <v>18</v>
      </c>
      <c r="C28" s="45" t="e">
        <f>IF($B28-#REF!&lt;0,0,$B28-#REF!)</f>
        <v>#REF!</v>
      </c>
      <c r="D28" s="45" t="e">
        <f>IF($B28-#REF!&lt;0,0,$B28-#REF!)</f>
        <v>#REF!</v>
      </c>
      <c r="E28" s="45" t="e">
        <f>IF($B28-#REF!&lt;0,0,$B28-#REF!)</f>
        <v>#REF!</v>
      </c>
      <c r="F28" s="45" t="e">
        <f>IF($B28-#REF!&lt;0,0,$B28-#REF!)</f>
        <v>#REF!</v>
      </c>
      <c r="G28" s="45" t="e">
        <f>IF($B28-#REF!&lt;0,0,$B28-#REF!)</f>
        <v>#REF!</v>
      </c>
      <c r="H28" s="45" t="e">
        <f>IF($B28-#REF!&lt;0,0,$B28-#REF!)</f>
        <v>#REF!</v>
      </c>
      <c r="I28" s="45" t="e">
        <f>IF($B28-#REF!&lt;0,0,$B28-#REF!)</f>
        <v>#REF!</v>
      </c>
      <c r="J28" s="45" t="e">
        <f>IF($B28-#REF!&lt;0,0,$B28-#REF!)</f>
        <v>#REF!</v>
      </c>
      <c r="K28" s="45" t="e">
        <f>IF($B28-#REF!&lt;0,0,$B28-#REF!)</f>
        <v>#REF!</v>
      </c>
      <c r="L28" s="45" t="e">
        <f>IF($B28-#REF!&lt;0,0,$B28-#REF!)</f>
        <v>#REF!</v>
      </c>
      <c r="M28" s="45" t="e">
        <f>IF($B28-#REF!&lt;0,0,$B28-#REF!)</f>
        <v>#REF!</v>
      </c>
      <c r="N28" s="45" t="e">
        <f>IF($B28-#REF!&lt;0,0,$B28-#REF!)</f>
        <v>#REF!</v>
      </c>
      <c r="O28" s="45" t="e">
        <f>IF($B28-#REF!&lt;0,0,$B28-#REF!)</f>
        <v>#REF!</v>
      </c>
      <c r="P28" s="45" t="e">
        <f>IF($B28-#REF!&lt;0,0,$B28-#REF!)</f>
        <v>#REF!</v>
      </c>
      <c r="Q28" s="45" t="e">
        <f>IF($B28-#REF!&lt;0,0,$B28-#REF!)</f>
        <v>#REF!</v>
      </c>
      <c r="R28" s="45" t="e">
        <f>IF($B28-#REF!&lt;0,0,$B28-#REF!)</f>
        <v>#REF!</v>
      </c>
      <c r="S28" s="45" t="e">
        <f>IF($B28-#REF!&lt;0,0,$B28-#REF!)</f>
        <v>#REF!</v>
      </c>
      <c r="T28" s="45" t="e">
        <f>IF($B28-#REF!&lt;0,0,$B28-#REF!)</f>
        <v>#REF!</v>
      </c>
      <c r="U28" s="45" t="e">
        <f>IF($B28-#REF!&lt;0,0,$B28-#REF!)</f>
        <v>#REF!</v>
      </c>
      <c r="V28" s="45" t="e">
        <f>IF($B28-#REF!&lt;0,0,$B28-#REF!)</f>
        <v>#REF!</v>
      </c>
      <c r="W28" s="45" t="e">
        <f>IF($B28-#REF!&lt;0,0,$B28-#REF!)</f>
        <v>#REF!</v>
      </c>
      <c r="X28" s="45" t="e">
        <f>IF($B28-#REF!&lt;0,0,$B28-#REF!)</f>
        <v>#REF!</v>
      </c>
      <c r="Y28" s="45" t="e">
        <f>IF($B28-#REF!&lt;0,0,$B28-#REF!)</f>
        <v>#REF!</v>
      </c>
      <c r="Z28" s="45" t="e">
        <f>IF($B28-#REF!&lt;0,0,$B28-#REF!)</f>
        <v>#REF!</v>
      </c>
      <c r="AA28" s="45" t="e">
        <f>IF($B28-#REF!&lt;0,0,$B28-#REF!)</f>
        <v>#REF!</v>
      </c>
      <c r="AB28" s="45" t="e">
        <f>IF($B28-#REF!&lt;0,0,$B28-#REF!)</f>
        <v>#REF!</v>
      </c>
      <c r="AC28" s="45" t="e">
        <f>IF($B28-#REF!&lt;0,0,$B28-#REF!)</f>
        <v>#REF!</v>
      </c>
      <c r="AD28" s="45" t="e">
        <f>IF($B28-#REF!&lt;0,0,$B28-#REF!)</f>
        <v>#REF!</v>
      </c>
      <c r="AE28" s="45" t="e">
        <f>IF($B28-#REF!&lt;0,0,$B28-#REF!)</f>
        <v>#REF!</v>
      </c>
      <c r="AF28" s="45" t="e">
        <f>IF($B28-#REF!&lt;0,0,$B28-#REF!)</f>
        <v>#REF!</v>
      </c>
      <c r="AG28" s="45" t="e">
        <f>IF($B28-#REF!&lt;0,0,$B28-#REF!)</f>
        <v>#REF!</v>
      </c>
      <c r="AH28" s="51">
        <v>23.5</v>
      </c>
      <c r="AI28" s="48" t="e">
        <f t="shared" si="2"/>
        <v>#REF!</v>
      </c>
      <c r="AJ28" s="49" t="e">
        <f t="shared" si="3"/>
        <v>#REF!</v>
      </c>
      <c r="AL28" s="170"/>
      <c r="AM28" s="28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</row>
    <row r="29" spans="1:89" x14ac:dyDescent="0.25">
      <c r="A29" s="44" t="s">
        <v>30</v>
      </c>
      <c r="B29" s="45">
        <v>11</v>
      </c>
      <c r="C29" s="45" t="e">
        <f>IF($B29-#REF!&lt;0,0,$B29-#REF!)</f>
        <v>#REF!</v>
      </c>
      <c r="D29" s="45" t="e">
        <f>IF($B29-#REF!&lt;0,0,$B29-#REF!)</f>
        <v>#REF!</v>
      </c>
      <c r="E29" s="45" t="e">
        <f>IF($B29-#REF!&lt;0,0,$B29-#REF!)</f>
        <v>#REF!</v>
      </c>
      <c r="F29" s="45" t="e">
        <f>IF($B29-#REF!&lt;0,0,$B29-#REF!)</f>
        <v>#REF!</v>
      </c>
      <c r="G29" s="45" t="e">
        <f>IF($B29-#REF!&lt;0,0,$B29-#REF!)</f>
        <v>#REF!</v>
      </c>
      <c r="H29" s="45" t="e">
        <f>IF($B29-#REF!&lt;0,0,$B29-#REF!)</f>
        <v>#REF!</v>
      </c>
      <c r="I29" s="45" t="e">
        <f>IF($B29-#REF!&lt;0,0,$B29-#REF!)</f>
        <v>#REF!</v>
      </c>
      <c r="J29" s="45" t="e">
        <f>IF($B29-#REF!&lt;0,0,$B29-#REF!)</f>
        <v>#REF!</v>
      </c>
      <c r="K29" s="45" t="e">
        <f>IF($B29-#REF!&lt;0,0,$B29-#REF!)</f>
        <v>#REF!</v>
      </c>
      <c r="L29" s="45" t="e">
        <f>IF($B29-#REF!&lt;0,0,$B29-#REF!)</f>
        <v>#REF!</v>
      </c>
      <c r="M29" s="45" t="e">
        <f>IF($B29-#REF!&lt;0,0,$B29-#REF!)</f>
        <v>#REF!</v>
      </c>
      <c r="N29" s="45" t="e">
        <f>IF($B29-#REF!&lt;0,0,$B29-#REF!)</f>
        <v>#REF!</v>
      </c>
      <c r="O29" s="45" t="e">
        <f>IF($B29-#REF!&lt;0,0,$B29-#REF!)</f>
        <v>#REF!</v>
      </c>
      <c r="P29" s="45" t="e">
        <f>IF($B29-#REF!&lt;0,0,$B29-#REF!)</f>
        <v>#REF!</v>
      </c>
      <c r="Q29" s="45" t="e">
        <f>IF($B29-#REF!&lt;0,0,$B29-#REF!)</f>
        <v>#REF!</v>
      </c>
      <c r="R29" s="45" t="e">
        <f>IF($B29-#REF!&lt;0,0,$B29-#REF!)</f>
        <v>#REF!</v>
      </c>
      <c r="S29" s="45" t="e">
        <f>IF($B29-#REF!&lt;0,0,$B29-#REF!)</f>
        <v>#REF!</v>
      </c>
      <c r="T29" s="45" t="e">
        <f>IF($B29-#REF!&lt;0,0,$B29-#REF!)</f>
        <v>#REF!</v>
      </c>
      <c r="U29" s="45" t="e">
        <f>IF($B29-#REF!&lt;0,0,$B29-#REF!)</f>
        <v>#REF!</v>
      </c>
      <c r="V29" s="45" t="e">
        <f>IF($B29-#REF!&lt;0,0,$B29-#REF!)</f>
        <v>#REF!</v>
      </c>
      <c r="W29" s="45" t="e">
        <f>IF($B29-#REF!&lt;0,0,$B29-#REF!)</f>
        <v>#REF!</v>
      </c>
      <c r="X29" s="45" t="e">
        <f>IF($B29-#REF!&lt;0,0,$B29-#REF!)</f>
        <v>#REF!</v>
      </c>
      <c r="Y29" s="45" t="e">
        <f>IF($B29-#REF!&lt;0,0,$B29-#REF!)</f>
        <v>#REF!</v>
      </c>
      <c r="Z29" s="45" t="e">
        <f>IF($B29-#REF!&lt;0,0,$B29-#REF!)</f>
        <v>#REF!</v>
      </c>
      <c r="AA29" s="45" t="e">
        <f>IF($B29-#REF!&lt;0,0,$B29-#REF!)</f>
        <v>#REF!</v>
      </c>
      <c r="AB29" s="45" t="e">
        <f>IF($B29-#REF!&lt;0,0,$B29-#REF!)</f>
        <v>#REF!</v>
      </c>
      <c r="AC29" s="45" t="e">
        <f>IF($B29-#REF!&lt;0,0,$B29-#REF!)</f>
        <v>#REF!</v>
      </c>
      <c r="AD29" s="45" t="e">
        <f>IF($B29-#REF!&lt;0,0,$B29-#REF!)</f>
        <v>#REF!</v>
      </c>
      <c r="AE29" s="45" t="e">
        <f>IF($B29-#REF!&lt;0,0,$B29-#REF!)</f>
        <v>#REF!</v>
      </c>
      <c r="AF29" s="45" t="e">
        <f>IF($B29-#REF!&lt;0,0,$B29-#REF!)</f>
        <v>#REF!</v>
      </c>
      <c r="AG29" s="45" t="e">
        <f>IF($B29-#REF!&lt;0,0,$B29-#REF!)</f>
        <v>#REF!</v>
      </c>
      <c r="AH29" s="51">
        <v>22.2</v>
      </c>
      <c r="AI29" s="48" t="e">
        <f t="shared" si="2"/>
        <v>#REF!</v>
      </c>
      <c r="AJ29" s="49" t="e">
        <f t="shared" si="3"/>
        <v>#REF!</v>
      </c>
      <c r="AL29" s="170"/>
      <c r="AM29" s="28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</row>
    <row r="30" spans="1:89" x14ac:dyDescent="0.25">
      <c r="A30" s="44" t="s">
        <v>31</v>
      </c>
      <c r="B30" s="45">
        <v>15</v>
      </c>
      <c r="C30" s="45" t="e">
        <f>IF($B30-#REF!&lt;0,0,$B30-#REF!)</f>
        <v>#REF!</v>
      </c>
      <c r="D30" s="45" t="e">
        <f>IF($B30-#REF!&lt;0,0,$B30-#REF!)</f>
        <v>#REF!</v>
      </c>
      <c r="E30" s="45" t="e">
        <f>IF($B30-#REF!&lt;0,0,$B30-#REF!)</f>
        <v>#REF!</v>
      </c>
      <c r="F30" s="45" t="e">
        <f>IF($B30-#REF!&lt;0,0,$B30-#REF!)</f>
        <v>#REF!</v>
      </c>
      <c r="G30" s="45" t="e">
        <f>IF($B30-#REF!&lt;0,0,$B30-#REF!)</f>
        <v>#REF!</v>
      </c>
      <c r="H30" s="45" t="e">
        <f>IF($B30-#REF!&lt;0,0,$B30-#REF!)</f>
        <v>#REF!</v>
      </c>
      <c r="I30" s="45" t="e">
        <f>IF($B30-#REF!&lt;0,0,$B30-#REF!)</f>
        <v>#REF!</v>
      </c>
      <c r="J30" s="45" t="e">
        <f>IF($B30-#REF!&lt;0,0,$B30-#REF!)</f>
        <v>#REF!</v>
      </c>
      <c r="K30" s="45" t="e">
        <f>IF($B30-#REF!&lt;0,0,$B30-#REF!)</f>
        <v>#REF!</v>
      </c>
      <c r="L30" s="45" t="e">
        <f>IF($B30-#REF!&lt;0,0,$B30-#REF!)</f>
        <v>#REF!</v>
      </c>
      <c r="M30" s="45" t="e">
        <f>IF($B30-#REF!&lt;0,0,$B30-#REF!)</f>
        <v>#REF!</v>
      </c>
      <c r="N30" s="45" t="e">
        <f>IF($B30-#REF!&lt;0,0,$B30-#REF!)</f>
        <v>#REF!</v>
      </c>
      <c r="O30" s="45" t="e">
        <f>IF($B30-#REF!&lt;0,0,$B30-#REF!)</f>
        <v>#REF!</v>
      </c>
      <c r="P30" s="45" t="e">
        <f>IF($B30-#REF!&lt;0,0,$B30-#REF!)</f>
        <v>#REF!</v>
      </c>
      <c r="Q30" s="45" t="e">
        <f>IF($B30-#REF!&lt;0,0,$B30-#REF!)</f>
        <v>#REF!</v>
      </c>
      <c r="R30" s="45" t="e">
        <f>IF($B30-#REF!&lt;0,0,$B30-#REF!)</f>
        <v>#REF!</v>
      </c>
      <c r="S30" s="45" t="e">
        <f>IF($B30-#REF!&lt;0,0,$B30-#REF!)</f>
        <v>#REF!</v>
      </c>
      <c r="T30" s="45" t="e">
        <f>IF($B30-#REF!&lt;0,0,$B30-#REF!)</f>
        <v>#REF!</v>
      </c>
      <c r="U30" s="45" t="e">
        <f>IF($B30-#REF!&lt;0,0,$B30-#REF!)</f>
        <v>#REF!</v>
      </c>
      <c r="V30" s="45" t="e">
        <f>IF($B30-#REF!&lt;0,0,$B30-#REF!)</f>
        <v>#REF!</v>
      </c>
      <c r="W30" s="45" t="e">
        <f>IF($B30-#REF!&lt;0,0,$B30-#REF!)</f>
        <v>#REF!</v>
      </c>
      <c r="X30" s="45" t="e">
        <f>IF($B30-#REF!&lt;0,0,$B30-#REF!)</f>
        <v>#REF!</v>
      </c>
      <c r="Y30" s="45" t="e">
        <f>IF($B30-#REF!&lt;0,0,$B30-#REF!)</f>
        <v>#REF!</v>
      </c>
      <c r="Z30" s="45" t="e">
        <f>IF($B30-#REF!&lt;0,0,$B30-#REF!)</f>
        <v>#REF!</v>
      </c>
      <c r="AA30" s="45" t="e">
        <f>IF($B30-#REF!&lt;0,0,$B30-#REF!)</f>
        <v>#REF!</v>
      </c>
      <c r="AB30" s="45" t="e">
        <f>IF($B30-#REF!&lt;0,0,$B30-#REF!)</f>
        <v>#REF!</v>
      </c>
      <c r="AC30" s="45" t="e">
        <f>IF($B30-#REF!&lt;0,0,$B30-#REF!)</f>
        <v>#REF!</v>
      </c>
      <c r="AD30" s="45" t="e">
        <f>IF($B30-#REF!&lt;0,0,$B30-#REF!)</f>
        <v>#REF!</v>
      </c>
      <c r="AE30" s="45" t="e">
        <f>IF($B30-#REF!&lt;0,0,$B30-#REF!)</f>
        <v>#REF!</v>
      </c>
      <c r="AF30" s="45" t="e">
        <f>IF($B30-#REF!&lt;0,0,$B30-#REF!)</f>
        <v>#REF!</v>
      </c>
      <c r="AG30" s="45" t="e">
        <f>IF($B30-#REF!&lt;0,0,$B30-#REF!)</f>
        <v>#REF!</v>
      </c>
      <c r="AH30" s="51">
        <v>22.1</v>
      </c>
      <c r="AI30" s="48" t="e">
        <f t="shared" si="2"/>
        <v>#REF!</v>
      </c>
      <c r="AJ30" s="49" t="e">
        <f t="shared" si="3"/>
        <v>#REF!</v>
      </c>
      <c r="AL30" s="170"/>
      <c r="AM30" s="28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</row>
    <row r="31" spans="1:89" x14ac:dyDescent="0.25">
      <c r="A31" s="44" t="s">
        <v>32</v>
      </c>
      <c r="B31" s="45">
        <v>13</v>
      </c>
      <c r="C31" s="45" t="e">
        <f>IF($B31-#REF!&lt;0,0,$B31-#REF!)</f>
        <v>#REF!</v>
      </c>
      <c r="D31" s="45" t="e">
        <f>IF($B31-#REF!&lt;0,0,$B31-#REF!)</f>
        <v>#REF!</v>
      </c>
      <c r="E31" s="45" t="e">
        <f>IF($B31-#REF!&lt;0,0,$B31-#REF!)</f>
        <v>#REF!</v>
      </c>
      <c r="F31" s="45" t="e">
        <f>IF($B31-#REF!&lt;0,0,$B31-#REF!)</f>
        <v>#REF!</v>
      </c>
      <c r="G31" s="45" t="e">
        <f>IF($B31-#REF!&lt;0,0,$B31-#REF!)</f>
        <v>#REF!</v>
      </c>
      <c r="H31" s="45" t="e">
        <f>IF($B31-#REF!&lt;0,0,$B31-#REF!)</f>
        <v>#REF!</v>
      </c>
      <c r="I31" s="45" t="e">
        <f>IF($B31-#REF!&lt;0,0,$B31-#REF!)</f>
        <v>#REF!</v>
      </c>
      <c r="J31" s="45" t="e">
        <f>IF($B31-#REF!&lt;0,0,$B31-#REF!)</f>
        <v>#REF!</v>
      </c>
      <c r="K31" s="45" t="e">
        <f>IF($B31-#REF!&lt;0,0,$B31-#REF!)</f>
        <v>#REF!</v>
      </c>
      <c r="L31" s="45" t="e">
        <f>IF($B31-#REF!&lt;0,0,$B31-#REF!)</f>
        <v>#REF!</v>
      </c>
      <c r="M31" s="45" t="e">
        <f>IF($B31-#REF!&lt;0,0,$B31-#REF!)</f>
        <v>#REF!</v>
      </c>
      <c r="N31" s="45" t="e">
        <f>IF($B31-#REF!&lt;0,0,$B31-#REF!)</f>
        <v>#REF!</v>
      </c>
      <c r="O31" s="45" t="e">
        <f>IF($B31-#REF!&lt;0,0,$B31-#REF!)</f>
        <v>#REF!</v>
      </c>
      <c r="P31" s="45" t="e">
        <f>IF($B31-#REF!&lt;0,0,$B31-#REF!)</f>
        <v>#REF!</v>
      </c>
      <c r="Q31" s="45" t="e">
        <f>IF($B31-#REF!&lt;0,0,$B31-#REF!)</f>
        <v>#REF!</v>
      </c>
      <c r="R31" s="45" t="e">
        <f>IF($B31-#REF!&lt;0,0,$B31-#REF!)</f>
        <v>#REF!</v>
      </c>
      <c r="S31" s="45" t="e">
        <f>IF($B31-#REF!&lt;0,0,$B31-#REF!)</f>
        <v>#REF!</v>
      </c>
      <c r="T31" s="45" t="e">
        <f>IF($B31-#REF!&lt;0,0,$B31-#REF!)</f>
        <v>#REF!</v>
      </c>
      <c r="U31" s="45" t="e">
        <f>IF($B31-#REF!&lt;0,0,$B31-#REF!)</f>
        <v>#REF!</v>
      </c>
      <c r="V31" s="45" t="e">
        <f>IF($B31-#REF!&lt;0,0,$B31-#REF!)</f>
        <v>#REF!</v>
      </c>
      <c r="W31" s="45" t="e">
        <f>IF($B31-#REF!&lt;0,0,$B31-#REF!)</f>
        <v>#REF!</v>
      </c>
      <c r="X31" s="45" t="e">
        <f>IF($B31-#REF!&lt;0,0,$B31-#REF!)</f>
        <v>#REF!</v>
      </c>
      <c r="Y31" s="45" t="e">
        <f>IF($B31-#REF!&lt;0,0,$B31-#REF!)</f>
        <v>#REF!</v>
      </c>
      <c r="Z31" s="45" t="e">
        <f>IF($B31-#REF!&lt;0,0,$B31-#REF!)</f>
        <v>#REF!</v>
      </c>
      <c r="AA31" s="45" t="e">
        <f>IF($B31-#REF!&lt;0,0,$B31-#REF!)</f>
        <v>#REF!</v>
      </c>
      <c r="AB31" s="45" t="e">
        <f>IF($B31-#REF!&lt;0,0,$B31-#REF!)</f>
        <v>#REF!</v>
      </c>
      <c r="AC31" s="45" t="e">
        <f>IF($B31-#REF!&lt;0,0,$B31-#REF!)</f>
        <v>#REF!</v>
      </c>
      <c r="AD31" s="45" t="e">
        <f>IF($B31-#REF!&lt;0,0,$B31-#REF!)</f>
        <v>#REF!</v>
      </c>
      <c r="AE31" s="45" t="e">
        <f>IF($B31-#REF!&lt;0,0,$B31-#REF!)</f>
        <v>#REF!</v>
      </c>
      <c r="AF31" s="45" t="e">
        <f>IF($B31-#REF!&lt;0,0,$B31-#REF!)</f>
        <v>#REF!</v>
      </c>
      <c r="AG31" s="45" t="e">
        <f>IF($B31-#REF!&lt;0,0,$B31-#REF!)</f>
        <v>#REF!</v>
      </c>
      <c r="AH31" s="51">
        <v>22</v>
      </c>
      <c r="AI31" s="48" t="e">
        <f t="shared" si="2"/>
        <v>#REF!</v>
      </c>
      <c r="AJ31" s="49" t="e">
        <f t="shared" si="3"/>
        <v>#REF!</v>
      </c>
      <c r="AL31" s="170"/>
      <c r="AM31" s="28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</row>
    <row r="32" spans="1:89" x14ac:dyDescent="0.25">
      <c r="A32" s="44" t="s">
        <v>33</v>
      </c>
      <c r="B32" s="45">
        <v>14</v>
      </c>
      <c r="C32" s="45" t="e">
        <f>IF($B32-#REF!&lt;0,0,$B32-#REF!)</f>
        <v>#REF!</v>
      </c>
      <c r="D32" s="45" t="e">
        <f>IF($B32-#REF!&lt;0,0,$B32-#REF!)</f>
        <v>#REF!</v>
      </c>
      <c r="E32" s="45" t="e">
        <f>IF($B32-#REF!&lt;0,0,$B32-#REF!)</f>
        <v>#REF!</v>
      </c>
      <c r="F32" s="45" t="e">
        <f>IF($B32-#REF!&lt;0,0,$B32-#REF!)</f>
        <v>#REF!</v>
      </c>
      <c r="G32" s="45" t="e">
        <f>IF($B32-#REF!&lt;0,0,$B32-#REF!)</f>
        <v>#REF!</v>
      </c>
      <c r="H32" s="45" t="e">
        <f>IF($B32-#REF!&lt;0,0,$B32-#REF!)</f>
        <v>#REF!</v>
      </c>
      <c r="I32" s="45" t="e">
        <f>IF($B32-#REF!&lt;0,0,$B32-#REF!)</f>
        <v>#REF!</v>
      </c>
      <c r="J32" s="45" t="e">
        <f>IF($B32-#REF!&lt;0,0,$B32-#REF!)</f>
        <v>#REF!</v>
      </c>
      <c r="K32" s="45" t="e">
        <f>IF($B32-#REF!&lt;0,0,$B32-#REF!)</f>
        <v>#REF!</v>
      </c>
      <c r="L32" s="45" t="e">
        <f>IF($B32-#REF!&lt;0,0,$B32-#REF!)</f>
        <v>#REF!</v>
      </c>
      <c r="M32" s="45" t="e">
        <f>IF($B32-#REF!&lt;0,0,$B32-#REF!)</f>
        <v>#REF!</v>
      </c>
      <c r="N32" s="45" t="e">
        <f>IF($B32-#REF!&lt;0,0,$B32-#REF!)</f>
        <v>#REF!</v>
      </c>
      <c r="O32" s="45" t="e">
        <f>IF($B32-#REF!&lt;0,0,$B32-#REF!)</f>
        <v>#REF!</v>
      </c>
      <c r="P32" s="45" t="e">
        <f>IF($B32-#REF!&lt;0,0,$B32-#REF!)</f>
        <v>#REF!</v>
      </c>
      <c r="Q32" s="45" t="e">
        <f>IF($B32-#REF!&lt;0,0,$B32-#REF!)</f>
        <v>#REF!</v>
      </c>
      <c r="R32" s="45" t="e">
        <f>IF($B32-#REF!&lt;0,0,$B32-#REF!)</f>
        <v>#REF!</v>
      </c>
      <c r="S32" s="45" t="e">
        <f>IF($B32-#REF!&lt;0,0,$B32-#REF!)</f>
        <v>#REF!</v>
      </c>
      <c r="T32" s="45" t="e">
        <f>IF($B32-#REF!&lt;0,0,$B32-#REF!)</f>
        <v>#REF!</v>
      </c>
      <c r="U32" s="45" t="e">
        <f>IF($B32-#REF!&lt;0,0,$B32-#REF!)</f>
        <v>#REF!</v>
      </c>
      <c r="V32" s="45" t="e">
        <f>IF($B32-#REF!&lt;0,0,$B32-#REF!)</f>
        <v>#REF!</v>
      </c>
      <c r="W32" s="45" t="e">
        <f>IF($B32-#REF!&lt;0,0,$B32-#REF!)</f>
        <v>#REF!</v>
      </c>
      <c r="X32" s="45" t="e">
        <f>IF($B32-#REF!&lt;0,0,$B32-#REF!)</f>
        <v>#REF!</v>
      </c>
      <c r="Y32" s="45" t="e">
        <f>IF($B32-#REF!&lt;0,0,$B32-#REF!)</f>
        <v>#REF!</v>
      </c>
      <c r="Z32" s="45" t="e">
        <f>IF($B32-#REF!&lt;0,0,$B32-#REF!)</f>
        <v>#REF!</v>
      </c>
      <c r="AA32" s="45" t="e">
        <f>IF($B32-#REF!&lt;0,0,$B32-#REF!)</f>
        <v>#REF!</v>
      </c>
      <c r="AB32" s="45" t="e">
        <f>IF($B32-#REF!&lt;0,0,$B32-#REF!)</f>
        <v>#REF!</v>
      </c>
      <c r="AC32" s="45" t="e">
        <f>IF($B32-#REF!&lt;0,0,$B32-#REF!)</f>
        <v>#REF!</v>
      </c>
      <c r="AD32" s="45" t="e">
        <f>IF($B32-#REF!&lt;0,0,$B32-#REF!)</f>
        <v>#REF!</v>
      </c>
      <c r="AE32" s="45" t="e">
        <f>IF($B32-#REF!&lt;0,0,$B32-#REF!)</f>
        <v>#REF!</v>
      </c>
      <c r="AF32" s="45" t="e">
        <f>IF($B32-#REF!&lt;0,0,$B32-#REF!)</f>
        <v>#REF!</v>
      </c>
      <c r="AG32" s="45" t="e">
        <f>IF($B32-#REF!&lt;0,0,$B32-#REF!)</f>
        <v>#REF!</v>
      </c>
      <c r="AH32" s="51">
        <v>22</v>
      </c>
      <c r="AI32" s="48" t="e">
        <f t="shared" si="2"/>
        <v>#REF!</v>
      </c>
      <c r="AJ32" s="49" t="e">
        <f t="shared" si="3"/>
        <v>#REF!</v>
      </c>
      <c r="AL32" s="170"/>
      <c r="AM32" s="28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</row>
    <row r="33" spans="1:89" x14ac:dyDescent="0.25">
      <c r="A33" s="44" t="s">
        <v>34</v>
      </c>
      <c r="B33" s="45">
        <v>14</v>
      </c>
      <c r="C33" s="45" t="e">
        <f>IF($B33-#REF!&lt;0,0,$B33-#REF!)</f>
        <v>#REF!</v>
      </c>
      <c r="D33" s="45" t="e">
        <f>IF($B33-#REF!&lt;0,0,$B33-#REF!)</f>
        <v>#REF!</v>
      </c>
      <c r="E33" s="45" t="e">
        <f>IF($B33-#REF!&lt;0,0,$B33-#REF!)</f>
        <v>#REF!</v>
      </c>
      <c r="F33" s="45" t="e">
        <f>IF($B33-#REF!&lt;0,0,$B33-#REF!)</f>
        <v>#REF!</v>
      </c>
      <c r="G33" s="45" t="e">
        <f>IF($B33-#REF!&lt;0,0,$B33-#REF!)</f>
        <v>#REF!</v>
      </c>
      <c r="H33" s="45" t="e">
        <f>IF($B33-#REF!&lt;0,0,$B33-#REF!)</f>
        <v>#REF!</v>
      </c>
      <c r="I33" s="45" t="e">
        <f>IF($B33-#REF!&lt;0,0,$B33-#REF!)</f>
        <v>#REF!</v>
      </c>
      <c r="J33" s="45" t="e">
        <f>IF($B33-#REF!&lt;0,0,$B33-#REF!)</f>
        <v>#REF!</v>
      </c>
      <c r="K33" s="45" t="e">
        <f>IF($B33-#REF!&lt;0,0,$B33-#REF!)</f>
        <v>#REF!</v>
      </c>
      <c r="L33" s="45" t="e">
        <f>IF($B33-#REF!&lt;0,0,$B33-#REF!)</f>
        <v>#REF!</v>
      </c>
      <c r="M33" s="45" t="e">
        <f>IF($B33-#REF!&lt;0,0,$B33-#REF!)</f>
        <v>#REF!</v>
      </c>
      <c r="N33" s="45" t="e">
        <f>IF($B33-#REF!&lt;0,0,$B33-#REF!)</f>
        <v>#REF!</v>
      </c>
      <c r="O33" s="45" t="e">
        <f>IF($B33-#REF!&lt;0,0,$B33-#REF!)</f>
        <v>#REF!</v>
      </c>
      <c r="P33" s="45" t="e">
        <f>IF($B33-#REF!&lt;0,0,$B33-#REF!)</f>
        <v>#REF!</v>
      </c>
      <c r="Q33" s="45" t="e">
        <f>IF($B33-#REF!&lt;0,0,$B33-#REF!)</f>
        <v>#REF!</v>
      </c>
      <c r="R33" s="45" t="e">
        <f>IF($B33-#REF!&lt;0,0,$B33-#REF!)</f>
        <v>#REF!</v>
      </c>
      <c r="S33" s="45" t="e">
        <f>IF($B33-#REF!&lt;0,0,$B33-#REF!)</f>
        <v>#REF!</v>
      </c>
      <c r="T33" s="45" t="e">
        <f>IF($B33-#REF!&lt;0,0,$B33-#REF!)</f>
        <v>#REF!</v>
      </c>
      <c r="U33" s="45" t="e">
        <f>IF($B33-#REF!&lt;0,0,$B33-#REF!)</f>
        <v>#REF!</v>
      </c>
      <c r="V33" s="45" t="e">
        <f>IF($B33-#REF!&lt;0,0,$B33-#REF!)</f>
        <v>#REF!</v>
      </c>
      <c r="W33" s="45" t="e">
        <f>IF($B33-#REF!&lt;0,0,$B33-#REF!)</f>
        <v>#REF!</v>
      </c>
      <c r="X33" s="45" t="e">
        <f>IF($B33-#REF!&lt;0,0,$B33-#REF!)</f>
        <v>#REF!</v>
      </c>
      <c r="Y33" s="45" t="e">
        <f>IF($B33-#REF!&lt;0,0,$B33-#REF!)</f>
        <v>#REF!</v>
      </c>
      <c r="Z33" s="45" t="e">
        <f>IF($B33-#REF!&lt;0,0,$B33-#REF!)</f>
        <v>#REF!</v>
      </c>
      <c r="AA33" s="45" t="e">
        <f>IF($B33-#REF!&lt;0,0,$B33-#REF!)</f>
        <v>#REF!</v>
      </c>
      <c r="AB33" s="45" t="e">
        <f>IF($B33-#REF!&lt;0,0,$B33-#REF!)</f>
        <v>#REF!</v>
      </c>
      <c r="AC33" s="45" t="e">
        <f>IF($B33-#REF!&lt;0,0,$B33-#REF!)</f>
        <v>#REF!</v>
      </c>
      <c r="AD33" s="45" t="e">
        <f>IF($B33-#REF!&lt;0,0,$B33-#REF!)</f>
        <v>#REF!</v>
      </c>
      <c r="AE33" s="45" t="e">
        <f>IF($B33-#REF!&lt;0,0,$B33-#REF!)</f>
        <v>#REF!</v>
      </c>
      <c r="AF33" s="45" t="e">
        <f>IF($B33-#REF!&lt;0,0,$B33-#REF!)</f>
        <v>#REF!</v>
      </c>
      <c r="AG33" s="45" t="e">
        <f>IF($B33-#REF!&lt;0,0,$B33-#REF!)</f>
        <v>#REF!</v>
      </c>
      <c r="AH33" s="51">
        <v>20</v>
      </c>
      <c r="AI33" s="48" t="e">
        <f t="shared" si="2"/>
        <v>#REF!</v>
      </c>
      <c r="AJ33" s="49" t="e">
        <f t="shared" si="3"/>
        <v>#REF!</v>
      </c>
      <c r="AL33" s="170"/>
      <c r="AM33" s="28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</row>
    <row r="34" spans="1:89" x14ac:dyDescent="0.25">
      <c r="A34" s="44" t="s">
        <v>259</v>
      </c>
      <c r="B34" s="45">
        <v>9</v>
      </c>
      <c r="C34" s="45" t="e">
        <f>IF($B34-#REF!&lt;0,0,$B34-#REF!)</f>
        <v>#REF!</v>
      </c>
      <c r="D34" s="45" t="e">
        <f>IF($B34-#REF!&lt;0,0,$B34-#REF!)</f>
        <v>#REF!</v>
      </c>
      <c r="E34" s="45" t="e">
        <f>IF($B34-#REF!&lt;0,0,$B34-#REF!)</f>
        <v>#REF!</v>
      </c>
      <c r="F34" s="45" t="e">
        <f>IF($B34-#REF!&lt;0,0,$B34-#REF!)</f>
        <v>#REF!</v>
      </c>
      <c r="G34" s="45" t="e">
        <f>IF($B34-#REF!&lt;0,0,$B34-#REF!)</f>
        <v>#REF!</v>
      </c>
      <c r="H34" s="45" t="e">
        <f>IF($B34-#REF!&lt;0,0,$B34-#REF!)</f>
        <v>#REF!</v>
      </c>
      <c r="I34" s="45" t="e">
        <f>IF($B34-#REF!&lt;0,0,$B34-#REF!)</f>
        <v>#REF!</v>
      </c>
      <c r="J34" s="45" t="e">
        <f>IF($B34-#REF!&lt;0,0,$B34-#REF!)</f>
        <v>#REF!</v>
      </c>
      <c r="K34" s="45" t="e">
        <f>IF($B34-#REF!&lt;0,0,$B34-#REF!)</f>
        <v>#REF!</v>
      </c>
      <c r="L34" s="45" t="e">
        <f>IF($B34-#REF!&lt;0,0,$B34-#REF!)</f>
        <v>#REF!</v>
      </c>
      <c r="M34" s="45" t="e">
        <f>IF($B34-#REF!&lt;0,0,$B34-#REF!)</f>
        <v>#REF!</v>
      </c>
      <c r="N34" s="45" t="e">
        <f>IF($B34-#REF!&lt;0,0,$B34-#REF!)</f>
        <v>#REF!</v>
      </c>
      <c r="O34" s="45" t="e">
        <f>IF($B34-#REF!&lt;0,0,$B34-#REF!)</f>
        <v>#REF!</v>
      </c>
      <c r="P34" s="45" t="e">
        <f>IF($B34-#REF!&lt;0,0,$B34-#REF!)</f>
        <v>#REF!</v>
      </c>
      <c r="Q34" s="45" t="e">
        <f>IF($B34-#REF!&lt;0,0,$B34-#REF!)</f>
        <v>#REF!</v>
      </c>
      <c r="R34" s="45" t="e">
        <f>IF($B34-#REF!&lt;0,0,$B34-#REF!)</f>
        <v>#REF!</v>
      </c>
      <c r="S34" s="45" t="e">
        <f>IF($B34-#REF!&lt;0,0,$B34-#REF!)</f>
        <v>#REF!</v>
      </c>
      <c r="T34" s="45" t="e">
        <f>IF($B34-#REF!&lt;0,0,$B34-#REF!)</f>
        <v>#REF!</v>
      </c>
      <c r="U34" s="45" t="e">
        <f>IF($B34-#REF!&lt;0,0,$B34-#REF!)</f>
        <v>#REF!</v>
      </c>
      <c r="V34" s="45" t="e">
        <f>IF($B34-#REF!&lt;0,0,$B34-#REF!)</f>
        <v>#REF!</v>
      </c>
      <c r="W34" s="45" t="e">
        <f>IF($B34-#REF!&lt;0,0,$B34-#REF!)</f>
        <v>#REF!</v>
      </c>
      <c r="X34" s="45" t="e">
        <f>IF($B34-#REF!&lt;0,0,$B34-#REF!)</f>
        <v>#REF!</v>
      </c>
      <c r="Y34" s="45" t="e">
        <f>IF($B34-#REF!&lt;0,0,$B34-#REF!)</f>
        <v>#REF!</v>
      </c>
      <c r="Z34" s="45" t="e">
        <f>IF($B34-#REF!&lt;0,0,$B34-#REF!)</f>
        <v>#REF!</v>
      </c>
      <c r="AA34" s="45" t="e">
        <f>IF($B34-#REF!&lt;0,0,$B34-#REF!)</f>
        <v>#REF!</v>
      </c>
      <c r="AB34" s="45" t="e">
        <f>IF($B34-#REF!&lt;0,0,$B34-#REF!)</f>
        <v>#REF!</v>
      </c>
      <c r="AC34" s="45" t="e">
        <f>IF($B34-#REF!&lt;0,0,$B34-#REF!)</f>
        <v>#REF!</v>
      </c>
      <c r="AD34" s="45" t="e">
        <f>IF($B34-#REF!&lt;0,0,$B34-#REF!)</f>
        <v>#REF!</v>
      </c>
      <c r="AE34" s="45" t="e">
        <f>IF($B34-#REF!&lt;0,0,$B34-#REF!)</f>
        <v>#REF!</v>
      </c>
      <c r="AF34" s="45" t="e">
        <f>IF($B34-#REF!&lt;0,0,$B34-#REF!)</f>
        <v>#REF!</v>
      </c>
      <c r="AG34" s="45" t="e">
        <f>IF($B34-#REF!&lt;0,0,$B34-#REF!)</f>
        <v>#REF!</v>
      </c>
      <c r="AH34" s="51">
        <v>18</v>
      </c>
      <c r="AI34" s="48" t="e">
        <f t="shared" si="2"/>
        <v>#REF!</v>
      </c>
      <c r="AJ34" s="49" t="e">
        <f t="shared" si="3"/>
        <v>#REF!</v>
      </c>
      <c r="AL34" s="170"/>
      <c r="AM34" s="28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</row>
    <row r="35" spans="1:89" x14ac:dyDescent="0.25">
      <c r="A35" s="44" t="s">
        <v>260</v>
      </c>
      <c r="B35" s="45">
        <v>5</v>
      </c>
      <c r="C35" s="45" t="e">
        <f>IF($B35-#REF!&lt;0,0,$B35-#REF!)</f>
        <v>#REF!</v>
      </c>
      <c r="D35" s="45" t="e">
        <f>IF($B35-#REF!&lt;0,0,$B35-#REF!)</f>
        <v>#REF!</v>
      </c>
      <c r="E35" s="45" t="e">
        <f>IF($B35-#REF!&lt;0,0,$B35-#REF!)</f>
        <v>#REF!</v>
      </c>
      <c r="F35" s="45" t="e">
        <f>IF($B35-#REF!&lt;0,0,$B35-#REF!)</f>
        <v>#REF!</v>
      </c>
      <c r="G35" s="45" t="e">
        <f>IF($B35-#REF!&lt;0,0,$B35-#REF!)</f>
        <v>#REF!</v>
      </c>
      <c r="H35" s="45" t="e">
        <f>IF($B35-#REF!&lt;0,0,$B35-#REF!)</f>
        <v>#REF!</v>
      </c>
      <c r="I35" s="45" t="e">
        <f>IF($B35-#REF!&lt;0,0,$B35-#REF!)</f>
        <v>#REF!</v>
      </c>
      <c r="J35" s="45" t="e">
        <f>IF($B35-#REF!&lt;0,0,$B35-#REF!)</f>
        <v>#REF!</v>
      </c>
      <c r="K35" s="45" t="e">
        <f>IF($B35-#REF!&lt;0,0,$B35-#REF!)</f>
        <v>#REF!</v>
      </c>
      <c r="L35" s="45" t="e">
        <f>IF($B35-#REF!&lt;0,0,$B35-#REF!)</f>
        <v>#REF!</v>
      </c>
      <c r="M35" s="45" t="e">
        <f>IF($B35-#REF!&lt;0,0,$B35-#REF!)</f>
        <v>#REF!</v>
      </c>
      <c r="N35" s="45" t="e">
        <f>IF($B35-#REF!&lt;0,0,$B35-#REF!)</f>
        <v>#REF!</v>
      </c>
      <c r="O35" s="45" t="e">
        <f>IF($B35-#REF!&lt;0,0,$B35-#REF!)</f>
        <v>#REF!</v>
      </c>
      <c r="P35" s="45" t="e">
        <f>IF($B35-#REF!&lt;0,0,$B35-#REF!)</f>
        <v>#REF!</v>
      </c>
      <c r="Q35" s="45" t="e">
        <f>IF($B35-#REF!&lt;0,0,$B35-#REF!)</f>
        <v>#REF!</v>
      </c>
      <c r="R35" s="45" t="e">
        <f>IF($B35-#REF!&lt;0,0,$B35-#REF!)</f>
        <v>#REF!</v>
      </c>
      <c r="S35" s="45" t="e">
        <f>IF($B35-#REF!&lt;0,0,$B35-#REF!)</f>
        <v>#REF!</v>
      </c>
      <c r="T35" s="45" t="e">
        <f>IF($B35-#REF!&lt;0,0,$B35-#REF!)</f>
        <v>#REF!</v>
      </c>
      <c r="U35" s="45" t="e">
        <f>IF($B35-#REF!&lt;0,0,$B35-#REF!)</f>
        <v>#REF!</v>
      </c>
      <c r="V35" s="45" t="e">
        <f>IF($B35-#REF!&lt;0,0,$B35-#REF!)</f>
        <v>#REF!</v>
      </c>
      <c r="W35" s="45" t="e">
        <f>IF($B35-#REF!&lt;0,0,$B35-#REF!)</f>
        <v>#REF!</v>
      </c>
      <c r="X35" s="45" t="e">
        <f>IF($B35-#REF!&lt;0,0,$B35-#REF!)</f>
        <v>#REF!</v>
      </c>
      <c r="Y35" s="45" t="e">
        <f>IF($B35-#REF!&lt;0,0,$B35-#REF!)</f>
        <v>#REF!</v>
      </c>
      <c r="Z35" s="45" t="e">
        <f>IF($B35-#REF!&lt;0,0,$B35-#REF!)</f>
        <v>#REF!</v>
      </c>
      <c r="AA35" s="45" t="e">
        <f>IF($B35-#REF!&lt;0,0,$B35-#REF!)</f>
        <v>#REF!</v>
      </c>
      <c r="AB35" s="45" t="e">
        <f>IF($B35-#REF!&lt;0,0,$B35-#REF!)</f>
        <v>#REF!</v>
      </c>
      <c r="AC35" s="45" t="e">
        <f>IF($B35-#REF!&lt;0,0,$B35-#REF!)</f>
        <v>#REF!</v>
      </c>
      <c r="AD35" s="45" t="e">
        <f>IF($B35-#REF!&lt;0,0,$B35-#REF!)</f>
        <v>#REF!</v>
      </c>
      <c r="AE35" s="45" t="e">
        <f>IF($B35-#REF!&lt;0,0,$B35-#REF!)</f>
        <v>#REF!</v>
      </c>
      <c r="AF35" s="45" t="e">
        <f>IF($B35-#REF!&lt;0,0,$B35-#REF!)</f>
        <v>#REF!</v>
      </c>
      <c r="AG35" s="45" t="e">
        <f>IF($B35-#REF!&lt;0,0,$B35-#REF!)</f>
        <v>#REF!</v>
      </c>
      <c r="AH35" s="51">
        <v>14.9</v>
      </c>
      <c r="AI35" s="48" t="e">
        <f t="shared" si="2"/>
        <v>#REF!</v>
      </c>
      <c r="AJ35" s="49" t="e">
        <f t="shared" si="3"/>
        <v>#REF!</v>
      </c>
      <c r="AL35" s="170"/>
      <c r="AM35" s="28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</row>
    <row r="36" spans="1:89" x14ac:dyDescent="0.25">
      <c r="A36" s="44" t="s">
        <v>35</v>
      </c>
      <c r="B36" s="45">
        <v>0</v>
      </c>
      <c r="C36" s="45" t="e">
        <f>IF($B36-#REF!&lt;0,0,$B36-#REF!)</f>
        <v>#REF!</v>
      </c>
      <c r="D36" s="45" t="e">
        <f>IF($B36-#REF!&lt;0,0,$B36-#REF!)</f>
        <v>#REF!</v>
      </c>
      <c r="E36" s="45" t="e">
        <f>IF($B36-#REF!&lt;0,0,$B36-#REF!)</f>
        <v>#REF!</v>
      </c>
      <c r="F36" s="45" t="e">
        <f>IF($B36-#REF!&lt;0,0,$B36-#REF!)</f>
        <v>#REF!</v>
      </c>
      <c r="G36" s="45" t="e">
        <f>IF($B36-#REF!&lt;0,0,$B36-#REF!)</f>
        <v>#REF!</v>
      </c>
      <c r="H36" s="45" t="e">
        <f>IF($B36-#REF!&lt;0,0,$B36-#REF!)</f>
        <v>#REF!</v>
      </c>
      <c r="I36" s="45" t="e">
        <f>IF($B36-#REF!&lt;0,0,$B36-#REF!)</f>
        <v>#REF!</v>
      </c>
      <c r="J36" s="45" t="e">
        <f>IF($B36-#REF!&lt;0,0,$B36-#REF!)</f>
        <v>#REF!</v>
      </c>
      <c r="K36" s="45" t="e">
        <f>IF($B36-#REF!&lt;0,0,$B36-#REF!)</f>
        <v>#REF!</v>
      </c>
      <c r="L36" s="45" t="e">
        <f>IF($B36-#REF!&lt;0,0,$B36-#REF!)</f>
        <v>#REF!</v>
      </c>
      <c r="M36" s="45" t="e">
        <f>IF($B36-#REF!&lt;0,0,$B36-#REF!)</f>
        <v>#REF!</v>
      </c>
      <c r="N36" s="45" t="e">
        <f>IF($B36-#REF!&lt;0,0,$B36-#REF!)</f>
        <v>#REF!</v>
      </c>
      <c r="O36" s="45" t="e">
        <f>IF($B36-#REF!&lt;0,0,$B36-#REF!)</f>
        <v>#REF!</v>
      </c>
      <c r="P36" s="45" t="e">
        <f>IF($B36-#REF!&lt;0,0,$B36-#REF!)</f>
        <v>#REF!</v>
      </c>
      <c r="Q36" s="45" t="e">
        <f>IF($B36-#REF!&lt;0,0,$B36-#REF!)</f>
        <v>#REF!</v>
      </c>
      <c r="R36" s="45" t="e">
        <f>IF($B36-#REF!&lt;0,0,$B36-#REF!)</f>
        <v>#REF!</v>
      </c>
      <c r="S36" s="45" t="e">
        <f>IF($B36-#REF!&lt;0,0,$B36-#REF!)</f>
        <v>#REF!</v>
      </c>
      <c r="T36" s="45" t="e">
        <f>IF($B36-#REF!&lt;0,0,$B36-#REF!)</f>
        <v>#REF!</v>
      </c>
      <c r="U36" s="45" t="e">
        <f>IF($B36-#REF!&lt;0,0,$B36-#REF!)</f>
        <v>#REF!</v>
      </c>
      <c r="V36" s="45" t="e">
        <f>IF($B36-#REF!&lt;0,0,$B36-#REF!)</f>
        <v>#REF!</v>
      </c>
      <c r="W36" s="45" t="e">
        <f>IF($B36-#REF!&lt;0,0,$B36-#REF!)</f>
        <v>#REF!</v>
      </c>
      <c r="X36" s="45" t="e">
        <f>IF($B36-#REF!&lt;0,0,$B36-#REF!)</f>
        <v>#REF!</v>
      </c>
      <c r="Y36" s="45" t="e">
        <f>IF($B36-#REF!&lt;0,0,$B36-#REF!)</f>
        <v>#REF!</v>
      </c>
      <c r="Z36" s="45" t="e">
        <f>IF($B36-#REF!&lt;0,0,$B36-#REF!)</f>
        <v>#REF!</v>
      </c>
      <c r="AA36" s="45" t="e">
        <f>IF($B36-#REF!&lt;0,0,$B36-#REF!)</f>
        <v>#REF!</v>
      </c>
      <c r="AB36" s="45" t="e">
        <f>IF($B36-#REF!&lt;0,0,$B36-#REF!)</f>
        <v>#REF!</v>
      </c>
      <c r="AC36" s="45" t="e">
        <f>IF($B36-#REF!&lt;0,0,$B36-#REF!)</f>
        <v>#REF!</v>
      </c>
      <c r="AD36" s="45" t="e">
        <f>IF($B36-#REF!&lt;0,0,$B36-#REF!)</f>
        <v>#REF!</v>
      </c>
      <c r="AE36" s="45" t="e">
        <f>IF($B36-#REF!&lt;0,0,$B36-#REF!)</f>
        <v>#REF!</v>
      </c>
      <c r="AF36" s="45" t="e">
        <f>IF($B36-#REF!&lt;0,0,$B36-#REF!)</f>
        <v>#REF!</v>
      </c>
      <c r="AG36" s="45" t="e">
        <f>IF($B36-#REF!&lt;0,0,$B36-#REF!)</f>
        <v>#REF!</v>
      </c>
      <c r="AH36" s="51">
        <v>14.9</v>
      </c>
      <c r="AI36" s="48" t="e">
        <f t="shared" si="2"/>
        <v>#REF!</v>
      </c>
      <c r="AJ36" s="49" t="e">
        <f t="shared" si="3"/>
        <v>#REF!</v>
      </c>
      <c r="AL36" s="170"/>
      <c r="AM36" s="28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</row>
    <row r="37" spans="1:89" x14ac:dyDescent="0.25">
      <c r="A37" s="44" t="s">
        <v>36</v>
      </c>
      <c r="B37" s="45">
        <v>6.5</v>
      </c>
      <c r="C37" s="45" t="e">
        <f>IF($B37-#REF!&lt;0,0,$B37-#REF!)</f>
        <v>#REF!</v>
      </c>
      <c r="D37" s="45" t="e">
        <f>IF($B37-#REF!&lt;0,0,$B37-#REF!)</f>
        <v>#REF!</v>
      </c>
      <c r="E37" s="45" t="e">
        <f>IF($B37-#REF!&lt;0,0,$B37-#REF!)</f>
        <v>#REF!</v>
      </c>
      <c r="F37" s="45" t="e">
        <f>IF($B37-#REF!&lt;0,0,$B37-#REF!)</f>
        <v>#REF!</v>
      </c>
      <c r="G37" s="45" t="e">
        <f>IF($B37-#REF!&lt;0,0,$B37-#REF!)</f>
        <v>#REF!</v>
      </c>
      <c r="H37" s="45" t="e">
        <f>IF($B37-#REF!&lt;0,0,$B37-#REF!)</f>
        <v>#REF!</v>
      </c>
      <c r="I37" s="45" t="e">
        <f>IF($B37-#REF!&lt;0,0,$B37-#REF!)</f>
        <v>#REF!</v>
      </c>
      <c r="J37" s="45" t="e">
        <f>IF($B37-#REF!&lt;0,0,$B37-#REF!)</f>
        <v>#REF!</v>
      </c>
      <c r="K37" s="45" t="e">
        <f>IF($B37-#REF!&lt;0,0,$B37-#REF!)</f>
        <v>#REF!</v>
      </c>
      <c r="L37" s="45" t="e">
        <f>IF($B37-#REF!&lt;0,0,$B37-#REF!)</f>
        <v>#REF!</v>
      </c>
      <c r="M37" s="45" t="e">
        <f>IF($B37-#REF!&lt;0,0,$B37-#REF!)</f>
        <v>#REF!</v>
      </c>
      <c r="N37" s="45" t="e">
        <f>IF($B37-#REF!&lt;0,0,$B37-#REF!)</f>
        <v>#REF!</v>
      </c>
      <c r="O37" s="45" t="e">
        <f>IF($B37-#REF!&lt;0,0,$B37-#REF!)</f>
        <v>#REF!</v>
      </c>
      <c r="P37" s="45" t="e">
        <f>IF($B37-#REF!&lt;0,0,$B37-#REF!)</f>
        <v>#REF!</v>
      </c>
      <c r="Q37" s="45" t="e">
        <f>IF($B37-#REF!&lt;0,0,$B37-#REF!)</f>
        <v>#REF!</v>
      </c>
      <c r="R37" s="45" t="e">
        <f>IF($B37-#REF!&lt;0,0,$B37-#REF!)</f>
        <v>#REF!</v>
      </c>
      <c r="S37" s="45" t="e">
        <f>IF($B37-#REF!&lt;0,0,$B37-#REF!)</f>
        <v>#REF!</v>
      </c>
      <c r="T37" s="45" t="e">
        <f>IF($B37-#REF!&lt;0,0,$B37-#REF!)</f>
        <v>#REF!</v>
      </c>
      <c r="U37" s="45" t="e">
        <f>IF($B37-#REF!&lt;0,0,$B37-#REF!)</f>
        <v>#REF!</v>
      </c>
      <c r="V37" s="45" t="e">
        <f>IF($B37-#REF!&lt;0,0,$B37-#REF!)</f>
        <v>#REF!</v>
      </c>
      <c r="W37" s="45" t="e">
        <f>IF($B37-#REF!&lt;0,0,$B37-#REF!)</f>
        <v>#REF!</v>
      </c>
      <c r="X37" s="45" t="e">
        <f>IF($B37-#REF!&lt;0,0,$B37-#REF!)</f>
        <v>#REF!</v>
      </c>
      <c r="Y37" s="45" t="e">
        <f>IF($B37-#REF!&lt;0,0,$B37-#REF!)</f>
        <v>#REF!</v>
      </c>
      <c r="Z37" s="45" t="e">
        <f>IF($B37-#REF!&lt;0,0,$B37-#REF!)</f>
        <v>#REF!</v>
      </c>
      <c r="AA37" s="45" t="e">
        <f>IF($B37-#REF!&lt;0,0,$B37-#REF!)</f>
        <v>#REF!</v>
      </c>
      <c r="AB37" s="45" t="e">
        <f>IF($B37-#REF!&lt;0,0,$B37-#REF!)</f>
        <v>#REF!</v>
      </c>
      <c r="AC37" s="45" t="e">
        <f>IF($B37-#REF!&lt;0,0,$B37-#REF!)</f>
        <v>#REF!</v>
      </c>
      <c r="AD37" s="45" t="e">
        <f>IF($B37-#REF!&lt;0,0,$B37-#REF!)</f>
        <v>#REF!</v>
      </c>
      <c r="AE37" s="45" t="e">
        <f>IF($B37-#REF!&lt;0,0,$B37-#REF!)</f>
        <v>#REF!</v>
      </c>
      <c r="AF37" s="45" t="e">
        <f>IF($B37-#REF!&lt;0,0,$B37-#REF!)</f>
        <v>#REF!</v>
      </c>
      <c r="AG37" s="45" t="e">
        <f>IF($B37-#REF!&lt;0,0,$B37-#REF!)</f>
        <v>#REF!</v>
      </c>
      <c r="AH37" s="51">
        <v>13.6</v>
      </c>
      <c r="AI37" s="48" t="e">
        <f t="shared" si="2"/>
        <v>#REF!</v>
      </c>
      <c r="AJ37" s="49" t="e">
        <f t="shared" si="3"/>
        <v>#REF!</v>
      </c>
      <c r="AL37" s="170"/>
      <c r="AM37" s="28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</row>
    <row r="38" spans="1:89" x14ac:dyDescent="0.25">
      <c r="A38" s="44" t="s">
        <v>37</v>
      </c>
      <c r="B38" s="45">
        <v>5</v>
      </c>
      <c r="C38" s="45" t="e">
        <f>IF($B38-#REF!&lt;0,0,$B38-#REF!)</f>
        <v>#REF!</v>
      </c>
      <c r="D38" s="45" t="e">
        <f>IF($B38-#REF!&lt;0,0,$B38-#REF!)</f>
        <v>#REF!</v>
      </c>
      <c r="E38" s="45" t="e">
        <f>IF($B38-#REF!&lt;0,0,$B38-#REF!)</f>
        <v>#REF!</v>
      </c>
      <c r="F38" s="45" t="e">
        <f>IF($B38-#REF!&lt;0,0,$B38-#REF!)</f>
        <v>#REF!</v>
      </c>
      <c r="G38" s="45" t="e">
        <f>IF($B38-#REF!&lt;0,0,$B38-#REF!)</f>
        <v>#REF!</v>
      </c>
      <c r="H38" s="45" t="e">
        <f>IF($B38-#REF!&lt;0,0,$B38-#REF!)</f>
        <v>#REF!</v>
      </c>
      <c r="I38" s="45" t="e">
        <f>IF($B38-#REF!&lt;0,0,$B38-#REF!)</f>
        <v>#REF!</v>
      </c>
      <c r="J38" s="45" t="e">
        <f>IF($B38-#REF!&lt;0,0,$B38-#REF!)</f>
        <v>#REF!</v>
      </c>
      <c r="K38" s="45" t="e">
        <f>IF($B38-#REF!&lt;0,0,$B38-#REF!)</f>
        <v>#REF!</v>
      </c>
      <c r="L38" s="45" t="e">
        <f>IF($B38-#REF!&lt;0,0,$B38-#REF!)</f>
        <v>#REF!</v>
      </c>
      <c r="M38" s="45" t="e">
        <f>IF($B38-#REF!&lt;0,0,$B38-#REF!)</f>
        <v>#REF!</v>
      </c>
      <c r="N38" s="45" t="e">
        <f>IF($B38-#REF!&lt;0,0,$B38-#REF!)</f>
        <v>#REF!</v>
      </c>
      <c r="O38" s="45" t="e">
        <f>IF($B38-#REF!&lt;0,0,$B38-#REF!)</f>
        <v>#REF!</v>
      </c>
      <c r="P38" s="45" t="e">
        <f>IF($B38-#REF!&lt;0,0,$B38-#REF!)</f>
        <v>#REF!</v>
      </c>
      <c r="Q38" s="45" t="e">
        <f>IF($B38-#REF!&lt;0,0,$B38-#REF!)</f>
        <v>#REF!</v>
      </c>
      <c r="R38" s="45" t="e">
        <f>IF($B38-#REF!&lt;0,0,$B38-#REF!)</f>
        <v>#REF!</v>
      </c>
      <c r="S38" s="45" t="e">
        <f>IF($B38-#REF!&lt;0,0,$B38-#REF!)</f>
        <v>#REF!</v>
      </c>
      <c r="T38" s="45" t="e">
        <f>IF($B38-#REF!&lt;0,0,$B38-#REF!)</f>
        <v>#REF!</v>
      </c>
      <c r="U38" s="45" t="e">
        <f>IF($B38-#REF!&lt;0,0,$B38-#REF!)</f>
        <v>#REF!</v>
      </c>
      <c r="V38" s="45" t="e">
        <f>IF($B38-#REF!&lt;0,0,$B38-#REF!)</f>
        <v>#REF!</v>
      </c>
      <c r="W38" s="45" t="e">
        <f>IF($B38-#REF!&lt;0,0,$B38-#REF!)</f>
        <v>#REF!</v>
      </c>
      <c r="X38" s="45" t="e">
        <f>IF($B38-#REF!&lt;0,0,$B38-#REF!)</f>
        <v>#REF!</v>
      </c>
      <c r="Y38" s="45" t="e">
        <f>IF($B38-#REF!&lt;0,0,$B38-#REF!)</f>
        <v>#REF!</v>
      </c>
      <c r="Z38" s="45" t="e">
        <f>IF($B38-#REF!&lt;0,0,$B38-#REF!)</f>
        <v>#REF!</v>
      </c>
      <c r="AA38" s="45" t="e">
        <f>IF($B38-#REF!&lt;0,0,$B38-#REF!)</f>
        <v>#REF!</v>
      </c>
      <c r="AB38" s="45" t="e">
        <f>IF($B38-#REF!&lt;0,0,$B38-#REF!)</f>
        <v>#REF!</v>
      </c>
      <c r="AC38" s="45" t="e">
        <f>IF($B38-#REF!&lt;0,0,$B38-#REF!)</f>
        <v>#REF!</v>
      </c>
      <c r="AD38" s="45" t="e">
        <f>IF($B38-#REF!&lt;0,0,$B38-#REF!)</f>
        <v>#REF!</v>
      </c>
      <c r="AE38" s="45" t="e">
        <f>IF($B38-#REF!&lt;0,0,$B38-#REF!)</f>
        <v>#REF!</v>
      </c>
      <c r="AF38" s="45" t="e">
        <f>IF($B38-#REF!&lt;0,0,$B38-#REF!)</f>
        <v>#REF!</v>
      </c>
      <c r="AG38" s="45" t="e">
        <f>IF($B38-#REF!&lt;0,0,$B38-#REF!)</f>
        <v>#REF!</v>
      </c>
      <c r="AH38" s="51">
        <v>13</v>
      </c>
      <c r="AI38" s="48" t="e">
        <f t="shared" si="2"/>
        <v>#REF!</v>
      </c>
      <c r="AJ38" s="49" t="e">
        <f t="shared" si="3"/>
        <v>#REF!</v>
      </c>
      <c r="AL38" s="170"/>
      <c r="AM38" s="28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</row>
    <row r="39" spans="1:89" x14ac:dyDescent="0.25">
      <c r="A39" s="44" t="s">
        <v>38</v>
      </c>
      <c r="B39" s="45">
        <v>10</v>
      </c>
      <c r="C39" s="45" t="e">
        <f>IF($B39-#REF!&lt;0,0,$B39-#REF!)</f>
        <v>#REF!</v>
      </c>
      <c r="D39" s="45" t="e">
        <f>IF($B39-#REF!&lt;0,0,$B39-#REF!)</f>
        <v>#REF!</v>
      </c>
      <c r="E39" s="45" t="e">
        <f>IF($B39-#REF!&lt;0,0,$B39-#REF!)</f>
        <v>#REF!</v>
      </c>
      <c r="F39" s="45" t="e">
        <f>IF($B39-#REF!&lt;0,0,$B39-#REF!)</f>
        <v>#REF!</v>
      </c>
      <c r="G39" s="45" t="e">
        <f>IF($B39-#REF!&lt;0,0,$B39-#REF!)</f>
        <v>#REF!</v>
      </c>
      <c r="H39" s="45" t="e">
        <f>IF($B39-#REF!&lt;0,0,$B39-#REF!)</f>
        <v>#REF!</v>
      </c>
      <c r="I39" s="45" t="e">
        <f>IF($B39-#REF!&lt;0,0,$B39-#REF!)</f>
        <v>#REF!</v>
      </c>
      <c r="J39" s="45" t="e">
        <f>IF($B39-#REF!&lt;0,0,$B39-#REF!)</f>
        <v>#REF!</v>
      </c>
      <c r="K39" s="45" t="e">
        <f>IF($B39-#REF!&lt;0,0,$B39-#REF!)</f>
        <v>#REF!</v>
      </c>
      <c r="L39" s="45" t="e">
        <f>IF($B39-#REF!&lt;0,0,$B39-#REF!)</f>
        <v>#REF!</v>
      </c>
      <c r="M39" s="45" t="e">
        <f>IF($B39-#REF!&lt;0,0,$B39-#REF!)</f>
        <v>#REF!</v>
      </c>
      <c r="N39" s="45" t="e">
        <f>IF($B39-#REF!&lt;0,0,$B39-#REF!)</f>
        <v>#REF!</v>
      </c>
      <c r="O39" s="45" t="e">
        <f>IF($B39-#REF!&lt;0,0,$B39-#REF!)</f>
        <v>#REF!</v>
      </c>
      <c r="P39" s="45" t="e">
        <f>IF($B39-#REF!&lt;0,0,$B39-#REF!)</f>
        <v>#REF!</v>
      </c>
      <c r="Q39" s="45" t="e">
        <f>IF($B39-#REF!&lt;0,0,$B39-#REF!)</f>
        <v>#REF!</v>
      </c>
      <c r="R39" s="45" t="e">
        <f>IF($B39-#REF!&lt;0,0,$B39-#REF!)</f>
        <v>#REF!</v>
      </c>
      <c r="S39" s="45" t="e">
        <f>IF($B39-#REF!&lt;0,0,$B39-#REF!)</f>
        <v>#REF!</v>
      </c>
      <c r="T39" s="45" t="e">
        <f>IF($B39-#REF!&lt;0,0,$B39-#REF!)</f>
        <v>#REF!</v>
      </c>
      <c r="U39" s="45" t="e">
        <f>IF($B39-#REF!&lt;0,0,$B39-#REF!)</f>
        <v>#REF!</v>
      </c>
      <c r="V39" s="45" t="e">
        <f>IF($B39-#REF!&lt;0,0,$B39-#REF!)</f>
        <v>#REF!</v>
      </c>
      <c r="W39" s="45" t="e">
        <f>IF($B39-#REF!&lt;0,0,$B39-#REF!)</f>
        <v>#REF!</v>
      </c>
      <c r="X39" s="45" t="e">
        <f>IF($B39-#REF!&lt;0,0,$B39-#REF!)</f>
        <v>#REF!</v>
      </c>
      <c r="Y39" s="45" t="e">
        <f>IF($B39-#REF!&lt;0,0,$B39-#REF!)</f>
        <v>#REF!</v>
      </c>
      <c r="Z39" s="45" t="e">
        <f>IF($B39-#REF!&lt;0,0,$B39-#REF!)</f>
        <v>#REF!</v>
      </c>
      <c r="AA39" s="45" t="e">
        <f>IF($B39-#REF!&lt;0,0,$B39-#REF!)</f>
        <v>#REF!</v>
      </c>
      <c r="AB39" s="45" t="e">
        <f>IF($B39-#REF!&lt;0,0,$B39-#REF!)</f>
        <v>#REF!</v>
      </c>
      <c r="AC39" s="45" t="e">
        <f>IF($B39-#REF!&lt;0,0,$B39-#REF!)</f>
        <v>#REF!</v>
      </c>
      <c r="AD39" s="45" t="e">
        <f>IF($B39-#REF!&lt;0,0,$B39-#REF!)</f>
        <v>#REF!</v>
      </c>
      <c r="AE39" s="45" t="e">
        <f>IF($B39-#REF!&lt;0,0,$B39-#REF!)</f>
        <v>#REF!</v>
      </c>
      <c r="AF39" s="45" t="e">
        <f>IF($B39-#REF!&lt;0,0,$B39-#REF!)</f>
        <v>#REF!</v>
      </c>
      <c r="AG39" s="45" t="e">
        <f>IF($B39-#REF!&lt;0,0,$B39-#REF!)</f>
        <v>#REF!</v>
      </c>
      <c r="AH39" s="51">
        <v>12</v>
      </c>
      <c r="AI39" s="48" t="e">
        <f t="shared" si="2"/>
        <v>#REF!</v>
      </c>
      <c r="AJ39" s="49" t="e">
        <f t="shared" si="3"/>
        <v>#REF!</v>
      </c>
      <c r="AL39" s="170"/>
      <c r="AM39" s="28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</row>
    <row r="40" spans="1:89" x14ac:dyDescent="0.25">
      <c r="A40" s="44" t="s">
        <v>39</v>
      </c>
      <c r="B40" s="45">
        <v>12</v>
      </c>
      <c r="C40" s="45" t="e">
        <f>IF($B40-#REF!&lt;0,0,$B40-#REF!)</f>
        <v>#REF!</v>
      </c>
      <c r="D40" s="45" t="e">
        <f>IF($B40-#REF!&lt;0,0,$B40-#REF!)</f>
        <v>#REF!</v>
      </c>
      <c r="E40" s="45" t="e">
        <f>IF($B40-#REF!&lt;0,0,$B40-#REF!)</f>
        <v>#REF!</v>
      </c>
      <c r="F40" s="45" t="e">
        <f>IF($B40-#REF!&lt;0,0,$B40-#REF!)</f>
        <v>#REF!</v>
      </c>
      <c r="G40" s="45" t="e">
        <f>IF($B40-#REF!&lt;0,0,$B40-#REF!)</f>
        <v>#REF!</v>
      </c>
      <c r="H40" s="45" t="e">
        <f>IF($B40-#REF!&lt;0,0,$B40-#REF!)</f>
        <v>#REF!</v>
      </c>
      <c r="I40" s="45" t="e">
        <f>IF($B40-#REF!&lt;0,0,$B40-#REF!)</f>
        <v>#REF!</v>
      </c>
      <c r="J40" s="45" t="e">
        <f>IF($B40-#REF!&lt;0,0,$B40-#REF!)</f>
        <v>#REF!</v>
      </c>
      <c r="K40" s="45" t="e">
        <f>IF($B40-#REF!&lt;0,0,$B40-#REF!)</f>
        <v>#REF!</v>
      </c>
      <c r="L40" s="45" t="e">
        <f>IF($B40-#REF!&lt;0,0,$B40-#REF!)</f>
        <v>#REF!</v>
      </c>
      <c r="M40" s="45" t="e">
        <f>IF($B40-#REF!&lt;0,0,$B40-#REF!)</f>
        <v>#REF!</v>
      </c>
      <c r="N40" s="45" t="e">
        <f>IF($B40-#REF!&lt;0,0,$B40-#REF!)</f>
        <v>#REF!</v>
      </c>
      <c r="O40" s="45" t="e">
        <f>IF($B40-#REF!&lt;0,0,$B40-#REF!)</f>
        <v>#REF!</v>
      </c>
      <c r="P40" s="45" t="e">
        <f>IF($B40-#REF!&lt;0,0,$B40-#REF!)</f>
        <v>#REF!</v>
      </c>
      <c r="Q40" s="45" t="e">
        <f>IF($B40-#REF!&lt;0,0,$B40-#REF!)</f>
        <v>#REF!</v>
      </c>
      <c r="R40" s="45" t="e">
        <f>IF($B40-#REF!&lt;0,0,$B40-#REF!)</f>
        <v>#REF!</v>
      </c>
      <c r="S40" s="45" t="e">
        <f>IF($B40-#REF!&lt;0,0,$B40-#REF!)</f>
        <v>#REF!</v>
      </c>
      <c r="T40" s="45" t="e">
        <f>IF($B40-#REF!&lt;0,0,$B40-#REF!)</f>
        <v>#REF!</v>
      </c>
      <c r="U40" s="45" t="e">
        <f>IF($B40-#REF!&lt;0,0,$B40-#REF!)</f>
        <v>#REF!</v>
      </c>
      <c r="V40" s="45" t="e">
        <f>IF($B40-#REF!&lt;0,0,$B40-#REF!)</f>
        <v>#REF!</v>
      </c>
      <c r="W40" s="45" t="e">
        <f>IF($B40-#REF!&lt;0,0,$B40-#REF!)</f>
        <v>#REF!</v>
      </c>
      <c r="X40" s="45" t="e">
        <f>IF($B40-#REF!&lt;0,0,$B40-#REF!)</f>
        <v>#REF!</v>
      </c>
      <c r="Y40" s="45" t="e">
        <f>IF($B40-#REF!&lt;0,0,$B40-#REF!)</f>
        <v>#REF!</v>
      </c>
      <c r="Z40" s="45" t="e">
        <f>IF($B40-#REF!&lt;0,0,$B40-#REF!)</f>
        <v>#REF!</v>
      </c>
      <c r="AA40" s="45" t="e">
        <f>IF($B40-#REF!&lt;0,0,$B40-#REF!)</f>
        <v>#REF!</v>
      </c>
      <c r="AB40" s="45" t="e">
        <f>IF($B40-#REF!&lt;0,0,$B40-#REF!)</f>
        <v>#REF!</v>
      </c>
      <c r="AC40" s="45" t="e">
        <f>IF($B40-#REF!&lt;0,0,$B40-#REF!)</f>
        <v>#REF!</v>
      </c>
      <c r="AD40" s="45" t="e">
        <f>IF($B40-#REF!&lt;0,0,$B40-#REF!)</f>
        <v>#REF!</v>
      </c>
      <c r="AE40" s="45" t="e">
        <f>IF($B40-#REF!&lt;0,0,$B40-#REF!)</f>
        <v>#REF!</v>
      </c>
      <c r="AF40" s="45" t="e">
        <f>IF($B40-#REF!&lt;0,0,$B40-#REF!)</f>
        <v>#REF!</v>
      </c>
      <c r="AG40" s="45" t="e">
        <f>IF($B40-#REF!&lt;0,0,$B40-#REF!)</f>
        <v>#REF!</v>
      </c>
      <c r="AH40" s="51">
        <v>12</v>
      </c>
      <c r="AI40" s="48" t="e">
        <f t="shared" si="2"/>
        <v>#REF!</v>
      </c>
      <c r="AJ40" s="49" t="e">
        <f t="shared" si="3"/>
        <v>#REF!</v>
      </c>
      <c r="AL40" s="170"/>
      <c r="AM40" s="28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</row>
    <row r="41" spans="1:89" x14ac:dyDescent="0.25">
      <c r="A41" s="44" t="s">
        <v>261</v>
      </c>
      <c r="B41" s="45">
        <v>6.9</v>
      </c>
      <c r="C41" s="45" t="e">
        <f>IF($B41-#REF!&lt;0,0,$B41-#REF!)</f>
        <v>#REF!</v>
      </c>
      <c r="D41" s="45" t="e">
        <f>IF($B41-#REF!&lt;0,0,$B41-#REF!)</f>
        <v>#REF!</v>
      </c>
      <c r="E41" s="45" t="e">
        <f>IF($B41-#REF!&lt;0,0,$B41-#REF!)</f>
        <v>#REF!</v>
      </c>
      <c r="F41" s="45" t="e">
        <f>IF($B41-#REF!&lt;0,0,$B41-#REF!)</f>
        <v>#REF!</v>
      </c>
      <c r="G41" s="45" t="e">
        <f>IF($B41-#REF!&lt;0,0,$B41-#REF!)</f>
        <v>#REF!</v>
      </c>
      <c r="H41" s="45" t="e">
        <f>IF($B41-#REF!&lt;0,0,$B41-#REF!)</f>
        <v>#REF!</v>
      </c>
      <c r="I41" s="45" t="e">
        <f>IF($B41-#REF!&lt;0,0,$B41-#REF!)</f>
        <v>#REF!</v>
      </c>
      <c r="J41" s="45" t="e">
        <f>IF($B41-#REF!&lt;0,0,$B41-#REF!)</f>
        <v>#REF!</v>
      </c>
      <c r="K41" s="45" t="e">
        <f>IF($B41-#REF!&lt;0,0,$B41-#REF!)</f>
        <v>#REF!</v>
      </c>
      <c r="L41" s="45" t="e">
        <f>IF($B41-#REF!&lt;0,0,$B41-#REF!)</f>
        <v>#REF!</v>
      </c>
      <c r="M41" s="45" t="e">
        <f>IF($B41-#REF!&lt;0,0,$B41-#REF!)</f>
        <v>#REF!</v>
      </c>
      <c r="N41" s="45" t="e">
        <f>IF($B41-#REF!&lt;0,0,$B41-#REF!)</f>
        <v>#REF!</v>
      </c>
      <c r="O41" s="45" t="e">
        <f>IF($B41-#REF!&lt;0,0,$B41-#REF!)</f>
        <v>#REF!</v>
      </c>
      <c r="P41" s="45" t="e">
        <f>IF($B41-#REF!&lt;0,0,$B41-#REF!)</f>
        <v>#REF!</v>
      </c>
      <c r="Q41" s="45" t="e">
        <f>IF($B41-#REF!&lt;0,0,$B41-#REF!)</f>
        <v>#REF!</v>
      </c>
      <c r="R41" s="45" t="e">
        <f>IF($B41-#REF!&lt;0,0,$B41-#REF!)</f>
        <v>#REF!</v>
      </c>
      <c r="S41" s="45" t="e">
        <f>IF($B41-#REF!&lt;0,0,$B41-#REF!)</f>
        <v>#REF!</v>
      </c>
      <c r="T41" s="45" t="e">
        <f>IF($B41-#REF!&lt;0,0,$B41-#REF!)</f>
        <v>#REF!</v>
      </c>
      <c r="U41" s="45" t="e">
        <f>IF($B41-#REF!&lt;0,0,$B41-#REF!)</f>
        <v>#REF!</v>
      </c>
      <c r="V41" s="45" t="e">
        <f>IF($B41-#REF!&lt;0,0,$B41-#REF!)</f>
        <v>#REF!</v>
      </c>
      <c r="W41" s="45" t="e">
        <f>IF($B41-#REF!&lt;0,0,$B41-#REF!)</f>
        <v>#REF!</v>
      </c>
      <c r="X41" s="45" t="e">
        <f>IF($B41-#REF!&lt;0,0,$B41-#REF!)</f>
        <v>#REF!</v>
      </c>
      <c r="Y41" s="45" t="e">
        <f>IF($B41-#REF!&lt;0,0,$B41-#REF!)</f>
        <v>#REF!</v>
      </c>
      <c r="Z41" s="45" t="e">
        <f>IF($B41-#REF!&lt;0,0,$B41-#REF!)</f>
        <v>#REF!</v>
      </c>
      <c r="AA41" s="45" t="e">
        <f>IF($B41-#REF!&lt;0,0,$B41-#REF!)</f>
        <v>#REF!</v>
      </c>
      <c r="AB41" s="45" t="e">
        <f>IF($B41-#REF!&lt;0,0,$B41-#REF!)</f>
        <v>#REF!</v>
      </c>
      <c r="AC41" s="45" t="e">
        <f>IF($B41-#REF!&lt;0,0,$B41-#REF!)</f>
        <v>#REF!</v>
      </c>
      <c r="AD41" s="45" t="e">
        <f>IF($B41-#REF!&lt;0,0,$B41-#REF!)</f>
        <v>#REF!</v>
      </c>
      <c r="AE41" s="45" t="e">
        <f>IF($B41-#REF!&lt;0,0,$B41-#REF!)</f>
        <v>#REF!</v>
      </c>
      <c r="AF41" s="45" t="e">
        <f>IF($B41-#REF!&lt;0,0,$B41-#REF!)</f>
        <v>#REF!</v>
      </c>
      <c r="AG41" s="45" t="e">
        <f>IF($B41-#REF!&lt;0,0,$B41-#REF!)</f>
        <v>#REF!</v>
      </c>
      <c r="AH41" s="51">
        <v>12</v>
      </c>
      <c r="AI41" s="48" t="e">
        <f t="shared" si="2"/>
        <v>#REF!</v>
      </c>
      <c r="AJ41" s="49" t="e">
        <f t="shared" si="3"/>
        <v>#REF!</v>
      </c>
      <c r="AL41" s="170"/>
      <c r="AM41" s="28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</row>
    <row r="42" spans="1:89" ht="14.25" customHeight="1" x14ac:dyDescent="0.25">
      <c r="A42" s="44" t="s">
        <v>41</v>
      </c>
      <c r="B42" s="45">
        <v>8</v>
      </c>
      <c r="C42" s="45" t="e">
        <f>IF($B42-#REF!&lt;0,0,$B42-#REF!)</f>
        <v>#REF!</v>
      </c>
      <c r="D42" s="45" t="e">
        <f>IF($B42-#REF!&lt;0,0,$B42-#REF!)</f>
        <v>#REF!</v>
      </c>
      <c r="E42" s="45" t="e">
        <f>IF($B42-#REF!&lt;0,0,$B42-#REF!)</f>
        <v>#REF!</v>
      </c>
      <c r="F42" s="45" t="e">
        <f>IF($B42-#REF!&lt;0,0,$B42-#REF!)</f>
        <v>#REF!</v>
      </c>
      <c r="G42" s="45" t="e">
        <f>IF($B42-#REF!&lt;0,0,$B42-#REF!)</f>
        <v>#REF!</v>
      </c>
      <c r="H42" s="45" t="e">
        <f>IF($B42-#REF!&lt;0,0,$B42-#REF!)</f>
        <v>#REF!</v>
      </c>
      <c r="I42" s="45" t="e">
        <f>IF($B42-#REF!&lt;0,0,$B42-#REF!)</f>
        <v>#REF!</v>
      </c>
      <c r="J42" s="45" t="e">
        <f>IF($B42-#REF!&lt;0,0,$B42-#REF!)</f>
        <v>#REF!</v>
      </c>
      <c r="K42" s="45" t="e">
        <f>IF($B42-#REF!&lt;0,0,$B42-#REF!)</f>
        <v>#REF!</v>
      </c>
      <c r="L42" s="45" t="e">
        <f>IF($B42-#REF!&lt;0,0,$B42-#REF!)</f>
        <v>#REF!</v>
      </c>
      <c r="M42" s="45" t="e">
        <f>IF($B42-#REF!&lt;0,0,$B42-#REF!)</f>
        <v>#REF!</v>
      </c>
      <c r="N42" s="45" t="e">
        <f>IF($B42-#REF!&lt;0,0,$B42-#REF!)</f>
        <v>#REF!</v>
      </c>
      <c r="O42" s="45" t="e">
        <f>IF($B42-#REF!&lt;0,0,$B42-#REF!)</f>
        <v>#REF!</v>
      </c>
      <c r="P42" s="45" t="e">
        <f>IF($B42-#REF!&lt;0,0,$B42-#REF!)</f>
        <v>#REF!</v>
      </c>
      <c r="Q42" s="45" t="e">
        <f>IF($B42-#REF!&lt;0,0,$B42-#REF!)</f>
        <v>#REF!</v>
      </c>
      <c r="R42" s="45" t="e">
        <f>IF($B42-#REF!&lt;0,0,$B42-#REF!)</f>
        <v>#REF!</v>
      </c>
      <c r="S42" s="45" t="e">
        <f>IF($B42-#REF!&lt;0,0,$B42-#REF!)</f>
        <v>#REF!</v>
      </c>
      <c r="T42" s="45" t="e">
        <f>IF($B42-#REF!&lt;0,0,$B42-#REF!)</f>
        <v>#REF!</v>
      </c>
      <c r="U42" s="45" t="e">
        <f>IF($B42-#REF!&lt;0,0,$B42-#REF!)</f>
        <v>#REF!</v>
      </c>
      <c r="V42" s="45" t="e">
        <f>IF($B42-#REF!&lt;0,0,$B42-#REF!)</f>
        <v>#REF!</v>
      </c>
      <c r="W42" s="45" t="e">
        <f>IF($B42-#REF!&lt;0,0,$B42-#REF!)</f>
        <v>#REF!</v>
      </c>
      <c r="X42" s="45" t="e">
        <f>IF($B42-#REF!&lt;0,0,$B42-#REF!)</f>
        <v>#REF!</v>
      </c>
      <c r="Y42" s="45" t="e">
        <f>IF($B42-#REF!&lt;0,0,$B42-#REF!)</f>
        <v>#REF!</v>
      </c>
      <c r="Z42" s="45" t="e">
        <f>IF($B42-#REF!&lt;0,0,$B42-#REF!)</f>
        <v>#REF!</v>
      </c>
      <c r="AA42" s="45" t="e">
        <f>IF($B42-#REF!&lt;0,0,$B42-#REF!)</f>
        <v>#REF!</v>
      </c>
      <c r="AB42" s="45" t="e">
        <f>IF($B42-#REF!&lt;0,0,$B42-#REF!)</f>
        <v>#REF!</v>
      </c>
      <c r="AC42" s="45" t="e">
        <f>IF($B42-#REF!&lt;0,0,$B42-#REF!)</f>
        <v>#REF!</v>
      </c>
      <c r="AD42" s="45" t="e">
        <f>IF($B42-#REF!&lt;0,0,$B42-#REF!)</f>
        <v>#REF!</v>
      </c>
      <c r="AE42" s="45" t="e">
        <f>IF($B42-#REF!&lt;0,0,$B42-#REF!)</f>
        <v>#REF!</v>
      </c>
      <c r="AF42" s="45" t="e">
        <f>IF($B42-#REF!&lt;0,0,$B42-#REF!)</f>
        <v>#REF!</v>
      </c>
      <c r="AG42" s="45" t="e">
        <f>IF($B42-#REF!&lt;0,0,$B42-#REF!)</f>
        <v>#REF!</v>
      </c>
      <c r="AH42" s="53">
        <v>22</v>
      </c>
      <c r="AI42" s="48" t="e">
        <f t="shared" si="2"/>
        <v>#REF!</v>
      </c>
      <c r="AJ42" s="49" t="e">
        <f t="shared" si="3"/>
        <v>#REF!</v>
      </c>
      <c r="AL42" s="170"/>
      <c r="AM42" s="28"/>
      <c r="AN42" s="24"/>
      <c r="AO42" s="24"/>
      <c r="AP42" s="24"/>
      <c r="AQ42" s="24"/>
      <c r="AR42" s="15"/>
      <c r="AS42" s="21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</row>
    <row r="43" spans="1:89" ht="14.25" customHeight="1" x14ac:dyDescent="0.25">
      <c r="A43" s="44" t="s">
        <v>42</v>
      </c>
      <c r="B43" s="45">
        <v>8</v>
      </c>
      <c r="C43" s="45" t="e">
        <f>IF($B43-#REF!&lt;0,0,$B43-#REF!)</f>
        <v>#REF!</v>
      </c>
      <c r="D43" s="45" t="e">
        <f>IF($B43-#REF!&lt;0,0,$B43-#REF!)</f>
        <v>#REF!</v>
      </c>
      <c r="E43" s="45" t="e">
        <f>IF($B43-#REF!&lt;0,0,$B43-#REF!)</f>
        <v>#REF!</v>
      </c>
      <c r="F43" s="45" t="e">
        <f>IF($B43-#REF!&lt;0,0,$B43-#REF!)</f>
        <v>#REF!</v>
      </c>
      <c r="G43" s="45" t="e">
        <f>IF($B43-#REF!&lt;0,0,$B43-#REF!)</f>
        <v>#REF!</v>
      </c>
      <c r="H43" s="45" t="e">
        <f>IF($B43-#REF!&lt;0,0,$B43-#REF!)</f>
        <v>#REF!</v>
      </c>
      <c r="I43" s="45" t="e">
        <f>IF($B43-#REF!&lt;0,0,$B43-#REF!)</f>
        <v>#REF!</v>
      </c>
      <c r="J43" s="45" t="e">
        <f>IF($B43-#REF!&lt;0,0,$B43-#REF!)</f>
        <v>#REF!</v>
      </c>
      <c r="K43" s="45" t="e">
        <f>IF($B43-#REF!&lt;0,0,$B43-#REF!)</f>
        <v>#REF!</v>
      </c>
      <c r="L43" s="45" t="e">
        <f>IF($B43-#REF!&lt;0,0,$B43-#REF!)</f>
        <v>#REF!</v>
      </c>
      <c r="M43" s="45" t="e">
        <f>IF($B43-#REF!&lt;0,0,$B43-#REF!)</f>
        <v>#REF!</v>
      </c>
      <c r="N43" s="45" t="e">
        <f>IF($B43-#REF!&lt;0,0,$B43-#REF!)</f>
        <v>#REF!</v>
      </c>
      <c r="O43" s="45" t="e">
        <f>IF($B43-#REF!&lt;0,0,$B43-#REF!)</f>
        <v>#REF!</v>
      </c>
      <c r="P43" s="45" t="e">
        <f>IF($B43-#REF!&lt;0,0,$B43-#REF!)</f>
        <v>#REF!</v>
      </c>
      <c r="Q43" s="45" t="e">
        <f>IF($B43-#REF!&lt;0,0,$B43-#REF!)</f>
        <v>#REF!</v>
      </c>
      <c r="R43" s="45" t="e">
        <f>IF($B43-#REF!&lt;0,0,$B43-#REF!)</f>
        <v>#REF!</v>
      </c>
      <c r="S43" s="45" t="e">
        <f>IF($B43-#REF!&lt;0,0,$B43-#REF!)</f>
        <v>#REF!</v>
      </c>
      <c r="T43" s="45" t="e">
        <f>IF($B43-#REF!&lt;0,0,$B43-#REF!)</f>
        <v>#REF!</v>
      </c>
      <c r="U43" s="45" t="e">
        <f>IF($B43-#REF!&lt;0,0,$B43-#REF!)</f>
        <v>#REF!</v>
      </c>
      <c r="V43" s="45" t="e">
        <f>IF($B43-#REF!&lt;0,0,$B43-#REF!)</f>
        <v>#REF!</v>
      </c>
      <c r="W43" s="45" t="e">
        <f>IF($B43-#REF!&lt;0,0,$B43-#REF!)</f>
        <v>#REF!</v>
      </c>
      <c r="X43" s="45" t="e">
        <f>IF($B43-#REF!&lt;0,0,$B43-#REF!)</f>
        <v>#REF!</v>
      </c>
      <c r="Y43" s="45" t="e">
        <f>IF($B43-#REF!&lt;0,0,$B43-#REF!)</f>
        <v>#REF!</v>
      </c>
      <c r="Z43" s="45" t="e">
        <f>IF($B43-#REF!&lt;0,0,$B43-#REF!)</f>
        <v>#REF!</v>
      </c>
      <c r="AA43" s="45" t="e">
        <f>IF($B43-#REF!&lt;0,0,$B43-#REF!)</f>
        <v>#REF!</v>
      </c>
      <c r="AB43" s="45" t="e">
        <f>IF($B43-#REF!&lt;0,0,$B43-#REF!)</f>
        <v>#REF!</v>
      </c>
      <c r="AC43" s="45" t="e">
        <f>IF($B43-#REF!&lt;0,0,$B43-#REF!)</f>
        <v>#REF!</v>
      </c>
      <c r="AD43" s="45" t="e">
        <f>IF($B43-#REF!&lt;0,0,$B43-#REF!)</f>
        <v>#REF!</v>
      </c>
      <c r="AE43" s="45" t="e">
        <f>IF($B43-#REF!&lt;0,0,$B43-#REF!)</f>
        <v>#REF!</v>
      </c>
      <c r="AF43" s="45" t="e">
        <f>IF($B43-#REF!&lt;0,0,$B43-#REF!)</f>
        <v>#REF!</v>
      </c>
      <c r="AG43" s="45" t="e">
        <f>IF($B43-#REF!&lt;0,0,$B43-#REF!)</f>
        <v>#REF!</v>
      </c>
      <c r="AH43" s="52">
        <v>11.88</v>
      </c>
      <c r="AI43" s="48" t="e">
        <f t="shared" si="2"/>
        <v>#REF!</v>
      </c>
      <c r="AJ43" s="49" t="e">
        <f t="shared" si="3"/>
        <v>#REF!</v>
      </c>
      <c r="AL43" s="170"/>
      <c r="AM43" s="28"/>
      <c r="AN43" s="24"/>
      <c r="AO43" s="24"/>
      <c r="AP43" s="24"/>
      <c r="AQ43" s="24"/>
      <c r="AR43" s="15"/>
      <c r="AS43" s="21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</row>
    <row r="44" spans="1:89" ht="14.25" customHeight="1" x14ac:dyDescent="0.25">
      <c r="A44" s="54" t="s">
        <v>43</v>
      </c>
      <c r="B44" s="45">
        <v>11</v>
      </c>
      <c r="C44" s="45" t="e">
        <f>IF($B44-#REF!&lt;0,0,$B44-#REF!)</f>
        <v>#REF!</v>
      </c>
      <c r="D44" s="45" t="e">
        <f>IF($B44-#REF!&lt;0,0,$B44-#REF!)</f>
        <v>#REF!</v>
      </c>
      <c r="E44" s="45" t="e">
        <f>IF($B44-#REF!&lt;0,0,$B44-#REF!)</f>
        <v>#REF!</v>
      </c>
      <c r="F44" s="45" t="e">
        <f>IF($B44-#REF!&lt;0,0,$B44-#REF!)</f>
        <v>#REF!</v>
      </c>
      <c r="G44" s="45" t="e">
        <f>IF($B44-#REF!&lt;0,0,$B44-#REF!)</f>
        <v>#REF!</v>
      </c>
      <c r="H44" s="45" t="e">
        <f>IF($B44-#REF!&lt;0,0,$B44-#REF!)</f>
        <v>#REF!</v>
      </c>
      <c r="I44" s="45" t="e">
        <f>IF($B44-#REF!&lt;0,0,$B44-#REF!)</f>
        <v>#REF!</v>
      </c>
      <c r="J44" s="45" t="e">
        <f>IF($B44-#REF!&lt;0,0,$B44-#REF!)</f>
        <v>#REF!</v>
      </c>
      <c r="K44" s="45" t="e">
        <f>IF($B44-#REF!&lt;0,0,$B44-#REF!)</f>
        <v>#REF!</v>
      </c>
      <c r="L44" s="45" t="e">
        <f>IF($B44-#REF!&lt;0,0,$B44-#REF!)</f>
        <v>#REF!</v>
      </c>
      <c r="M44" s="45" t="e">
        <f>IF($B44-#REF!&lt;0,0,$B44-#REF!)</f>
        <v>#REF!</v>
      </c>
      <c r="N44" s="45" t="e">
        <f>IF($B44-#REF!&lt;0,0,$B44-#REF!)</f>
        <v>#REF!</v>
      </c>
      <c r="O44" s="45" t="e">
        <f>IF($B44-#REF!&lt;0,0,$B44-#REF!)</f>
        <v>#REF!</v>
      </c>
      <c r="P44" s="45" t="e">
        <f>IF($B44-#REF!&lt;0,0,$B44-#REF!)</f>
        <v>#REF!</v>
      </c>
      <c r="Q44" s="45" t="e">
        <f>IF($B44-#REF!&lt;0,0,$B44-#REF!)</f>
        <v>#REF!</v>
      </c>
      <c r="R44" s="45" t="e">
        <f>IF($B44-#REF!&lt;0,0,$B44-#REF!)</f>
        <v>#REF!</v>
      </c>
      <c r="S44" s="45" t="e">
        <f>IF($B44-#REF!&lt;0,0,$B44-#REF!)</f>
        <v>#REF!</v>
      </c>
      <c r="T44" s="45" t="e">
        <f>IF($B44-#REF!&lt;0,0,$B44-#REF!)</f>
        <v>#REF!</v>
      </c>
      <c r="U44" s="45" t="e">
        <f>IF($B44-#REF!&lt;0,0,$B44-#REF!)</f>
        <v>#REF!</v>
      </c>
      <c r="V44" s="45" t="e">
        <f>IF($B44-#REF!&lt;0,0,$B44-#REF!)</f>
        <v>#REF!</v>
      </c>
      <c r="W44" s="45" t="e">
        <f>IF($B44-#REF!&lt;0,0,$B44-#REF!)</f>
        <v>#REF!</v>
      </c>
      <c r="X44" s="45" t="e">
        <f>IF($B44-#REF!&lt;0,0,$B44-#REF!)</f>
        <v>#REF!</v>
      </c>
      <c r="Y44" s="45" t="e">
        <f>IF($B44-#REF!&lt;0,0,$B44-#REF!)</f>
        <v>#REF!</v>
      </c>
      <c r="Z44" s="45" t="e">
        <f>IF($B44-#REF!&lt;0,0,$B44-#REF!)</f>
        <v>#REF!</v>
      </c>
      <c r="AA44" s="45" t="e">
        <f>IF($B44-#REF!&lt;0,0,$B44-#REF!)</f>
        <v>#REF!</v>
      </c>
      <c r="AB44" s="45" t="e">
        <f>IF($B44-#REF!&lt;0,0,$B44-#REF!)</f>
        <v>#REF!</v>
      </c>
      <c r="AC44" s="45" t="e">
        <f>IF($B44-#REF!&lt;0,0,$B44-#REF!)</f>
        <v>#REF!</v>
      </c>
      <c r="AD44" s="45" t="e">
        <f>IF($B44-#REF!&lt;0,0,$B44-#REF!)</f>
        <v>#REF!</v>
      </c>
      <c r="AE44" s="45" t="e">
        <f>IF($B44-#REF!&lt;0,0,$B44-#REF!)</f>
        <v>#REF!</v>
      </c>
      <c r="AF44" s="45" t="e">
        <f>IF($B44-#REF!&lt;0,0,$B44-#REF!)</f>
        <v>#REF!</v>
      </c>
      <c r="AG44" s="45" t="e">
        <f>IF($B44-#REF!&lt;0,0,$B44-#REF!)</f>
        <v>#REF!</v>
      </c>
      <c r="AH44" s="55">
        <v>11</v>
      </c>
      <c r="AI44" s="48" t="e">
        <f t="shared" si="2"/>
        <v>#REF!</v>
      </c>
      <c r="AJ44" s="49" t="e">
        <f t="shared" si="3"/>
        <v>#REF!</v>
      </c>
      <c r="AL44" s="170"/>
      <c r="AM44" s="28"/>
      <c r="AN44" s="24"/>
      <c r="AO44" s="24"/>
      <c r="AP44" s="24"/>
      <c r="AQ44" s="24"/>
      <c r="AR44" s="15"/>
      <c r="AS44" s="21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</row>
    <row r="45" spans="1:89" ht="14.25" customHeight="1" x14ac:dyDescent="0.25">
      <c r="A45" s="54" t="s">
        <v>44</v>
      </c>
      <c r="B45" s="45">
        <v>8</v>
      </c>
      <c r="C45" s="45" t="e">
        <f>IF($B45-#REF!&lt;0,0,$B45-#REF!)</f>
        <v>#REF!</v>
      </c>
      <c r="D45" s="45" t="e">
        <f>IF($B45-#REF!&lt;0,0,$B45-#REF!)</f>
        <v>#REF!</v>
      </c>
      <c r="E45" s="45" t="e">
        <f>IF($B45-#REF!&lt;0,0,$B45-#REF!)</f>
        <v>#REF!</v>
      </c>
      <c r="F45" s="45" t="e">
        <f>IF($B45-#REF!&lt;0,0,$B45-#REF!)</f>
        <v>#REF!</v>
      </c>
      <c r="G45" s="45" t="e">
        <f>IF($B45-#REF!&lt;0,0,$B45-#REF!)</f>
        <v>#REF!</v>
      </c>
      <c r="H45" s="45" t="e">
        <f>IF($B45-#REF!&lt;0,0,$B45-#REF!)</f>
        <v>#REF!</v>
      </c>
      <c r="I45" s="45" t="e">
        <f>IF($B45-#REF!&lt;0,0,$B45-#REF!)</f>
        <v>#REF!</v>
      </c>
      <c r="J45" s="45" t="e">
        <f>IF($B45-#REF!&lt;0,0,$B45-#REF!)</f>
        <v>#REF!</v>
      </c>
      <c r="K45" s="45" t="e">
        <f>IF($B45-#REF!&lt;0,0,$B45-#REF!)</f>
        <v>#REF!</v>
      </c>
      <c r="L45" s="45" t="e">
        <f>IF($B45-#REF!&lt;0,0,$B45-#REF!)</f>
        <v>#REF!</v>
      </c>
      <c r="M45" s="45" t="e">
        <f>IF($B45-#REF!&lt;0,0,$B45-#REF!)</f>
        <v>#REF!</v>
      </c>
      <c r="N45" s="45" t="e">
        <f>IF($B45-#REF!&lt;0,0,$B45-#REF!)</f>
        <v>#REF!</v>
      </c>
      <c r="O45" s="45" t="e">
        <f>IF($B45-#REF!&lt;0,0,$B45-#REF!)</f>
        <v>#REF!</v>
      </c>
      <c r="P45" s="45" t="e">
        <f>IF($B45-#REF!&lt;0,0,$B45-#REF!)</f>
        <v>#REF!</v>
      </c>
      <c r="Q45" s="45" t="e">
        <f>IF($B45-#REF!&lt;0,0,$B45-#REF!)</f>
        <v>#REF!</v>
      </c>
      <c r="R45" s="45" t="e">
        <f>IF($B45-#REF!&lt;0,0,$B45-#REF!)</f>
        <v>#REF!</v>
      </c>
      <c r="S45" s="45" t="e">
        <f>IF($B45-#REF!&lt;0,0,$B45-#REF!)</f>
        <v>#REF!</v>
      </c>
      <c r="T45" s="45" t="e">
        <f>IF($B45-#REF!&lt;0,0,$B45-#REF!)</f>
        <v>#REF!</v>
      </c>
      <c r="U45" s="45" t="e">
        <f>IF($B45-#REF!&lt;0,0,$B45-#REF!)</f>
        <v>#REF!</v>
      </c>
      <c r="V45" s="45" t="e">
        <f>IF($B45-#REF!&lt;0,0,$B45-#REF!)</f>
        <v>#REF!</v>
      </c>
      <c r="W45" s="45" t="e">
        <f>IF($B45-#REF!&lt;0,0,$B45-#REF!)</f>
        <v>#REF!</v>
      </c>
      <c r="X45" s="45" t="e">
        <f>IF($B45-#REF!&lt;0,0,$B45-#REF!)</f>
        <v>#REF!</v>
      </c>
      <c r="Y45" s="45" t="e">
        <f>IF($B45-#REF!&lt;0,0,$B45-#REF!)</f>
        <v>#REF!</v>
      </c>
      <c r="Z45" s="45" t="e">
        <f>IF($B45-#REF!&lt;0,0,$B45-#REF!)</f>
        <v>#REF!</v>
      </c>
      <c r="AA45" s="45" t="e">
        <f>IF($B45-#REF!&lt;0,0,$B45-#REF!)</f>
        <v>#REF!</v>
      </c>
      <c r="AB45" s="45" t="e">
        <f>IF($B45-#REF!&lt;0,0,$B45-#REF!)</f>
        <v>#REF!</v>
      </c>
      <c r="AC45" s="45" t="e">
        <f>IF($B45-#REF!&lt;0,0,$B45-#REF!)</f>
        <v>#REF!</v>
      </c>
      <c r="AD45" s="45" t="e">
        <f>IF($B45-#REF!&lt;0,0,$B45-#REF!)</f>
        <v>#REF!</v>
      </c>
      <c r="AE45" s="45" t="e">
        <f>IF($B45-#REF!&lt;0,0,$B45-#REF!)</f>
        <v>#REF!</v>
      </c>
      <c r="AF45" s="45" t="e">
        <f>IF($B45-#REF!&lt;0,0,$B45-#REF!)</f>
        <v>#REF!</v>
      </c>
      <c r="AG45" s="45" t="e">
        <f>IF($B45-#REF!&lt;0,0,$B45-#REF!)</f>
        <v>#REF!</v>
      </c>
      <c r="AH45" s="55">
        <v>10</v>
      </c>
      <c r="AI45" s="48" t="e">
        <f t="shared" si="2"/>
        <v>#REF!</v>
      </c>
      <c r="AJ45" s="49" t="e">
        <f t="shared" si="3"/>
        <v>#REF!</v>
      </c>
      <c r="AL45" s="170"/>
      <c r="AM45" s="28"/>
      <c r="AN45" s="24"/>
      <c r="AO45" s="24"/>
      <c r="AP45" s="24"/>
      <c r="AQ45" s="24"/>
      <c r="AR45" s="15"/>
      <c r="AS45" s="21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</row>
    <row r="46" spans="1:89" x14ac:dyDescent="0.25">
      <c r="A46" s="54" t="s">
        <v>262</v>
      </c>
      <c r="B46" s="45">
        <v>10</v>
      </c>
      <c r="C46" s="45" t="e">
        <f>IF($B46-#REF!&lt;0,0,$B46-#REF!)</f>
        <v>#REF!</v>
      </c>
      <c r="D46" s="45" t="e">
        <f>IF($B46-#REF!&lt;0,0,$B46-#REF!)</f>
        <v>#REF!</v>
      </c>
      <c r="E46" s="45" t="e">
        <f>IF($B46-#REF!&lt;0,0,$B46-#REF!)</f>
        <v>#REF!</v>
      </c>
      <c r="F46" s="45" t="e">
        <f>IF($B46-#REF!&lt;0,0,$B46-#REF!)</f>
        <v>#REF!</v>
      </c>
      <c r="G46" s="45" t="e">
        <f>IF($B46-#REF!&lt;0,0,$B46-#REF!)</f>
        <v>#REF!</v>
      </c>
      <c r="H46" s="45" t="e">
        <f>IF($B46-#REF!&lt;0,0,$B46-#REF!)</f>
        <v>#REF!</v>
      </c>
      <c r="I46" s="45" t="e">
        <f>IF($B46-#REF!&lt;0,0,$B46-#REF!)</f>
        <v>#REF!</v>
      </c>
      <c r="J46" s="45" t="e">
        <f>IF($B46-#REF!&lt;0,0,$B46-#REF!)</f>
        <v>#REF!</v>
      </c>
      <c r="K46" s="45" t="e">
        <f>IF($B46-#REF!&lt;0,0,$B46-#REF!)</f>
        <v>#REF!</v>
      </c>
      <c r="L46" s="45" t="e">
        <f>IF($B46-#REF!&lt;0,0,$B46-#REF!)</f>
        <v>#REF!</v>
      </c>
      <c r="M46" s="45" t="e">
        <f>IF($B46-#REF!&lt;0,0,$B46-#REF!)</f>
        <v>#REF!</v>
      </c>
      <c r="N46" s="45" t="e">
        <f>IF($B46-#REF!&lt;0,0,$B46-#REF!)</f>
        <v>#REF!</v>
      </c>
      <c r="O46" s="45" t="e">
        <f>IF($B46-#REF!&lt;0,0,$B46-#REF!)</f>
        <v>#REF!</v>
      </c>
      <c r="P46" s="45" t="e">
        <f>IF($B46-#REF!&lt;0,0,$B46-#REF!)</f>
        <v>#REF!</v>
      </c>
      <c r="Q46" s="45" t="e">
        <f>IF($B46-#REF!&lt;0,0,$B46-#REF!)</f>
        <v>#REF!</v>
      </c>
      <c r="R46" s="45" t="e">
        <f>IF($B46-#REF!&lt;0,0,$B46-#REF!)</f>
        <v>#REF!</v>
      </c>
      <c r="S46" s="45" t="e">
        <f>IF($B46-#REF!&lt;0,0,$B46-#REF!)</f>
        <v>#REF!</v>
      </c>
      <c r="T46" s="45" t="e">
        <f>IF($B46-#REF!&lt;0,0,$B46-#REF!)</f>
        <v>#REF!</v>
      </c>
      <c r="U46" s="45" t="e">
        <f>IF($B46-#REF!&lt;0,0,$B46-#REF!)</f>
        <v>#REF!</v>
      </c>
      <c r="V46" s="45" t="e">
        <f>IF($B46-#REF!&lt;0,0,$B46-#REF!)</f>
        <v>#REF!</v>
      </c>
      <c r="W46" s="45" t="e">
        <f>IF($B46-#REF!&lt;0,0,$B46-#REF!)</f>
        <v>#REF!</v>
      </c>
      <c r="X46" s="45" t="e">
        <f>IF($B46-#REF!&lt;0,0,$B46-#REF!)</f>
        <v>#REF!</v>
      </c>
      <c r="Y46" s="45" t="e">
        <f>IF($B46-#REF!&lt;0,0,$B46-#REF!)</f>
        <v>#REF!</v>
      </c>
      <c r="Z46" s="45" t="e">
        <f>IF($B46-#REF!&lt;0,0,$B46-#REF!)</f>
        <v>#REF!</v>
      </c>
      <c r="AA46" s="45" t="e">
        <f>IF($B46-#REF!&lt;0,0,$B46-#REF!)</f>
        <v>#REF!</v>
      </c>
      <c r="AB46" s="45" t="e">
        <f>IF($B46-#REF!&lt;0,0,$B46-#REF!)</f>
        <v>#REF!</v>
      </c>
      <c r="AC46" s="45" t="e">
        <f>IF($B46-#REF!&lt;0,0,$B46-#REF!)</f>
        <v>#REF!</v>
      </c>
      <c r="AD46" s="45" t="e">
        <f>IF($B46-#REF!&lt;0,0,$B46-#REF!)</f>
        <v>#REF!</v>
      </c>
      <c r="AE46" s="45" t="e">
        <f>IF($B46-#REF!&lt;0,0,$B46-#REF!)</f>
        <v>#REF!</v>
      </c>
      <c r="AF46" s="45" t="e">
        <f>IF($B46-#REF!&lt;0,0,$B46-#REF!)</f>
        <v>#REF!</v>
      </c>
      <c r="AG46" s="45" t="e">
        <f>IF($B46-#REF!&lt;0,0,$B46-#REF!)</f>
        <v>#REF!</v>
      </c>
      <c r="AH46" s="55">
        <v>10</v>
      </c>
      <c r="AI46" s="48" t="e">
        <f t="shared" si="2"/>
        <v>#REF!</v>
      </c>
      <c r="AJ46" s="49" t="e">
        <f t="shared" si="3"/>
        <v>#REF!</v>
      </c>
      <c r="AL46" s="170"/>
      <c r="AM46" s="28"/>
      <c r="AP46" s="24"/>
      <c r="AQ46" s="24"/>
      <c r="AR46" s="15"/>
      <c r="AS46" s="21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</row>
    <row r="47" spans="1:89" x14ac:dyDescent="0.25">
      <c r="A47" s="54" t="s">
        <v>45</v>
      </c>
      <c r="B47" s="45">
        <v>0</v>
      </c>
      <c r="C47" s="45" t="e">
        <f>IF($B47-#REF!&lt;0,0,$B47-#REF!)</f>
        <v>#REF!</v>
      </c>
      <c r="D47" s="45" t="e">
        <f>IF($B47-#REF!&lt;0,0,$B47-#REF!)</f>
        <v>#REF!</v>
      </c>
      <c r="E47" s="45" t="e">
        <f>IF($B47-#REF!&lt;0,0,$B47-#REF!)</f>
        <v>#REF!</v>
      </c>
      <c r="F47" s="45" t="e">
        <f>IF($B47-#REF!&lt;0,0,$B47-#REF!)</f>
        <v>#REF!</v>
      </c>
      <c r="G47" s="45" t="e">
        <f>IF($B47-#REF!&lt;0,0,$B47-#REF!)</f>
        <v>#REF!</v>
      </c>
      <c r="H47" s="45" t="e">
        <f>IF($B47-#REF!&lt;0,0,$B47-#REF!)</f>
        <v>#REF!</v>
      </c>
      <c r="I47" s="45" t="e">
        <f>IF($B47-#REF!&lt;0,0,$B47-#REF!)</f>
        <v>#REF!</v>
      </c>
      <c r="J47" s="45" t="e">
        <f>IF($B47-#REF!&lt;0,0,$B47-#REF!)</f>
        <v>#REF!</v>
      </c>
      <c r="K47" s="45" t="e">
        <f>IF($B47-#REF!&lt;0,0,$B47-#REF!)</f>
        <v>#REF!</v>
      </c>
      <c r="L47" s="45" t="e">
        <f>IF($B47-#REF!&lt;0,0,$B47-#REF!)</f>
        <v>#REF!</v>
      </c>
      <c r="M47" s="45" t="e">
        <f>IF($B47-#REF!&lt;0,0,$B47-#REF!)</f>
        <v>#REF!</v>
      </c>
      <c r="N47" s="45" t="e">
        <f>IF($B47-#REF!&lt;0,0,$B47-#REF!)</f>
        <v>#REF!</v>
      </c>
      <c r="O47" s="45" t="e">
        <f>IF($B47-#REF!&lt;0,0,$B47-#REF!)</f>
        <v>#REF!</v>
      </c>
      <c r="P47" s="45" t="e">
        <f>IF($B47-#REF!&lt;0,0,$B47-#REF!)</f>
        <v>#REF!</v>
      </c>
      <c r="Q47" s="45" t="e">
        <f>IF($B47-#REF!&lt;0,0,$B47-#REF!)</f>
        <v>#REF!</v>
      </c>
      <c r="R47" s="45" t="e">
        <f>IF($B47-#REF!&lt;0,0,$B47-#REF!)</f>
        <v>#REF!</v>
      </c>
      <c r="S47" s="45" t="e">
        <f>IF($B47-#REF!&lt;0,0,$B47-#REF!)</f>
        <v>#REF!</v>
      </c>
      <c r="T47" s="45" t="e">
        <f>IF($B47-#REF!&lt;0,0,$B47-#REF!)</f>
        <v>#REF!</v>
      </c>
      <c r="U47" s="45" t="e">
        <f>IF($B47-#REF!&lt;0,0,$B47-#REF!)</f>
        <v>#REF!</v>
      </c>
      <c r="V47" s="45" t="e">
        <f>IF($B47-#REF!&lt;0,0,$B47-#REF!)</f>
        <v>#REF!</v>
      </c>
      <c r="W47" s="45" t="e">
        <f>IF($B47-#REF!&lt;0,0,$B47-#REF!)</f>
        <v>#REF!</v>
      </c>
      <c r="X47" s="45" t="e">
        <f>IF($B47-#REF!&lt;0,0,$B47-#REF!)</f>
        <v>#REF!</v>
      </c>
      <c r="Y47" s="45" t="e">
        <f>IF($B47-#REF!&lt;0,0,$B47-#REF!)</f>
        <v>#REF!</v>
      </c>
      <c r="Z47" s="45" t="e">
        <f>IF($B47-#REF!&lt;0,0,$B47-#REF!)</f>
        <v>#REF!</v>
      </c>
      <c r="AA47" s="45" t="e">
        <f>IF($B47-#REF!&lt;0,0,$B47-#REF!)</f>
        <v>#REF!</v>
      </c>
      <c r="AB47" s="45" t="e">
        <f>IF($B47-#REF!&lt;0,0,$B47-#REF!)</f>
        <v>#REF!</v>
      </c>
      <c r="AC47" s="45" t="e">
        <f>IF($B47-#REF!&lt;0,0,$B47-#REF!)</f>
        <v>#REF!</v>
      </c>
      <c r="AD47" s="45" t="e">
        <f>IF($B47-#REF!&lt;0,0,$B47-#REF!)</f>
        <v>#REF!</v>
      </c>
      <c r="AE47" s="45" t="e">
        <f>IF($B47-#REF!&lt;0,0,$B47-#REF!)</f>
        <v>#REF!</v>
      </c>
      <c r="AF47" s="45" t="e">
        <f>IF($B47-#REF!&lt;0,0,$B47-#REF!)</f>
        <v>#REF!</v>
      </c>
      <c r="AG47" s="45" t="e">
        <f>IF($B47-#REF!&lt;0,0,$B47-#REF!)</f>
        <v>#REF!</v>
      </c>
      <c r="AH47" s="55">
        <v>10</v>
      </c>
      <c r="AI47" s="48" t="e">
        <f t="shared" si="2"/>
        <v>#REF!</v>
      </c>
      <c r="AJ47" s="49" t="e">
        <f t="shared" si="3"/>
        <v>#REF!</v>
      </c>
      <c r="AL47" s="170"/>
      <c r="AM47" s="28"/>
      <c r="AP47" s="24"/>
      <c r="AQ47" s="24"/>
      <c r="AR47" s="15"/>
      <c r="AS47" s="21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</row>
    <row r="48" spans="1:89" x14ac:dyDescent="0.25">
      <c r="A48" s="56" t="s">
        <v>46</v>
      </c>
      <c r="B48" s="57">
        <v>360</v>
      </c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55">
        <v>85</v>
      </c>
      <c r="AI48" s="48">
        <f t="shared" si="2"/>
        <v>0</v>
      </c>
      <c r="AJ48" s="49">
        <f t="shared" si="3"/>
        <v>0</v>
      </c>
      <c r="AK48" s="208"/>
      <c r="AL48" s="208"/>
      <c r="AM48" s="208"/>
    </row>
    <row r="49" spans="1:42" ht="15.75" thickBot="1" x14ac:dyDescent="0.3">
      <c r="A49" s="58" t="s">
        <v>47</v>
      </c>
      <c r="B49" s="57">
        <f>17.7+48.2</f>
        <v>65.900000000000006</v>
      </c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55">
        <v>240</v>
      </c>
      <c r="AI49" s="48">
        <f t="shared" si="2"/>
        <v>0</v>
      </c>
      <c r="AJ49" s="49">
        <f t="shared" si="3"/>
        <v>0</v>
      </c>
      <c r="AL49" s="50"/>
    </row>
    <row r="50" spans="1:42" ht="15.75" thickBot="1" x14ac:dyDescent="0.3">
      <c r="A50" s="60" t="s">
        <v>48</v>
      </c>
      <c r="B50" s="238">
        <f t="shared" ref="B50" si="4">SUM(B11:B48)</f>
        <v>978.30000000000007</v>
      </c>
      <c r="C50" s="61" t="e">
        <f t="shared" ref="C50:AG50" si="5">SUM(C11:C48)</f>
        <v>#REF!</v>
      </c>
      <c r="D50" s="61" t="e">
        <f t="shared" si="5"/>
        <v>#REF!</v>
      </c>
      <c r="E50" s="61" t="e">
        <f t="shared" si="5"/>
        <v>#REF!</v>
      </c>
      <c r="F50" s="61" t="e">
        <f t="shared" si="5"/>
        <v>#REF!</v>
      </c>
      <c r="G50" s="61" t="e">
        <f t="shared" si="5"/>
        <v>#REF!</v>
      </c>
      <c r="H50" s="61" t="e">
        <f t="shared" si="5"/>
        <v>#REF!</v>
      </c>
      <c r="I50" s="61" t="e">
        <f t="shared" si="5"/>
        <v>#REF!</v>
      </c>
      <c r="J50" s="61" t="e">
        <f t="shared" si="5"/>
        <v>#REF!</v>
      </c>
      <c r="K50" s="61" t="e">
        <f t="shared" si="5"/>
        <v>#REF!</v>
      </c>
      <c r="L50" s="61" t="e">
        <f t="shared" si="5"/>
        <v>#REF!</v>
      </c>
      <c r="M50" s="61" t="e">
        <f t="shared" si="5"/>
        <v>#REF!</v>
      </c>
      <c r="N50" s="61" t="e">
        <f t="shared" si="5"/>
        <v>#REF!</v>
      </c>
      <c r="O50" s="61" t="e">
        <f t="shared" si="5"/>
        <v>#REF!</v>
      </c>
      <c r="P50" s="61" t="e">
        <f t="shared" si="5"/>
        <v>#REF!</v>
      </c>
      <c r="Q50" s="61" t="e">
        <f t="shared" si="5"/>
        <v>#REF!</v>
      </c>
      <c r="R50" s="61" t="e">
        <f t="shared" si="5"/>
        <v>#REF!</v>
      </c>
      <c r="S50" s="61" t="e">
        <f t="shared" si="5"/>
        <v>#REF!</v>
      </c>
      <c r="T50" s="61" t="e">
        <f t="shared" si="5"/>
        <v>#REF!</v>
      </c>
      <c r="U50" s="61" t="e">
        <f t="shared" si="5"/>
        <v>#REF!</v>
      </c>
      <c r="V50" s="61" t="e">
        <f t="shared" si="5"/>
        <v>#REF!</v>
      </c>
      <c r="W50" s="61" t="e">
        <f t="shared" si="5"/>
        <v>#REF!</v>
      </c>
      <c r="X50" s="61" t="e">
        <f t="shared" si="5"/>
        <v>#REF!</v>
      </c>
      <c r="Y50" s="61" t="e">
        <f t="shared" si="5"/>
        <v>#REF!</v>
      </c>
      <c r="Z50" s="61" t="e">
        <f t="shared" si="5"/>
        <v>#REF!</v>
      </c>
      <c r="AA50" s="61" t="e">
        <f t="shared" si="5"/>
        <v>#REF!</v>
      </c>
      <c r="AB50" s="61" t="e">
        <f t="shared" si="5"/>
        <v>#REF!</v>
      </c>
      <c r="AC50" s="61" t="e">
        <f t="shared" si="5"/>
        <v>#REF!</v>
      </c>
      <c r="AD50" s="61" t="e">
        <f t="shared" si="5"/>
        <v>#REF!</v>
      </c>
      <c r="AE50" s="61" t="e">
        <f t="shared" si="5"/>
        <v>#REF!</v>
      </c>
      <c r="AF50" s="61" t="e">
        <f t="shared" si="5"/>
        <v>#REF!</v>
      </c>
      <c r="AG50" s="61" t="e">
        <f t="shared" si="5"/>
        <v>#REF!</v>
      </c>
      <c r="AH50" s="210" t="e">
        <f>SUM(C50:AG50)</f>
        <v>#REF!</v>
      </c>
      <c r="AI50" s="48" t="e">
        <f t="shared" si="2"/>
        <v>#REF!</v>
      </c>
      <c r="AJ50" s="49" t="e">
        <f t="shared" si="3"/>
        <v>#REF!</v>
      </c>
      <c r="AK50" s="1" t="s">
        <v>263</v>
      </c>
      <c r="AL50" s="210" t="e">
        <f>SUM(C50:G50,AE50:AG50)</f>
        <v>#REF!</v>
      </c>
    </row>
    <row r="51" spans="1:42" x14ac:dyDescent="0.25">
      <c r="A51" s="63" t="s">
        <v>49</v>
      </c>
      <c r="B51" s="206">
        <v>217</v>
      </c>
      <c r="C51" s="45">
        <v>0</v>
      </c>
      <c r="D51" s="45">
        <v>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v>0</v>
      </c>
      <c r="Q51" s="45">
        <v>0</v>
      </c>
      <c r="R51" s="45">
        <v>0</v>
      </c>
      <c r="S51" s="45">
        <v>0</v>
      </c>
      <c r="T51" s="45">
        <v>0</v>
      </c>
      <c r="U51" s="45">
        <v>0</v>
      </c>
      <c r="V51" s="45">
        <v>0</v>
      </c>
      <c r="W51" s="45">
        <v>0</v>
      </c>
      <c r="X51" s="45">
        <v>0</v>
      </c>
      <c r="Y51" s="45">
        <v>0</v>
      </c>
      <c r="Z51" s="45">
        <v>0</v>
      </c>
      <c r="AA51" s="45">
        <v>0</v>
      </c>
      <c r="AB51" s="45">
        <v>0</v>
      </c>
      <c r="AC51" s="45">
        <v>0</v>
      </c>
      <c r="AD51" s="45">
        <v>0</v>
      </c>
      <c r="AE51" s="45">
        <v>0</v>
      </c>
      <c r="AF51" s="45">
        <v>0</v>
      </c>
      <c r="AG51" s="45">
        <v>0</v>
      </c>
      <c r="AH51" s="52">
        <v>456</v>
      </c>
      <c r="AI51" s="48">
        <f t="shared" si="2"/>
        <v>0</v>
      </c>
      <c r="AJ51" s="49">
        <f t="shared" si="3"/>
        <v>0</v>
      </c>
      <c r="AL51" s="50"/>
    </row>
    <row r="52" spans="1:42" x14ac:dyDescent="0.25">
      <c r="A52" s="64" t="s">
        <v>50</v>
      </c>
      <c r="B52" s="211">
        <v>60</v>
      </c>
      <c r="C52" s="45" t="e">
        <f>$B52-#REF!</f>
        <v>#REF!</v>
      </c>
      <c r="D52" s="45" t="e">
        <f>$B52-#REF!</f>
        <v>#REF!</v>
      </c>
      <c r="E52" s="45" t="e">
        <f>$B52-#REF!</f>
        <v>#REF!</v>
      </c>
      <c r="F52" s="45" t="e">
        <f>$B52-#REF!</f>
        <v>#REF!</v>
      </c>
      <c r="G52" s="45" t="e">
        <f>$B52-#REF!</f>
        <v>#REF!</v>
      </c>
      <c r="H52" s="45" t="e">
        <f>$B52-#REF!</f>
        <v>#REF!</v>
      </c>
      <c r="I52" s="45" t="e">
        <f>$B52-#REF!</f>
        <v>#REF!</v>
      </c>
      <c r="J52" s="45" t="e">
        <f>$B52-#REF!</f>
        <v>#REF!</v>
      </c>
      <c r="K52" s="45" t="e">
        <f>$B52-#REF!</f>
        <v>#REF!</v>
      </c>
      <c r="L52" s="45" t="e">
        <f>$B52-#REF!</f>
        <v>#REF!</v>
      </c>
      <c r="M52" s="45" t="e">
        <f>$B52-#REF!</f>
        <v>#REF!</v>
      </c>
      <c r="N52" s="45" t="e">
        <f>$B52-#REF!</f>
        <v>#REF!</v>
      </c>
      <c r="O52" s="45" t="e">
        <f>$B52-#REF!</f>
        <v>#REF!</v>
      </c>
      <c r="P52" s="45" t="e">
        <f>$B52-#REF!</f>
        <v>#REF!</v>
      </c>
      <c r="Q52" s="45" t="e">
        <f>$B52-#REF!</f>
        <v>#REF!</v>
      </c>
      <c r="R52" s="45" t="e">
        <f>$B52-#REF!</f>
        <v>#REF!</v>
      </c>
      <c r="S52" s="45" t="e">
        <f>$B52-#REF!</f>
        <v>#REF!</v>
      </c>
      <c r="T52" s="45" t="e">
        <f>$B52-#REF!</f>
        <v>#REF!</v>
      </c>
      <c r="U52" s="45" t="e">
        <f>$B52-#REF!</f>
        <v>#REF!</v>
      </c>
      <c r="V52" s="45" t="e">
        <f>$B52-#REF!</f>
        <v>#REF!</v>
      </c>
      <c r="W52" s="45" t="e">
        <f>$B52-#REF!</f>
        <v>#REF!</v>
      </c>
      <c r="X52" s="45" t="e">
        <f>$B52-#REF!</f>
        <v>#REF!</v>
      </c>
      <c r="Y52" s="45" t="e">
        <f>$B52-#REF!</f>
        <v>#REF!</v>
      </c>
      <c r="Z52" s="45" t="e">
        <f>$B52-#REF!</f>
        <v>#REF!</v>
      </c>
      <c r="AA52" s="45" t="e">
        <f>$B52-#REF!</f>
        <v>#REF!</v>
      </c>
      <c r="AB52" s="45" t="e">
        <f>$B52-#REF!</f>
        <v>#REF!</v>
      </c>
      <c r="AC52" s="45" t="e">
        <f>$B52-#REF!</f>
        <v>#REF!</v>
      </c>
      <c r="AD52" s="45" t="e">
        <f>$B52-#REF!</f>
        <v>#REF!</v>
      </c>
      <c r="AE52" s="45" t="e">
        <f>$B52-#REF!</f>
        <v>#REF!</v>
      </c>
      <c r="AF52" s="45" t="e">
        <f>$B52-#REF!</f>
        <v>#REF!</v>
      </c>
      <c r="AG52" s="45" t="e">
        <f>$B52-#REF!</f>
        <v>#REF!</v>
      </c>
      <c r="AH52" s="55">
        <v>60</v>
      </c>
      <c r="AI52" s="48" t="e">
        <f t="shared" si="2"/>
        <v>#REF!</v>
      </c>
      <c r="AJ52" s="49" t="e">
        <f t="shared" si="3"/>
        <v>#REF!</v>
      </c>
      <c r="AK52" s="1" t="s">
        <v>264</v>
      </c>
      <c r="AL52" s="212" t="e">
        <f>AL50/8</f>
        <v>#REF!</v>
      </c>
    </row>
    <row r="53" spans="1:42" ht="15.75" thickBot="1" x14ac:dyDescent="0.3">
      <c r="A53" s="66" t="s">
        <v>51</v>
      </c>
      <c r="B53" s="213">
        <v>16.8</v>
      </c>
      <c r="C53" s="45" t="e">
        <f>$B53-#REF!</f>
        <v>#REF!</v>
      </c>
      <c r="D53" s="45" t="e">
        <f>$B53-#REF!</f>
        <v>#REF!</v>
      </c>
      <c r="E53" s="45" t="e">
        <f>$B53-#REF!</f>
        <v>#REF!</v>
      </c>
      <c r="F53" s="45" t="e">
        <f>$B53-#REF!</f>
        <v>#REF!</v>
      </c>
      <c r="G53" s="45" t="e">
        <f>$B53-#REF!</f>
        <v>#REF!</v>
      </c>
      <c r="H53" s="45" t="e">
        <f>$B53-#REF!</f>
        <v>#REF!</v>
      </c>
      <c r="I53" s="45" t="e">
        <f>$B53-#REF!</f>
        <v>#REF!</v>
      </c>
      <c r="J53" s="45" t="e">
        <f>$B53-#REF!</f>
        <v>#REF!</v>
      </c>
      <c r="K53" s="45" t="e">
        <f>$B53-#REF!</f>
        <v>#REF!</v>
      </c>
      <c r="L53" s="45" t="e">
        <f>$B53-#REF!</f>
        <v>#REF!</v>
      </c>
      <c r="M53" s="45" t="e">
        <f>$B53-#REF!</f>
        <v>#REF!</v>
      </c>
      <c r="N53" s="45" t="e">
        <f>$B53-#REF!</f>
        <v>#REF!</v>
      </c>
      <c r="O53" s="45" t="e">
        <f>$B53-#REF!</f>
        <v>#REF!</v>
      </c>
      <c r="P53" s="45" t="e">
        <f>$B53-#REF!</f>
        <v>#REF!</v>
      </c>
      <c r="Q53" s="45" t="e">
        <f>$B53-#REF!</f>
        <v>#REF!</v>
      </c>
      <c r="R53" s="45" t="e">
        <f>$B53-#REF!</f>
        <v>#REF!</v>
      </c>
      <c r="S53" s="45" t="e">
        <f>$B53-#REF!</f>
        <v>#REF!</v>
      </c>
      <c r="T53" s="45" t="e">
        <f>$B53-#REF!</f>
        <v>#REF!</v>
      </c>
      <c r="U53" s="45" t="e">
        <f>$B53-#REF!</f>
        <v>#REF!</v>
      </c>
      <c r="V53" s="45" t="e">
        <f>$B53-#REF!</f>
        <v>#REF!</v>
      </c>
      <c r="W53" s="45" t="e">
        <f>$B53-#REF!</f>
        <v>#REF!</v>
      </c>
      <c r="X53" s="45" t="e">
        <f>$B53-#REF!</f>
        <v>#REF!</v>
      </c>
      <c r="Y53" s="45" t="e">
        <f>$B53-#REF!</f>
        <v>#REF!</v>
      </c>
      <c r="Z53" s="45" t="e">
        <f>$B53-#REF!</f>
        <v>#REF!</v>
      </c>
      <c r="AA53" s="45" t="e">
        <f>$B53-#REF!</f>
        <v>#REF!</v>
      </c>
      <c r="AB53" s="45" t="e">
        <f>$B53-#REF!</f>
        <v>#REF!</v>
      </c>
      <c r="AC53" s="45" t="e">
        <f>$B53-#REF!</f>
        <v>#REF!</v>
      </c>
      <c r="AD53" s="45" t="e">
        <f>$B53-#REF!</f>
        <v>#REF!</v>
      </c>
      <c r="AE53" s="45" t="e">
        <f>$B53-#REF!</f>
        <v>#REF!</v>
      </c>
      <c r="AF53" s="45" t="e">
        <f>$B53-#REF!</f>
        <v>#REF!</v>
      </c>
      <c r="AG53" s="45" t="e">
        <f>$B53-#REF!</f>
        <v>#REF!</v>
      </c>
      <c r="AH53" s="68">
        <v>22.1</v>
      </c>
      <c r="AI53" s="48" t="e">
        <f t="shared" si="2"/>
        <v>#REF!</v>
      </c>
      <c r="AJ53" s="49" t="e">
        <f t="shared" si="3"/>
        <v>#REF!</v>
      </c>
      <c r="AL53" s="50"/>
    </row>
    <row r="54" spans="1:42" ht="15.75" thickBot="1" x14ac:dyDescent="0.3">
      <c r="A54" s="69" t="s">
        <v>52</v>
      </c>
      <c r="B54" s="214">
        <f t="shared" ref="B54" si="6">SUM(B51:B53)</f>
        <v>293.8</v>
      </c>
      <c r="C54" s="85" t="e">
        <f>SUM(C51:C53)</f>
        <v>#REF!</v>
      </c>
      <c r="D54" s="85" t="e">
        <f t="shared" ref="D54:AH54" si="7">SUM(D51:D53)</f>
        <v>#REF!</v>
      </c>
      <c r="E54" s="85" t="e">
        <f t="shared" si="7"/>
        <v>#REF!</v>
      </c>
      <c r="F54" s="85" t="e">
        <f t="shared" si="7"/>
        <v>#REF!</v>
      </c>
      <c r="G54" s="85" t="e">
        <f t="shared" si="7"/>
        <v>#REF!</v>
      </c>
      <c r="H54" s="85" t="e">
        <f t="shared" si="7"/>
        <v>#REF!</v>
      </c>
      <c r="I54" s="85" t="e">
        <f t="shared" si="7"/>
        <v>#REF!</v>
      </c>
      <c r="J54" s="85" t="e">
        <f t="shared" si="7"/>
        <v>#REF!</v>
      </c>
      <c r="K54" s="85" t="e">
        <f t="shared" si="7"/>
        <v>#REF!</v>
      </c>
      <c r="L54" s="85" t="e">
        <f t="shared" si="7"/>
        <v>#REF!</v>
      </c>
      <c r="M54" s="85" t="e">
        <f t="shared" si="7"/>
        <v>#REF!</v>
      </c>
      <c r="N54" s="85" t="e">
        <f t="shared" si="7"/>
        <v>#REF!</v>
      </c>
      <c r="O54" s="85" t="e">
        <f t="shared" si="7"/>
        <v>#REF!</v>
      </c>
      <c r="P54" s="85" t="e">
        <f t="shared" si="7"/>
        <v>#REF!</v>
      </c>
      <c r="Q54" s="85" t="e">
        <f t="shared" si="7"/>
        <v>#REF!</v>
      </c>
      <c r="R54" s="85" t="e">
        <f t="shared" si="7"/>
        <v>#REF!</v>
      </c>
      <c r="S54" s="85" t="e">
        <f t="shared" si="7"/>
        <v>#REF!</v>
      </c>
      <c r="T54" s="85" t="e">
        <f t="shared" si="7"/>
        <v>#REF!</v>
      </c>
      <c r="U54" s="85" t="e">
        <f t="shared" si="7"/>
        <v>#REF!</v>
      </c>
      <c r="V54" s="85" t="e">
        <f t="shared" si="7"/>
        <v>#REF!</v>
      </c>
      <c r="W54" s="85" t="e">
        <f t="shared" si="7"/>
        <v>#REF!</v>
      </c>
      <c r="X54" s="85" t="e">
        <f t="shared" si="7"/>
        <v>#REF!</v>
      </c>
      <c r="Y54" s="85" t="e">
        <f t="shared" si="7"/>
        <v>#REF!</v>
      </c>
      <c r="Z54" s="85" t="e">
        <f t="shared" si="7"/>
        <v>#REF!</v>
      </c>
      <c r="AA54" s="85" t="e">
        <f t="shared" si="7"/>
        <v>#REF!</v>
      </c>
      <c r="AB54" s="85" t="e">
        <f t="shared" si="7"/>
        <v>#REF!</v>
      </c>
      <c r="AC54" s="85" t="e">
        <f t="shared" si="7"/>
        <v>#REF!</v>
      </c>
      <c r="AD54" s="85" t="e">
        <f t="shared" si="7"/>
        <v>#REF!</v>
      </c>
      <c r="AE54" s="85" t="e">
        <f t="shared" si="7"/>
        <v>#REF!</v>
      </c>
      <c r="AF54" s="85" t="e">
        <f t="shared" si="7"/>
        <v>#REF!</v>
      </c>
      <c r="AG54" s="85" t="e">
        <f t="shared" si="7"/>
        <v>#REF!</v>
      </c>
      <c r="AH54" s="215">
        <f t="shared" si="7"/>
        <v>538.1</v>
      </c>
      <c r="AI54" s="48" t="e">
        <f t="shared" si="2"/>
        <v>#REF!</v>
      </c>
      <c r="AJ54" s="49" t="e">
        <f t="shared" si="3"/>
        <v>#REF!</v>
      </c>
      <c r="AL54" s="50"/>
    </row>
    <row r="55" spans="1:42" x14ac:dyDescent="0.25">
      <c r="A55" s="44" t="s">
        <v>53</v>
      </c>
      <c r="B55" s="206">
        <v>144</v>
      </c>
      <c r="C55" s="45" t="e">
        <f>IF($B55-#REF!&lt;0,0,$B55-#REF!)</f>
        <v>#REF!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45">
        <v>0</v>
      </c>
      <c r="AH55" s="52">
        <v>144</v>
      </c>
      <c r="AI55" s="48" t="e">
        <f t="shared" si="2"/>
        <v>#REF!</v>
      </c>
      <c r="AJ55" s="49" t="e">
        <f t="shared" si="3"/>
        <v>#REF!</v>
      </c>
      <c r="AK55" s="48">
        <f>45*19</f>
        <v>855</v>
      </c>
      <c r="AL55" s="50"/>
    </row>
    <row r="56" spans="1:42" x14ac:dyDescent="0.25">
      <c r="A56" s="54" t="s">
        <v>54</v>
      </c>
      <c r="B56" s="211">
        <v>70</v>
      </c>
      <c r="C56" s="45" t="e">
        <f>IF($B56-#REF!&lt;0,0,$B56-#REF!)</f>
        <v>#REF!</v>
      </c>
      <c r="D56" s="45">
        <v>0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v>0</v>
      </c>
      <c r="O56" s="45">
        <v>0</v>
      </c>
      <c r="P56" s="45">
        <v>0</v>
      </c>
      <c r="Q56" s="45">
        <v>0</v>
      </c>
      <c r="R56" s="45">
        <v>0</v>
      </c>
      <c r="S56" s="45">
        <v>0</v>
      </c>
      <c r="T56" s="45">
        <v>0</v>
      </c>
      <c r="U56" s="45">
        <v>0</v>
      </c>
      <c r="V56" s="45">
        <v>0</v>
      </c>
      <c r="W56" s="45">
        <v>0</v>
      </c>
      <c r="X56" s="45">
        <v>0</v>
      </c>
      <c r="Y56" s="45">
        <v>0</v>
      </c>
      <c r="Z56" s="45">
        <v>0</v>
      </c>
      <c r="AA56" s="45">
        <v>0</v>
      </c>
      <c r="AB56" s="45">
        <v>0</v>
      </c>
      <c r="AC56" s="45">
        <v>0</v>
      </c>
      <c r="AD56" s="45">
        <v>0</v>
      </c>
      <c r="AE56" s="45">
        <v>0</v>
      </c>
      <c r="AF56" s="45">
        <v>0</v>
      </c>
      <c r="AG56" s="45">
        <v>0</v>
      </c>
      <c r="AH56" s="55">
        <v>70</v>
      </c>
      <c r="AI56" s="48" t="e">
        <f t="shared" si="2"/>
        <v>#REF!</v>
      </c>
      <c r="AJ56" s="49" t="e">
        <f t="shared" si="3"/>
        <v>#REF!</v>
      </c>
      <c r="AL56" s="50"/>
    </row>
    <row r="57" spans="1:42" x14ac:dyDescent="0.25">
      <c r="A57" s="54" t="s">
        <v>55</v>
      </c>
      <c r="B57" s="211">
        <v>69</v>
      </c>
      <c r="C57" s="45" t="e">
        <f>IF($B57-#REF!&lt;0,0,$B57-#REF!)</f>
        <v>#REF!</v>
      </c>
      <c r="D57" s="45" t="e">
        <f>IF($B57-#REF!&lt;0,0,$B57-#REF!)</f>
        <v>#REF!</v>
      </c>
      <c r="E57" s="45" t="e">
        <f>IF($B57-#REF!&lt;0,0,$B57-#REF!)</f>
        <v>#REF!</v>
      </c>
      <c r="F57" s="45" t="e">
        <f>IF($B57-#REF!&lt;0,0,$B57-#REF!)</f>
        <v>#REF!</v>
      </c>
      <c r="G57" s="45" t="e">
        <f>IF($B57-#REF!&lt;0,0,$B57-#REF!)</f>
        <v>#REF!</v>
      </c>
      <c r="H57" s="45" t="e">
        <f>IF($B57-#REF!&lt;0,0,$B57-#REF!)</f>
        <v>#REF!</v>
      </c>
      <c r="I57" s="45" t="e">
        <f>IF($B57-#REF!&lt;0,0,$B57-#REF!)</f>
        <v>#REF!</v>
      </c>
      <c r="J57" s="45" t="e">
        <f>IF($B57-#REF!&lt;0,0,$B57-#REF!)</f>
        <v>#REF!</v>
      </c>
      <c r="K57" s="45" t="e">
        <f>IF($B57-#REF!&lt;0,0,$B57-#REF!)</f>
        <v>#REF!</v>
      </c>
      <c r="L57" s="45" t="e">
        <f>IF($B57-#REF!&lt;0,0,$B57-#REF!)</f>
        <v>#REF!</v>
      </c>
      <c r="M57" s="45" t="e">
        <f>IF($B57-#REF!&lt;0,0,$B57-#REF!)</f>
        <v>#REF!</v>
      </c>
      <c r="N57" s="45" t="e">
        <f>IF($B57-#REF!&lt;0,0,$B57-#REF!)</f>
        <v>#REF!</v>
      </c>
      <c r="O57" s="45" t="e">
        <f>IF($B57-#REF!&lt;0,0,$B57-#REF!)</f>
        <v>#REF!</v>
      </c>
      <c r="P57" s="45" t="e">
        <f>IF($B57-#REF!&lt;0,0,$B57-#REF!)</f>
        <v>#REF!</v>
      </c>
      <c r="Q57" s="45" t="e">
        <f>IF($B57-#REF!&lt;0,0,$B57-#REF!)</f>
        <v>#REF!</v>
      </c>
      <c r="R57" s="45" t="e">
        <f>IF($B57-#REF!&lt;0,0,$B57-#REF!)</f>
        <v>#REF!</v>
      </c>
      <c r="S57" s="45" t="e">
        <f>IF($B57-#REF!&lt;0,0,$B57-#REF!)</f>
        <v>#REF!</v>
      </c>
      <c r="T57" s="45" t="e">
        <f>IF($B57-#REF!&lt;0,0,$B57-#REF!)</f>
        <v>#REF!</v>
      </c>
      <c r="U57" s="45" t="e">
        <f>IF($B57-#REF!&lt;0,0,$B57-#REF!)</f>
        <v>#REF!</v>
      </c>
      <c r="V57" s="45" t="e">
        <f>IF($B57-#REF!&lt;0,0,$B57-#REF!)</f>
        <v>#REF!</v>
      </c>
      <c r="W57" s="45" t="e">
        <f>IF($B57-#REF!&lt;0,0,$B57-#REF!)</f>
        <v>#REF!</v>
      </c>
      <c r="X57" s="45" t="e">
        <f>IF($B57-#REF!&lt;0,0,$B57-#REF!)</f>
        <v>#REF!</v>
      </c>
      <c r="Y57" s="45" t="e">
        <f>IF($B57-#REF!&lt;0,0,$B57-#REF!)</f>
        <v>#REF!</v>
      </c>
      <c r="Z57" s="45" t="e">
        <f>IF($B57-#REF!&lt;0,0,$B57-#REF!)</f>
        <v>#REF!</v>
      </c>
      <c r="AA57" s="45" t="e">
        <f>IF($B57-#REF!&lt;0,0,$B57-#REF!)</f>
        <v>#REF!</v>
      </c>
      <c r="AB57" s="45" t="e">
        <f>IF($B57-#REF!&lt;0,0,$B57-#REF!)</f>
        <v>#REF!</v>
      </c>
      <c r="AC57" s="45" t="e">
        <f>IF($B57-#REF!&lt;0,0,$B57-#REF!)</f>
        <v>#REF!</v>
      </c>
      <c r="AD57" s="45" t="e">
        <f>IF($B57-#REF!&lt;0,0,$B57-#REF!)</f>
        <v>#REF!</v>
      </c>
      <c r="AE57" s="45" t="e">
        <f>IF($B57-#REF!&lt;0,0,$B57-#REF!)</f>
        <v>#REF!</v>
      </c>
      <c r="AF57" s="45" t="e">
        <f>IF($B57-#REF!&lt;0,0,$B57-#REF!)</f>
        <v>#REF!</v>
      </c>
      <c r="AG57" s="45" t="e">
        <f>IF($B57-#REF!&lt;0,0,$B57-#REF!)</f>
        <v>#REF!</v>
      </c>
      <c r="AH57" s="55">
        <v>69</v>
      </c>
      <c r="AI57" s="48" t="e">
        <f t="shared" si="2"/>
        <v>#REF!</v>
      </c>
      <c r="AJ57" s="49" t="e">
        <f t="shared" si="3"/>
        <v>#REF!</v>
      </c>
      <c r="AK57" s="48">
        <f>20*24</f>
        <v>480</v>
      </c>
      <c r="AL57" s="50"/>
    </row>
    <row r="58" spans="1:42" x14ac:dyDescent="0.25">
      <c r="A58" s="54" t="s">
        <v>56</v>
      </c>
      <c r="B58" s="211">
        <v>60</v>
      </c>
      <c r="C58" s="45" t="e">
        <f>IF($B58-#REF!&lt;0,0,$B58-#REF!)</f>
        <v>#REF!</v>
      </c>
      <c r="D58" s="45" t="e">
        <f>IF($B58-#REF!&lt;0,0,$B58-#REF!)</f>
        <v>#REF!</v>
      </c>
      <c r="E58" s="45" t="e">
        <f>IF($B58-#REF!&lt;0,0,$B58-#REF!)</f>
        <v>#REF!</v>
      </c>
      <c r="F58" s="45" t="e">
        <f>IF($B58-#REF!&lt;0,0,$B58-#REF!)</f>
        <v>#REF!</v>
      </c>
      <c r="G58" s="45" t="e">
        <f>IF($B58-#REF!&lt;0,0,$B58-#REF!)</f>
        <v>#REF!</v>
      </c>
      <c r="H58" s="45" t="e">
        <f>IF($B58-#REF!&lt;0,0,$B58-#REF!)</f>
        <v>#REF!</v>
      </c>
      <c r="I58" s="45" t="e">
        <f>IF($B58-#REF!&lt;0,0,$B58-#REF!)</f>
        <v>#REF!</v>
      </c>
      <c r="J58" s="45" t="e">
        <f>IF($B58-#REF!&lt;0,0,$B58-#REF!)</f>
        <v>#REF!</v>
      </c>
      <c r="K58" s="45" t="e">
        <f>IF($B58-#REF!&lt;0,0,$B58-#REF!)</f>
        <v>#REF!</v>
      </c>
      <c r="L58" s="45" t="e">
        <f>IF($B58-#REF!&lt;0,0,$B58-#REF!)</f>
        <v>#REF!</v>
      </c>
      <c r="M58" s="45" t="e">
        <f>IF($B58-#REF!&lt;0,0,$B58-#REF!)</f>
        <v>#REF!</v>
      </c>
      <c r="N58" s="45" t="e">
        <f>IF($B58-#REF!&lt;0,0,$B58-#REF!)</f>
        <v>#REF!</v>
      </c>
      <c r="O58" s="45" t="e">
        <f>IF($B58-#REF!&lt;0,0,$B58-#REF!)</f>
        <v>#REF!</v>
      </c>
      <c r="P58" s="45" t="e">
        <f>IF($B58-#REF!&lt;0,0,$B58-#REF!)</f>
        <v>#REF!</v>
      </c>
      <c r="Q58" s="45" t="e">
        <f>IF($B58-#REF!&lt;0,0,$B58-#REF!)</f>
        <v>#REF!</v>
      </c>
      <c r="R58" s="45" t="e">
        <f>IF($B58-#REF!&lt;0,0,$B58-#REF!)</f>
        <v>#REF!</v>
      </c>
      <c r="S58" s="45" t="e">
        <f>IF($B58-#REF!&lt;0,0,$B58-#REF!)</f>
        <v>#REF!</v>
      </c>
      <c r="T58" s="45" t="e">
        <f>IF($B58-#REF!&lt;0,0,$B58-#REF!)</f>
        <v>#REF!</v>
      </c>
      <c r="U58" s="45" t="e">
        <f>IF($B58-#REF!&lt;0,0,$B58-#REF!)</f>
        <v>#REF!</v>
      </c>
      <c r="V58" s="45" t="e">
        <f>IF($B58-#REF!&lt;0,0,$B58-#REF!)</f>
        <v>#REF!</v>
      </c>
      <c r="W58" s="45" t="e">
        <f>IF($B58-#REF!&lt;0,0,$B58-#REF!)</f>
        <v>#REF!</v>
      </c>
      <c r="X58" s="45" t="e">
        <f>IF($B58-#REF!&lt;0,0,$B58-#REF!)</f>
        <v>#REF!</v>
      </c>
      <c r="Y58" s="45" t="e">
        <f>IF($B58-#REF!&lt;0,0,$B58-#REF!)</f>
        <v>#REF!</v>
      </c>
      <c r="Z58" s="45" t="e">
        <f>IF($B58-#REF!&lt;0,0,$B58-#REF!)</f>
        <v>#REF!</v>
      </c>
      <c r="AA58" s="45" t="e">
        <f>IF($B58-#REF!&lt;0,0,$B58-#REF!)</f>
        <v>#REF!</v>
      </c>
      <c r="AB58" s="45" t="e">
        <f>IF($B58-#REF!&lt;0,0,$B58-#REF!)</f>
        <v>#REF!</v>
      </c>
      <c r="AC58" s="45" t="e">
        <f>IF($B58-#REF!&lt;0,0,$B58-#REF!)</f>
        <v>#REF!</v>
      </c>
      <c r="AD58" s="45" t="e">
        <f>IF($B58-#REF!&lt;0,0,$B58-#REF!)</f>
        <v>#REF!</v>
      </c>
      <c r="AE58" s="45" t="e">
        <f>IF($B58-#REF!&lt;0,0,$B58-#REF!)</f>
        <v>#REF!</v>
      </c>
      <c r="AF58" s="45" t="e">
        <f>IF($B58-#REF!&lt;0,0,$B58-#REF!)</f>
        <v>#REF!</v>
      </c>
      <c r="AG58" s="45" t="e">
        <f>IF($B58-#REF!&lt;0,0,$B58-#REF!)</f>
        <v>#REF!</v>
      </c>
      <c r="AH58" s="55">
        <v>60</v>
      </c>
      <c r="AI58" s="48" t="e">
        <f t="shared" si="2"/>
        <v>#REF!</v>
      </c>
      <c r="AJ58" s="49" t="e">
        <f t="shared" si="3"/>
        <v>#REF!</v>
      </c>
      <c r="AL58" s="50"/>
    </row>
    <row r="59" spans="1:42" x14ac:dyDescent="0.25">
      <c r="A59" s="54" t="s">
        <v>57</v>
      </c>
      <c r="B59" s="211">
        <v>15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45">
        <v>0</v>
      </c>
      <c r="AH59" s="55">
        <v>30</v>
      </c>
      <c r="AI59" s="48">
        <f t="shared" si="2"/>
        <v>0</v>
      </c>
      <c r="AJ59" s="49">
        <f t="shared" si="3"/>
        <v>0</v>
      </c>
      <c r="AL59" s="50"/>
    </row>
    <row r="60" spans="1:42" x14ac:dyDescent="0.25">
      <c r="A60" s="54" t="s">
        <v>58</v>
      </c>
      <c r="B60" s="211"/>
      <c r="C60" s="45" t="e">
        <f>IF($B60-#REF!&lt;0,0,$B60-#REF!)</f>
        <v>#REF!</v>
      </c>
      <c r="D60" s="45" t="e">
        <f>IF($B60-#REF!&lt;0,0,$B60-#REF!)</f>
        <v>#REF!</v>
      </c>
      <c r="E60" s="45" t="e">
        <f>IF($B60-#REF!&lt;0,0,$B60-#REF!)</f>
        <v>#REF!</v>
      </c>
      <c r="F60" s="45" t="e">
        <f>IF($B60-#REF!&lt;0,0,$B60-#REF!)</f>
        <v>#REF!</v>
      </c>
      <c r="G60" s="45" t="e">
        <f>IF($B60-#REF!&lt;0,0,$B60-#REF!)</f>
        <v>#REF!</v>
      </c>
      <c r="H60" s="45" t="e">
        <f>IF($B60-#REF!&lt;0,0,$B60-#REF!)</f>
        <v>#REF!</v>
      </c>
      <c r="I60" s="45" t="e">
        <f>IF($B60-#REF!&lt;0,0,$B60-#REF!)</f>
        <v>#REF!</v>
      </c>
      <c r="J60" s="45" t="e">
        <f>IF($B60-#REF!&lt;0,0,$B60-#REF!)</f>
        <v>#REF!</v>
      </c>
      <c r="K60" s="45" t="e">
        <f>IF($B60-#REF!&lt;0,0,$B60-#REF!)</f>
        <v>#REF!</v>
      </c>
      <c r="L60" s="45" t="e">
        <f>IF($B60-#REF!&lt;0,0,$B60-#REF!)</f>
        <v>#REF!</v>
      </c>
      <c r="M60" s="45" t="e">
        <f>IF($B60-#REF!&lt;0,0,$B60-#REF!)</f>
        <v>#REF!</v>
      </c>
      <c r="N60" s="45" t="e">
        <f>IF($B60-#REF!&lt;0,0,$B60-#REF!)</f>
        <v>#REF!</v>
      </c>
      <c r="O60" s="45" t="e">
        <f>IF($B60-#REF!&lt;0,0,$B60-#REF!)</f>
        <v>#REF!</v>
      </c>
      <c r="P60" s="45" t="e">
        <f>IF($B60-#REF!&lt;0,0,$B60-#REF!)</f>
        <v>#REF!</v>
      </c>
      <c r="Q60" s="45" t="e">
        <f>IF($B60-#REF!&lt;0,0,$B60-#REF!)</f>
        <v>#REF!</v>
      </c>
      <c r="R60" s="45" t="e">
        <f>IF($B60-#REF!&lt;0,0,$B60-#REF!)</f>
        <v>#REF!</v>
      </c>
      <c r="S60" s="45" t="e">
        <f>IF($B60-#REF!&lt;0,0,$B60-#REF!)</f>
        <v>#REF!</v>
      </c>
      <c r="T60" s="45" t="e">
        <f>IF($B60-#REF!&lt;0,0,$B60-#REF!)</f>
        <v>#REF!</v>
      </c>
      <c r="U60" s="45" t="e">
        <f>IF($B60-#REF!&lt;0,0,$B60-#REF!)</f>
        <v>#REF!</v>
      </c>
      <c r="V60" s="45" t="e">
        <f>IF($B60-#REF!&lt;0,0,$B60-#REF!)</f>
        <v>#REF!</v>
      </c>
      <c r="W60" s="45" t="e">
        <f>IF($B60-#REF!&lt;0,0,$B60-#REF!)</f>
        <v>#REF!</v>
      </c>
      <c r="X60" s="45" t="e">
        <f>IF($B60-#REF!&lt;0,0,$B60-#REF!)</f>
        <v>#REF!</v>
      </c>
      <c r="Y60" s="45" t="e">
        <f>IF($B60-#REF!&lt;0,0,$B60-#REF!)</f>
        <v>#REF!</v>
      </c>
      <c r="Z60" s="45" t="e">
        <f>IF($B60-#REF!&lt;0,0,$B60-#REF!)</f>
        <v>#REF!</v>
      </c>
      <c r="AA60" s="45" t="e">
        <f>IF($B60-#REF!&lt;0,0,$B60-#REF!)</f>
        <v>#REF!</v>
      </c>
      <c r="AB60" s="45" t="e">
        <f>IF($B60-#REF!&lt;0,0,$B60-#REF!)</f>
        <v>#REF!</v>
      </c>
      <c r="AC60" s="45" t="e">
        <f>IF($B60-#REF!&lt;0,0,$B60-#REF!)</f>
        <v>#REF!</v>
      </c>
      <c r="AD60" s="45" t="e">
        <f>IF($B60-#REF!&lt;0,0,$B60-#REF!)</f>
        <v>#REF!</v>
      </c>
      <c r="AE60" s="45" t="e">
        <f>IF($B60-#REF!&lt;0,0,$B60-#REF!)</f>
        <v>#REF!</v>
      </c>
      <c r="AF60" s="45" t="e">
        <f>IF($B60-#REF!&lt;0,0,$B60-#REF!)</f>
        <v>#REF!</v>
      </c>
      <c r="AG60" s="45" t="e">
        <f>IF($B60-#REF!&lt;0,0,$B60-#REF!)</f>
        <v>#REF!</v>
      </c>
      <c r="AH60" s="55">
        <v>25</v>
      </c>
      <c r="AI60" s="48" t="e">
        <f t="shared" si="2"/>
        <v>#REF!</v>
      </c>
      <c r="AJ60" s="49" t="e">
        <f t="shared" si="3"/>
        <v>#REF!</v>
      </c>
      <c r="AL60" s="50"/>
    </row>
    <row r="61" spans="1:42" x14ac:dyDescent="0.25">
      <c r="A61" s="54" t="s">
        <v>59</v>
      </c>
      <c r="B61" s="211">
        <v>15</v>
      </c>
      <c r="C61" s="45" t="e">
        <f>IF($B61-#REF!&lt;0,0,$B61-#REF!)</f>
        <v>#REF!</v>
      </c>
      <c r="D61" s="45" t="e">
        <f>IF($B61-#REF!&lt;0,0,$B61-#REF!)</f>
        <v>#REF!</v>
      </c>
      <c r="E61" s="45" t="e">
        <f>IF($B61-#REF!&lt;0,0,$B61-#REF!)</f>
        <v>#REF!</v>
      </c>
      <c r="F61" s="45" t="e">
        <f>IF($B61-#REF!&lt;0,0,$B61-#REF!)</f>
        <v>#REF!</v>
      </c>
      <c r="G61" s="45" t="e">
        <f>IF($B61-#REF!&lt;0,0,$B61-#REF!)</f>
        <v>#REF!</v>
      </c>
      <c r="H61" s="45" t="e">
        <f>IF($B61-#REF!&lt;0,0,$B61-#REF!)</f>
        <v>#REF!</v>
      </c>
      <c r="I61" s="45" t="e">
        <f>IF($B61-#REF!&lt;0,0,$B61-#REF!)</f>
        <v>#REF!</v>
      </c>
      <c r="J61" s="45" t="e">
        <f>IF($B61-#REF!&lt;0,0,$B61-#REF!)</f>
        <v>#REF!</v>
      </c>
      <c r="K61" s="45" t="e">
        <f>IF($B61-#REF!&lt;0,0,$B61-#REF!)</f>
        <v>#REF!</v>
      </c>
      <c r="L61" s="45" t="e">
        <f>IF($B61-#REF!&lt;0,0,$B61-#REF!)</f>
        <v>#REF!</v>
      </c>
      <c r="M61" s="45" t="e">
        <f>IF($B61-#REF!&lt;0,0,$B61-#REF!)</f>
        <v>#REF!</v>
      </c>
      <c r="N61" s="45" t="e">
        <f>IF($B61-#REF!&lt;0,0,$B61-#REF!)</f>
        <v>#REF!</v>
      </c>
      <c r="O61" s="45" t="e">
        <f>IF($B61-#REF!&lt;0,0,$B61-#REF!)</f>
        <v>#REF!</v>
      </c>
      <c r="P61" s="45" t="e">
        <f>IF($B61-#REF!&lt;0,0,$B61-#REF!)</f>
        <v>#REF!</v>
      </c>
      <c r="Q61" s="45" t="e">
        <f>IF($B61-#REF!&lt;0,0,$B61-#REF!)</f>
        <v>#REF!</v>
      </c>
      <c r="R61" s="45" t="e">
        <f>IF($B61-#REF!&lt;0,0,$B61-#REF!)</f>
        <v>#REF!</v>
      </c>
      <c r="S61" s="45" t="e">
        <f>IF($B61-#REF!&lt;0,0,$B61-#REF!)</f>
        <v>#REF!</v>
      </c>
      <c r="T61" s="45" t="e">
        <f>IF($B61-#REF!&lt;0,0,$B61-#REF!)</f>
        <v>#REF!</v>
      </c>
      <c r="U61" s="45" t="e">
        <f>IF($B61-#REF!&lt;0,0,$B61-#REF!)</f>
        <v>#REF!</v>
      </c>
      <c r="V61" s="45" t="e">
        <f>IF($B61-#REF!&lt;0,0,$B61-#REF!)</f>
        <v>#REF!</v>
      </c>
      <c r="W61" s="45" t="e">
        <f>IF($B61-#REF!&lt;0,0,$B61-#REF!)</f>
        <v>#REF!</v>
      </c>
      <c r="X61" s="45" t="e">
        <f>IF($B61-#REF!&lt;0,0,$B61-#REF!)</f>
        <v>#REF!</v>
      </c>
      <c r="Y61" s="45" t="e">
        <f>IF($B61-#REF!&lt;0,0,$B61-#REF!)</f>
        <v>#REF!</v>
      </c>
      <c r="Z61" s="45" t="e">
        <f>IF($B61-#REF!&lt;0,0,$B61-#REF!)</f>
        <v>#REF!</v>
      </c>
      <c r="AA61" s="45" t="e">
        <f>IF($B61-#REF!&lt;0,0,$B61-#REF!)</f>
        <v>#REF!</v>
      </c>
      <c r="AB61" s="45" t="e">
        <f>IF($B61-#REF!&lt;0,0,$B61-#REF!)</f>
        <v>#REF!</v>
      </c>
      <c r="AC61" s="45" t="e">
        <f>IF($B61-#REF!&lt;0,0,$B61-#REF!)</f>
        <v>#REF!</v>
      </c>
      <c r="AD61" s="45" t="e">
        <f>IF($B61-#REF!&lt;0,0,$B61-#REF!)</f>
        <v>#REF!</v>
      </c>
      <c r="AE61" s="45" t="e">
        <f>IF($B61-#REF!&lt;0,0,$B61-#REF!)</f>
        <v>#REF!</v>
      </c>
      <c r="AF61" s="45" t="e">
        <f>IF($B61-#REF!&lt;0,0,$B61-#REF!)</f>
        <v>#REF!</v>
      </c>
      <c r="AG61" s="45" t="e">
        <f>IF($B61-#REF!&lt;0,0,$B61-#REF!)</f>
        <v>#REF!</v>
      </c>
      <c r="AH61" s="55">
        <v>24</v>
      </c>
      <c r="AI61" s="48" t="e">
        <f t="shared" si="2"/>
        <v>#REF!</v>
      </c>
      <c r="AJ61" s="49" t="e">
        <f t="shared" si="3"/>
        <v>#REF!</v>
      </c>
      <c r="AL61" s="50"/>
    </row>
    <row r="62" spans="1:42" x14ac:dyDescent="0.25">
      <c r="A62" s="54" t="s">
        <v>60</v>
      </c>
      <c r="B62" s="211">
        <v>5</v>
      </c>
      <c r="C62" s="45">
        <v>0</v>
      </c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v>0</v>
      </c>
      <c r="O62" s="45">
        <v>0</v>
      </c>
      <c r="P62" s="45">
        <v>0</v>
      </c>
      <c r="Q62" s="45">
        <v>0</v>
      </c>
      <c r="R62" s="45">
        <v>0</v>
      </c>
      <c r="S62" s="45">
        <v>0</v>
      </c>
      <c r="T62" s="45">
        <v>0</v>
      </c>
      <c r="U62" s="45">
        <v>0</v>
      </c>
      <c r="V62" s="45">
        <v>0</v>
      </c>
      <c r="W62" s="45">
        <v>0</v>
      </c>
      <c r="X62" s="45">
        <v>0</v>
      </c>
      <c r="Y62" s="45">
        <v>0</v>
      </c>
      <c r="Z62" s="45">
        <v>0</v>
      </c>
      <c r="AA62" s="45">
        <v>0</v>
      </c>
      <c r="AB62" s="45">
        <v>0</v>
      </c>
      <c r="AC62" s="45">
        <v>0</v>
      </c>
      <c r="AD62" s="45">
        <v>0</v>
      </c>
      <c r="AE62" s="45">
        <v>0</v>
      </c>
      <c r="AF62" s="45">
        <v>0</v>
      </c>
      <c r="AG62" s="45">
        <v>0</v>
      </c>
      <c r="AH62" s="55">
        <v>15</v>
      </c>
      <c r="AI62" s="48">
        <f t="shared" si="2"/>
        <v>0</v>
      </c>
      <c r="AJ62" s="49">
        <f t="shared" si="3"/>
        <v>0</v>
      </c>
      <c r="AL62" s="50"/>
      <c r="AM62" s="70"/>
      <c r="AP62" s="70"/>
    </row>
    <row r="63" spans="1:42" s="70" customFormat="1" x14ac:dyDescent="0.25">
      <c r="A63" s="54" t="s">
        <v>61</v>
      </c>
      <c r="B63" s="211">
        <v>11</v>
      </c>
      <c r="C63" s="45" t="e">
        <f>IF($B63-#REF!&lt;0,0,$B63-#REF!)</f>
        <v>#REF!</v>
      </c>
      <c r="D63" s="45" t="e">
        <f>IF($B63-#REF!&lt;0,0,$B63-#REF!)</f>
        <v>#REF!</v>
      </c>
      <c r="E63" s="45" t="e">
        <f>IF($B63-#REF!&lt;0,0,$B63-#REF!)</f>
        <v>#REF!</v>
      </c>
      <c r="F63" s="45" t="e">
        <f>IF($B63-#REF!&lt;0,0,$B63-#REF!)</f>
        <v>#REF!</v>
      </c>
      <c r="G63" s="45" t="e">
        <f>IF($B63-#REF!&lt;0,0,$B63-#REF!)</f>
        <v>#REF!</v>
      </c>
      <c r="H63" s="45" t="e">
        <f>IF($B63-#REF!&lt;0,0,$B63-#REF!)</f>
        <v>#REF!</v>
      </c>
      <c r="I63" s="45" t="e">
        <f>IF($B63-#REF!&lt;0,0,$B63-#REF!)</f>
        <v>#REF!</v>
      </c>
      <c r="J63" s="45" t="e">
        <f>IF($B63-#REF!&lt;0,0,$B63-#REF!)</f>
        <v>#REF!</v>
      </c>
      <c r="K63" s="45" t="e">
        <f>IF($B63-#REF!&lt;0,0,$B63-#REF!)</f>
        <v>#REF!</v>
      </c>
      <c r="L63" s="45" t="e">
        <f>IF($B63-#REF!&lt;0,0,$B63-#REF!)</f>
        <v>#REF!</v>
      </c>
      <c r="M63" s="45" t="e">
        <f>IF($B63-#REF!&lt;0,0,$B63-#REF!)</f>
        <v>#REF!</v>
      </c>
      <c r="N63" s="45" t="e">
        <f>IF($B63-#REF!&lt;0,0,$B63-#REF!)</f>
        <v>#REF!</v>
      </c>
      <c r="O63" s="45" t="e">
        <f>IF($B63-#REF!&lt;0,0,$B63-#REF!)</f>
        <v>#REF!</v>
      </c>
      <c r="P63" s="45" t="e">
        <f>IF($B63-#REF!&lt;0,0,$B63-#REF!)</f>
        <v>#REF!</v>
      </c>
      <c r="Q63" s="45" t="e">
        <f>IF($B63-#REF!&lt;0,0,$B63-#REF!)</f>
        <v>#REF!</v>
      </c>
      <c r="R63" s="45" t="e">
        <f>IF($B63-#REF!&lt;0,0,$B63-#REF!)</f>
        <v>#REF!</v>
      </c>
      <c r="S63" s="45" t="e">
        <f>IF($B63-#REF!&lt;0,0,$B63-#REF!)</f>
        <v>#REF!</v>
      </c>
      <c r="T63" s="45" t="e">
        <f>IF($B63-#REF!&lt;0,0,$B63-#REF!)</f>
        <v>#REF!</v>
      </c>
      <c r="U63" s="45" t="e">
        <f>IF($B63-#REF!&lt;0,0,$B63-#REF!)</f>
        <v>#REF!</v>
      </c>
      <c r="V63" s="45" t="e">
        <f>IF($B63-#REF!&lt;0,0,$B63-#REF!)</f>
        <v>#REF!</v>
      </c>
      <c r="W63" s="45" t="e">
        <f>IF($B63-#REF!&lt;0,0,$B63-#REF!)</f>
        <v>#REF!</v>
      </c>
      <c r="X63" s="45" t="e">
        <f>IF($B63-#REF!&lt;0,0,$B63-#REF!)</f>
        <v>#REF!</v>
      </c>
      <c r="Y63" s="45" t="e">
        <f>IF($B63-#REF!&lt;0,0,$B63-#REF!)</f>
        <v>#REF!</v>
      </c>
      <c r="Z63" s="45" t="e">
        <f>IF($B63-#REF!&lt;0,0,$B63-#REF!)</f>
        <v>#REF!</v>
      </c>
      <c r="AA63" s="45" t="e">
        <f>IF($B63-#REF!&lt;0,0,$B63-#REF!)</f>
        <v>#REF!</v>
      </c>
      <c r="AB63" s="45" t="e">
        <f>IF($B63-#REF!&lt;0,0,$B63-#REF!)</f>
        <v>#REF!</v>
      </c>
      <c r="AC63" s="45" t="e">
        <f>IF($B63-#REF!&lt;0,0,$B63-#REF!)</f>
        <v>#REF!</v>
      </c>
      <c r="AD63" s="45" t="e">
        <f>IF($B63-#REF!&lt;0,0,$B63-#REF!)</f>
        <v>#REF!</v>
      </c>
      <c r="AE63" s="45" t="e">
        <f>IF($B63-#REF!&lt;0,0,$B63-#REF!)</f>
        <v>#REF!</v>
      </c>
      <c r="AF63" s="45" t="e">
        <f>IF($B63-#REF!&lt;0,0,$B63-#REF!)</f>
        <v>#REF!</v>
      </c>
      <c r="AG63" s="45" t="e">
        <f>IF($B63-#REF!&lt;0,0,$B63-#REF!)</f>
        <v>#REF!</v>
      </c>
      <c r="AH63" s="55">
        <v>14.1</v>
      </c>
      <c r="AI63" s="48" t="e">
        <f t="shared" si="2"/>
        <v>#REF!</v>
      </c>
      <c r="AJ63" s="49" t="e">
        <f t="shared" si="3"/>
        <v>#REF!</v>
      </c>
      <c r="AK63" s="1"/>
      <c r="AL63" s="50"/>
      <c r="AM63" s="1"/>
      <c r="AN63" s="1"/>
      <c r="AO63" s="1"/>
      <c r="AP63" s="1"/>
    </row>
    <row r="64" spans="1:42" x14ac:dyDescent="0.25">
      <c r="A64" s="71" t="s">
        <v>62</v>
      </c>
      <c r="B64" s="211">
        <v>14</v>
      </c>
      <c r="C64" s="45" t="e">
        <f>IF($B64-#REF!&lt;0,0,$B64-#REF!)</f>
        <v>#REF!</v>
      </c>
      <c r="D64" s="45" t="e">
        <f>IF($B64-#REF!&lt;0,0,$B64-#REF!)</f>
        <v>#REF!</v>
      </c>
      <c r="E64" s="45" t="e">
        <f>IF($B64-#REF!&lt;0,0,$B64-#REF!)</f>
        <v>#REF!</v>
      </c>
      <c r="F64" s="45" t="e">
        <f>IF($B64-#REF!&lt;0,0,$B64-#REF!)</f>
        <v>#REF!</v>
      </c>
      <c r="G64" s="45" t="e">
        <f>IF($B64-#REF!&lt;0,0,$B64-#REF!)</f>
        <v>#REF!</v>
      </c>
      <c r="H64" s="45" t="e">
        <f>IF($B64-#REF!&lt;0,0,$B64-#REF!)</f>
        <v>#REF!</v>
      </c>
      <c r="I64" s="45" t="e">
        <f>IF($B64-#REF!&lt;0,0,$B64-#REF!)</f>
        <v>#REF!</v>
      </c>
      <c r="J64" s="45" t="e">
        <f>IF($B64-#REF!&lt;0,0,$B64-#REF!)</f>
        <v>#REF!</v>
      </c>
      <c r="K64" s="45" t="e">
        <f>IF($B64-#REF!&lt;0,0,$B64-#REF!)</f>
        <v>#REF!</v>
      </c>
      <c r="L64" s="45" t="e">
        <f>IF($B64-#REF!&lt;0,0,$B64-#REF!)</f>
        <v>#REF!</v>
      </c>
      <c r="M64" s="45" t="e">
        <f>IF($B64-#REF!&lt;0,0,$B64-#REF!)</f>
        <v>#REF!</v>
      </c>
      <c r="N64" s="45" t="e">
        <f>IF($B64-#REF!&lt;0,0,$B64-#REF!)</f>
        <v>#REF!</v>
      </c>
      <c r="O64" s="45" t="e">
        <f>IF($B64-#REF!&lt;0,0,$B64-#REF!)</f>
        <v>#REF!</v>
      </c>
      <c r="P64" s="45" t="e">
        <f>IF($B64-#REF!&lt;0,0,$B64-#REF!)</f>
        <v>#REF!</v>
      </c>
      <c r="Q64" s="45" t="e">
        <f>IF($B64-#REF!&lt;0,0,$B64-#REF!)</f>
        <v>#REF!</v>
      </c>
      <c r="R64" s="45" t="e">
        <f>IF($B64-#REF!&lt;0,0,$B64-#REF!)</f>
        <v>#REF!</v>
      </c>
      <c r="S64" s="45" t="e">
        <f>IF($B64-#REF!&lt;0,0,$B64-#REF!)</f>
        <v>#REF!</v>
      </c>
      <c r="T64" s="45" t="e">
        <f>IF($B64-#REF!&lt;0,0,$B64-#REF!)</f>
        <v>#REF!</v>
      </c>
      <c r="U64" s="45" t="e">
        <f>IF($B64-#REF!&lt;0,0,$B64-#REF!)</f>
        <v>#REF!</v>
      </c>
      <c r="V64" s="45" t="e">
        <f>IF($B64-#REF!&lt;0,0,$B64-#REF!)</f>
        <v>#REF!</v>
      </c>
      <c r="W64" s="45" t="e">
        <f>IF($B64-#REF!&lt;0,0,$B64-#REF!)</f>
        <v>#REF!</v>
      </c>
      <c r="X64" s="45" t="e">
        <f>IF($B64-#REF!&lt;0,0,$B64-#REF!)</f>
        <v>#REF!</v>
      </c>
      <c r="Y64" s="45" t="e">
        <f>IF($B64-#REF!&lt;0,0,$B64-#REF!)</f>
        <v>#REF!</v>
      </c>
      <c r="Z64" s="45" t="e">
        <f>IF($B64-#REF!&lt;0,0,$B64-#REF!)</f>
        <v>#REF!</v>
      </c>
      <c r="AA64" s="45" t="e">
        <f>IF($B64-#REF!&lt;0,0,$B64-#REF!)</f>
        <v>#REF!</v>
      </c>
      <c r="AB64" s="45" t="e">
        <f>IF($B64-#REF!&lt;0,0,$B64-#REF!)</f>
        <v>#REF!</v>
      </c>
      <c r="AC64" s="45" t="e">
        <f>IF($B64-#REF!&lt;0,0,$B64-#REF!)</f>
        <v>#REF!</v>
      </c>
      <c r="AD64" s="45" t="e">
        <f>IF($B64-#REF!&lt;0,0,$B64-#REF!)</f>
        <v>#REF!</v>
      </c>
      <c r="AE64" s="45" t="e">
        <f>IF($B64-#REF!&lt;0,0,$B64-#REF!)</f>
        <v>#REF!</v>
      </c>
      <c r="AF64" s="45" t="e">
        <f>IF($B64-#REF!&lt;0,0,$B64-#REF!)</f>
        <v>#REF!</v>
      </c>
      <c r="AG64" s="45" t="e">
        <f>IF($B64-#REF!&lt;0,0,$B64-#REF!)</f>
        <v>#REF!</v>
      </c>
      <c r="AH64" s="55">
        <v>14</v>
      </c>
      <c r="AI64" s="48" t="e">
        <f t="shared" si="2"/>
        <v>#REF!</v>
      </c>
      <c r="AJ64" s="49" t="e">
        <f t="shared" si="3"/>
        <v>#REF!</v>
      </c>
      <c r="AL64" s="50"/>
    </row>
    <row r="65" spans="1:46" x14ac:dyDescent="0.25">
      <c r="A65" s="54" t="s">
        <v>63</v>
      </c>
      <c r="B65" s="211">
        <v>9</v>
      </c>
      <c r="C65" s="45">
        <v>0</v>
      </c>
      <c r="D65" s="45">
        <v>0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v>0</v>
      </c>
      <c r="O65" s="45">
        <v>0</v>
      </c>
      <c r="P65" s="45">
        <v>0</v>
      </c>
      <c r="Q65" s="45">
        <v>0</v>
      </c>
      <c r="R65" s="45">
        <v>0</v>
      </c>
      <c r="S65" s="45">
        <v>0</v>
      </c>
      <c r="T65" s="45">
        <v>0</v>
      </c>
      <c r="U65" s="45">
        <v>0</v>
      </c>
      <c r="V65" s="45">
        <v>0</v>
      </c>
      <c r="W65" s="45">
        <v>0</v>
      </c>
      <c r="X65" s="45">
        <v>0</v>
      </c>
      <c r="Y65" s="45">
        <v>0</v>
      </c>
      <c r="Z65" s="45">
        <v>0</v>
      </c>
      <c r="AA65" s="45">
        <v>0</v>
      </c>
      <c r="AB65" s="45">
        <v>0</v>
      </c>
      <c r="AC65" s="45">
        <v>0</v>
      </c>
      <c r="AD65" s="45">
        <v>0</v>
      </c>
      <c r="AE65" s="45">
        <v>0</v>
      </c>
      <c r="AF65" s="45">
        <v>0</v>
      </c>
      <c r="AG65" s="45" t="e">
        <f>IF($B65-#REF!&lt;0,0,$B65-#REF!)</f>
        <v>#REF!</v>
      </c>
      <c r="AH65" s="55">
        <v>10.050000000000001</v>
      </c>
      <c r="AI65" s="48" t="e">
        <f t="shared" si="2"/>
        <v>#REF!</v>
      </c>
      <c r="AJ65" s="49" t="e">
        <f t="shared" si="3"/>
        <v>#REF!</v>
      </c>
      <c r="AL65" s="50"/>
    </row>
    <row r="66" spans="1:46" x14ac:dyDescent="0.25">
      <c r="A66" s="54" t="s">
        <v>64</v>
      </c>
      <c r="B66" s="211">
        <v>6.2</v>
      </c>
      <c r="C66" s="45" t="e">
        <f>IF($B66-#REF!&lt;0,0,$B66-#REF!)</f>
        <v>#REF!</v>
      </c>
      <c r="D66" s="45" t="e">
        <f>IF($B66-#REF!&lt;0,0,$B66-#REF!)</f>
        <v>#REF!</v>
      </c>
      <c r="E66" s="45" t="e">
        <f>IF($B66-#REF!&lt;0,0,$B66-#REF!)</f>
        <v>#REF!</v>
      </c>
      <c r="F66" s="45" t="e">
        <f>IF($B66-#REF!&lt;0,0,$B66-#REF!)</f>
        <v>#REF!</v>
      </c>
      <c r="G66" s="45" t="e">
        <f>IF($B66-#REF!&lt;0,0,$B66-#REF!)</f>
        <v>#REF!</v>
      </c>
      <c r="H66" s="45" t="e">
        <f>IF($B66-#REF!&lt;0,0,$B66-#REF!)</f>
        <v>#REF!</v>
      </c>
      <c r="I66" s="45" t="e">
        <f>IF($B66-#REF!&lt;0,0,$B66-#REF!)</f>
        <v>#REF!</v>
      </c>
      <c r="J66" s="45" t="e">
        <f>IF($B66-#REF!&lt;0,0,$B66-#REF!)</f>
        <v>#REF!</v>
      </c>
      <c r="K66" s="45" t="e">
        <f>IF($B66-#REF!&lt;0,0,$B66-#REF!)</f>
        <v>#REF!</v>
      </c>
      <c r="L66" s="45" t="e">
        <f>IF($B66-#REF!&lt;0,0,$B66-#REF!)</f>
        <v>#REF!</v>
      </c>
      <c r="M66" s="45" t="e">
        <f>IF($B66-#REF!&lt;0,0,$B66-#REF!)</f>
        <v>#REF!</v>
      </c>
      <c r="N66" s="45" t="e">
        <f>IF($B66-#REF!&lt;0,0,$B66-#REF!)</f>
        <v>#REF!</v>
      </c>
      <c r="O66" s="45" t="e">
        <f>IF($B66-#REF!&lt;0,0,$B66-#REF!)</f>
        <v>#REF!</v>
      </c>
      <c r="P66" s="45" t="e">
        <f>IF($B66-#REF!&lt;0,0,$B66-#REF!)</f>
        <v>#REF!</v>
      </c>
      <c r="Q66" s="45" t="e">
        <f>IF($B66-#REF!&lt;0,0,$B66-#REF!)</f>
        <v>#REF!</v>
      </c>
      <c r="R66" s="45" t="e">
        <f>IF($B66-#REF!&lt;0,0,$B66-#REF!)</f>
        <v>#REF!</v>
      </c>
      <c r="S66" s="45" t="e">
        <f>IF($B66-#REF!&lt;0,0,$B66-#REF!)</f>
        <v>#REF!</v>
      </c>
      <c r="T66" s="45" t="e">
        <f>IF($B66-#REF!&lt;0,0,$B66-#REF!)</f>
        <v>#REF!</v>
      </c>
      <c r="U66" s="45" t="e">
        <f>IF($B66-#REF!&lt;0,0,$B66-#REF!)</f>
        <v>#REF!</v>
      </c>
      <c r="V66" s="45" t="e">
        <f>IF($B66-#REF!&lt;0,0,$B66-#REF!)</f>
        <v>#REF!</v>
      </c>
      <c r="W66" s="45" t="e">
        <f>IF($B66-#REF!&lt;0,0,$B66-#REF!)</f>
        <v>#REF!</v>
      </c>
      <c r="X66" s="45" t="e">
        <f>IF($B66-#REF!&lt;0,0,$B66-#REF!)</f>
        <v>#REF!</v>
      </c>
      <c r="Y66" s="45" t="e">
        <f>IF($B66-#REF!&lt;0,0,$B66-#REF!)</f>
        <v>#REF!</v>
      </c>
      <c r="Z66" s="45" t="e">
        <f>IF($B66-#REF!&lt;0,0,$B66-#REF!)</f>
        <v>#REF!</v>
      </c>
      <c r="AA66" s="45" t="e">
        <f>IF($B66-#REF!&lt;0,0,$B66-#REF!)</f>
        <v>#REF!</v>
      </c>
      <c r="AB66" s="45" t="e">
        <f>IF($B66-#REF!&lt;0,0,$B66-#REF!)</f>
        <v>#REF!</v>
      </c>
      <c r="AC66" s="45" t="e">
        <f>IF($B66-#REF!&lt;0,0,$B66-#REF!)</f>
        <v>#REF!</v>
      </c>
      <c r="AD66" s="45" t="e">
        <f>IF($B66-#REF!&lt;0,0,$B66-#REF!)</f>
        <v>#REF!</v>
      </c>
      <c r="AE66" s="45" t="e">
        <f>IF($B66-#REF!&lt;0,0,$B66-#REF!)</f>
        <v>#REF!</v>
      </c>
      <c r="AF66" s="45" t="e">
        <f>IF($B66-#REF!&lt;0,0,$B66-#REF!)</f>
        <v>#REF!</v>
      </c>
      <c r="AG66" s="45" t="e">
        <f>IF($B66-#REF!&lt;0,0,$B66-#REF!)</f>
        <v>#REF!</v>
      </c>
      <c r="AH66" s="55">
        <v>6.2</v>
      </c>
      <c r="AI66" s="48" t="e">
        <f t="shared" si="2"/>
        <v>#REF!</v>
      </c>
      <c r="AJ66" s="49" t="e">
        <f t="shared" si="3"/>
        <v>#REF!</v>
      </c>
      <c r="AL66" s="50"/>
    </row>
    <row r="67" spans="1:46" ht="15.75" thickBot="1" x14ac:dyDescent="0.3">
      <c r="A67" s="56" t="s">
        <v>65</v>
      </c>
      <c r="B67" s="216">
        <v>3.54</v>
      </c>
      <c r="C67" s="216">
        <v>3.54</v>
      </c>
      <c r="D67" s="216">
        <v>3.54</v>
      </c>
      <c r="E67" s="216">
        <v>3.54</v>
      </c>
      <c r="F67" s="216">
        <v>3.54</v>
      </c>
      <c r="G67" s="216">
        <v>3.54</v>
      </c>
      <c r="H67" s="216">
        <v>3.54</v>
      </c>
      <c r="I67" s="216">
        <v>4.54</v>
      </c>
      <c r="J67" s="216">
        <v>5.54</v>
      </c>
      <c r="K67" s="216">
        <v>6.54</v>
      </c>
      <c r="L67" s="216">
        <v>7.54</v>
      </c>
      <c r="M67" s="216">
        <v>8.5399999999999991</v>
      </c>
      <c r="N67" s="216">
        <v>9.5399999999999991</v>
      </c>
      <c r="O67" s="216">
        <v>10.54</v>
      </c>
      <c r="P67" s="216">
        <v>11.54</v>
      </c>
      <c r="Q67" s="216">
        <v>12.54</v>
      </c>
      <c r="R67" s="216">
        <v>13.54</v>
      </c>
      <c r="S67" s="216">
        <v>14.54</v>
      </c>
      <c r="T67" s="216">
        <v>15.54</v>
      </c>
      <c r="U67" s="216">
        <v>16.54</v>
      </c>
      <c r="V67" s="216">
        <v>17.54</v>
      </c>
      <c r="W67" s="216">
        <v>18.54</v>
      </c>
      <c r="X67" s="216">
        <v>19.54</v>
      </c>
      <c r="Y67" s="216">
        <v>20.54</v>
      </c>
      <c r="Z67" s="216">
        <v>21.54</v>
      </c>
      <c r="AA67" s="216">
        <v>22.54</v>
      </c>
      <c r="AB67" s="216">
        <v>3.54</v>
      </c>
      <c r="AC67" s="216">
        <v>3.54</v>
      </c>
      <c r="AD67" s="216">
        <v>3.54</v>
      </c>
      <c r="AE67" s="216">
        <v>3.54</v>
      </c>
      <c r="AF67" s="216">
        <v>3.54</v>
      </c>
      <c r="AG67" s="216">
        <v>3.54</v>
      </c>
      <c r="AH67" s="73">
        <f>AH235</f>
        <v>8.56</v>
      </c>
      <c r="AI67" s="48">
        <f t="shared" si="2"/>
        <v>22.54</v>
      </c>
      <c r="AJ67" s="49">
        <f t="shared" si="3"/>
        <v>3.54</v>
      </c>
      <c r="AL67" s="50"/>
    </row>
    <row r="68" spans="1:46" ht="15.75" thickBot="1" x14ac:dyDescent="0.3">
      <c r="A68" s="74" t="s">
        <v>66</v>
      </c>
      <c r="B68" s="61">
        <f t="shared" ref="B68" si="8">SUM(B55:B67)</f>
        <v>421.74</v>
      </c>
      <c r="C68" s="61" t="e">
        <f t="shared" ref="C68:AG68" si="9">SUM(C55:C67)</f>
        <v>#REF!</v>
      </c>
      <c r="D68" s="61" t="e">
        <f t="shared" si="9"/>
        <v>#REF!</v>
      </c>
      <c r="E68" s="61" t="e">
        <f t="shared" si="9"/>
        <v>#REF!</v>
      </c>
      <c r="F68" s="61" t="e">
        <f t="shared" si="9"/>
        <v>#REF!</v>
      </c>
      <c r="G68" s="61" t="e">
        <f t="shared" si="9"/>
        <v>#REF!</v>
      </c>
      <c r="H68" s="61" t="e">
        <f t="shared" si="9"/>
        <v>#REF!</v>
      </c>
      <c r="I68" s="61" t="e">
        <f t="shared" si="9"/>
        <v>#REF!</v>
      </c>
      <c r="J68" s="61" t="e">
        <f t="shared" si="9"/>
        <v>#REF!</v>
      </c>
      <c r="K68" s="61" t="e">
        <f t="shared" si="9"/>
        <v>#REF!</v>
      </c>
      <c r="L68" s="61" t="e">
        <f t="shared" si="9"/>
        <v>#REF!</v>
      </c>
      <c r="M68" s="61" t="e">
        <f t="shared" si="9"/>
        <v>#REF!</v>
      </c>
      <c r="N68" s="61" t="e">
        <f t="shared" si="9"/>
        <v>#REF!</v>
      </c>
      <c r="O68" s="61" t="e">
        <f t="shared" si="9"/>
        <v>#REF!</v>
      </c>
      <c r="P68" s="61" t="e">
        <f t="shared" si="9"/>
        <v>#REF!</v>
      </c>
      <c r="Q68" s="61" t="e">
        <f t="shared" si="9"/>
        <v>#REF!</v>
      </c>
      <c r="R68" s="61" t="e">
        <f t="shared" si="9"/>
        <v>#REF!</v>
      </c>
      <c r="S68" s="61" t="e">
        <f t="shared" si="9"/>
        <v>#REF!</v>
      </c>
      <c r="T68" s="61" t="e">
        <f t="shared" si="9"/>
        <v>#REF!</v>
      </c>
      <c r="U68" s="61" t="e">
        <f t="shared" si="9"/>
        <v>#REF!</v>
      </c>
      <c r="V68" s="61" t="e">
        <f t="shared" si="9"/>
        <v>#REF!</v>
      </c>
      <c r="W68" s="61" t="e">
        <f t="shared" si="9"/>
        <v>#REF!</v>
      </c>
      <c r="X68" s="61" t="e">
        <f t="shared" si="9"/>
        <v>#REF!</v>
      </c>
      <c r="Y68" s="61" t="e">
        <f t="shared" si="9"/>
        <v>#REF!</v>
      </c>
      <c r="Z68" s="61" t="e">
        <f t="shared" si="9"/>
        <v>#REF!</v>
      </c>
      <c r="AA68" s="61" t="e">
        <f t="shared" si="9"/>
        <v>#REF!</v>
      </c>
      <c r="AB68" s="61" t="e">
        <f t="shared" si="9"/>
        <v>#REF!</v>
      </c>
      <c r="AC68" s="61" t="e">
        <f t="shared" si="9"/>
        <v>#REF!</v>
      </c>
      <c r="AD68" s="61" t="e">
        <f t="shared" si="9"/>
        <v>#REF!</v>
      </c>
      <c r="AE68" s="61" t="e">
        <f t="shared" si="9"/>
        <v>#REF!</v>
      </c>
      <c r="AF68" s="61" t="e">
        <f t="shared" si="9"/>
        <v>#REF!</v>
      </c>
      <c r="AG68" s="61" t="e">
        <f t="shared" si="9"/>
        <v>#REF!</v>
      </c>
      <c r="AH68" s="210" t="e">
        <f>SUM(C68:AG68)</f>
        <v>#REF!</v>
      </c>
      <c r="AI68" s="48" t="e">
        <f t="shared" si="2"/>
        <v>#REF!</v>
      </c>
      <c r="AJ68" s="49" t="e">
        <f t="shared" si="3"/>
        <v>#REF!</v>
      </c>
      <c r="AL68" s="50"/>
    </row>
    <row r="69" spans="1:46" x14ac:dyDescent="0.25">
      <c r="A69" s="44" t="s">
        <v>67</v>
      </c>
      <c r="B69" s="45"/>
      <c r="C69" s="45" t="e">
        <f>B69-#REF!</f>
        <v>#REF!</v>
      </c>
      <c r="D69" s="45" t="e">
        <f>C69-#REF!</f>
        <v>#REF!</v>
      </c>
      <c r="E69" s="45" t="e">
        <f>D69-#REF!</f>
        <v>#REF!</v>
      </c>
      <c r="F69" s="45" t="e">
        <f>E69-#REF!</f>
        <v>#REF!</v>
      </c>
      <c r="G69" s="45" t="e">
        <f>F69-#REF!</f>
        <v>#REF!</v>
      </c>
      <c r="H69" s="45" t="e">
        <f>G69-#REF!</f>
        <v>#REF!</v>
      </c>
      <c r="I69" s="45" t="e">
        <f>H69-#REF!</f>
        <v>#REF!</v>
      </c>
      <c r="J69" s="45" t="e">
        <f>I69-#REF!</f>
        <v>#REF!</v>
      </c>
      <c r="K69" s="45" t="e">
        <f>J69-#REF!</f>
        <v>#REF!</v>
      </c>
      <c r="L69" s="45" t="e">
        <f>K69-#REF!</f>
        <v>#REF!</v>
      </c>
      <c r="M69" s="45" t="e">
        <f>L69-#REF!</f>
        <v>#REF!</v>
      </c>
      <c r="N69" s="45" t="e">
        <f>M69-#REF!</f>
        <v>#REF!</v>
      </c>
      <c r="O69" s="45" t="e">
        <f>N69-#REF!</f>
        <v>#REF!</v>
      </c>
      <c r="P69" s="45" t="e">
        <f>O69-#REF!</f>
        <v>#REF!</v>
      </c>
      <c r="Q69" s="45" t="e">
        <f>P69-#REF!</f>
        <v>#REF!</v>
      </c>
      <c r="R69" s="45" t="e">
        <f>Q69-#REF!</f>
        <v>#REF!</v>
      </c>
      <c r="S69" s="45" t="e">
        <f>R69-#REF!</f>
        <v>#REF!</v>
      </c>
      <c r="T69" s="45" t="e">
        <f>S69-#REF!</f>
        <v>#REF!</v>
      </c>
      <c r="U69" s="45" t="e">
        <f>T69-#REF!</f>
        <v>#REF!</v>
      </c>
      <c r="V69" s="45" t="e">
        <f>U69-#REF!</f>
        <v>#REF!</v>
      </c>
      <c r="W69" s="45" t="e">
        <f>V69-#REF!</f>
        <v>#REF!</v>
      </c>
      <c r="X69" s="45" t="e">
        <f>W69-#REF!</f>
        <v>#REF!</v>
      </c>
      <c r="Y69" s="45" t="e">
        <f>X69-#REF!</f>
        <v>#REF!</v>
      </c>
      <c r="Z69" s="45" t="e">
        <f>Y69-#REF!</f>
        <v>#REF!</v>
      </c>
      <c r="AA69" s="45" t="e">
        <f>Z69-#REF!</f>
        <v>#REF!</v>
      </c>
      <c r="AB69" s="45" t="e">
        <f>AA69-#REF!</f>
        <v>#REF!</v>
      </c>
      <c r="AC69" s="45" t="e">
        <f>AB69-#REF!</f>
        <v>#REF!</v>
      </c>
      <c r="AD69" s="45" t="e">
        <f>AC69-#REF!</f>
        <v>#REF!</v>
      </c>
      <c r="AE69" s="45" t="e">
        <f>AD69-#REF!</f>
        <v>#REF!</v>
      </c>
      <c r="AF69" s="45" t="e">
        <f>AE69-#REF!</f>
        <v>#REF!</v>
      </c>
      <c r="AG69" s="45" t="e">
        <f>AF69-#REF!</f>
        <v>#REF!</v>
      </c>
      <c r="AH69" s="52">
        <v>60</v>
      </c>
      <c r="AI69" s="48" t="e">
        <f t="shared" si="2"/>
        <v>#REF!</v>
      </c>
      <c r="AJ69" s="49" t="e">
        <f t="shared" si="3"/>
        <v>#REF!</v>
      </c>
      <c r="AL69" s="50"/>
    </row>
    <row r="70" spans="1:46" x14ac:dyDescent="0.25">
      <c r="A70" s="54" t="s">
        <v>68</v>
      </c>
      <c r="B70" s="45"/>
      <c r="C70" s="45" t="e">
        <f>B70-#REF!</f>
        <v>#REF!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v>0</v>
      </c>
      <c r="Q70" s="45">
        <v>0</v>
      </c>
      <c r="R70" s="45">
        <v>0</v>
      </c>
      <c r="S70" s="45">
        <v>0</v>
      </c>
      <c r="T70" s="45">
        <v>0</v>
      </c>
      <c r="U70" s="45">
        <v>0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0</v>
      </c>
      <c r="AB70" s="45">
        <v>0</v>
      </c>
      <c r="AC70" s="45">
        <v>0</v>
      </c>
      <c r="AD70" s="45">
        <v>0</v>
      </c>
      <c r="AE70" s="45">
        <v>0</v>
      </c>
      <c r="AF70" s="45">
        <v>0</v>
      </c>
      <c r="AG70" s="45">
        <v>0</v>
      </c>
      <c r="AH70" s="55">
        <v>32</v>
      </c>
      <c r="AI70" s="48" t="e">
        <f t="shared" si="2"/>
        <v>#REF!</v>
      </c>
      <c r="AJ70" s="49" t="e">
        <f t="shared" si="3"/>
        <v>#REF!</v>
      </c>
      <c r="AL70" s="50"/>
      <c r="AT70" s="48"/>
    </row>
    <row r="71" spans="1:46" ht="15.75" thickBot="1" x14ac:dyDescent="0.3">
      <c r="A71" s="71" t="s">
        <v>69</v>
      </c>
      <c r="B71" s="45"/>
      <c r="C71" s="45" t="e">
        <f>B71-#REF!</f>
        <v>#REF!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0</v>
      </c>
      <c r="AE71" s="45">
        <v>0</v>
      </c>
      <c r="AF71" s="45">
        <v>0</v>
      </c>
      <c r="AG71" s="45">
        <v>0</v>
      </c>
      <c r="AH71" s="68">
        <v>14</v>
      </c>
      <c r="AI71" s="48" t="e">
        <f t="shared" si="2"/>
        <v>#REF!</v>
      </c>
      <c r="AJ71" s="49" t="e">
        <f t="shared" si="3"/>
        <v>#REF!</v>
      </c>
      <c r="AL71" s="50"/>
    </row>
    <row r="72" spans="1:46" ht="15.75" thickBot="1" x14ac:dyDescent="0.3">
      <c r="A72" s="74" t="s">
        <v>70</v>
      </c>
      <c r="B72" s="61">
        <f>B69+B70+B71</f>
        <v>0</v>
      </c>
      <c r="C72" s="45" t="e">
        <f>B72-#REF!</f>
        <v>#REF!</v>
      </c>
      <c r="D72" s="45" t="e">
        <f>C72-#REF!</f>
        <v>#REF!</v>
      </c>
      <c r="E72" s="45" t="e">
        <f>D72-#REF!</f>
        <v>#REF!</v>
      </c>
      <c r="F72" s="45" t="e">
        <f>E72-#REF!</f>
        <v>#REF!</v>
      </c>
      <c r="G72" s="45" t="e">
        <f>F72-#REF!</f>
        <v>#REF!</v>
      </c>
      <c r="H72" s="45" t="e">
        <f>G72-#REF!</f>
        <v>#REF!</v>
      </c>
      <c r="I72" s="45" t="e">
        <f>H72-#REF!</f>
        <v>#REF!</v>
      </c>
      <c r="J72" s="45" t="e">
        <f>I72-#REF!</f>
        <v>#REF!</v>
      </c>
      <c r="K72" s="45" t="e">
        <f>J72-#REF!</f>
        <v>#REF!</v>
      </c>
      <c r="L72" s="45" t="e">
        <f>K72-#REF!</f>
        <v>#REF!</v>
      </c>
      <c r="M72" s="45" t="e">
        <f>L72-#REF!</f>
        <v>#REF!</v>
      </c>
      <c r="N72" s="45" t="e">
        <f>M72-#REF!</f>
        <v>#REF!</v>
      </c>
      <c r="O72" s="45" t="e">
        <f>N72-#REF!</f>
        <v>#REF!</v>
      </c>
      <c r="P72" s="45" t="e">
        <f>O72-#REF!</f>
        <v>#REF!</v>
      </c>
      <c r="Q72" s="45" t="e">
        <f>P72-#REF!</f>
        <v>#REF!</v>
      </c>
      <c r="R72" s="45" t="e">
        <f>Q72-#REF!</f>
        <v>#REF!</v>
      </c>
      <c r="S72" s="45" t="e">
        <f>R72-#REF!</f>
        <v>#REF!</v>
      </c>
      <c r="T72" s="45" t="e">
        <f>S72-#REF!</f>
        <v>#REF!</v>
      </c>
      <c r="U72" s="45" t="e">
        <f>T72-#REF!</f>
        <v>#REF!</v>
      </c>
      <c r="V72" s="45" t="e">
        <f>U72-#REF!</f>
        <v>#REF!</v>
      </c>
      <c r="W72" s="45" t="e">
        <f>V72-#REF!</f>
        <v>#REF!</v>
      </c>
      <c r="X72" s="45" t="e">
        <f>W72-#REF!</f>
        <v>#REF!</v>
      </c>
      <c r="Y72" s="45" t="e">
        <f>X72-#REF!</f>
        <v>#REF!</v>
      </c>
      <c r="Z72" s="45" t="e">
        <f>Y72-#REF!</f>
        <v>#REF!</v>
      </c>
      <c r="AA72" s="45" t="e">
        <f>Z72-#REF!</f>
        <v>#REF!</v>
      </c>
      <c r="AB72" s="45" t="e">
        <f>AA72-#REF!</f>
        <v>#REF!</v>
      </c>
      <c r="AC72" s="45" t="e">
        <f>AB72-#REF!</f>
        <v>#REF!</v>
      </c>
      <c r="AD72" s="45" t="e">
        <f>AC72-#REF!</f>
        <v>#REF!</v>
      </c>
      <c r="AE72" s="45" t="e">
        <f>AD72-#REF!</f>
        <v>#REF!</v>
      </c>
      <c r="AF72" s="45" t="e">
        <f>AE72-#REF!</f>
        <v>#REF!</v>
      </c>
      <c r="AG72" s="45" t="e">
        <f>AF72-#REF!</f>
        <v>#REF!</v>
      </c>
      <c r="AH72" s="62">
        <f>SUM(AH69:AH71)</f>
        <v>106</v>
      </c>
      <c r="AI72" s="48" t="e">
        <f t="shared" si="2"/>
        <v>#REF!</v>
      </c>
      <c r="AJ72" s="49" t="e">
        <f t="shared" si="3"/>
        <v>#REF!</v>
      </c>
      <c r="AL72" s="50"/>
      <c r="AM72" s="37" t="s">
        <v>228</v>
      </c>
      <c r="AN72" s="37" t="s">
        <v>230</v>
      </c>
      <c r="AO72" s="219" t="s">
        <v>265</v>
      </c>
      <c r="AP72" s="219"/>
    </row>
    <row r="73" spans="1:46" ht="15.75" hidden="1" thickBot="1" x14ac:dyDescent="0.3">
      <c r="A73" s="44" t="s">
        <v>71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52"/>
      <c r="AI73" s="48">
        <f t="shared" si="2"/>
        <v>0</v>
      </c>
      <c r="AJ73" s="49">
        <f t="shared" si="3"/>
        <v>0</v>
      </c>
      <c r="AL73" s="50"/>
    </row>
    <row r="74" spans="1:46" ht="15.75" hidden="1" thickBot="1" x14ac:dyDescent="0.3">
      <c r="A74" s="54" t="s">
        <v>72</v>
      </c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55"/>
      <c r="AI74" s="48">
        <f t="shared" si="2"/>
        <v>0</v>
      </c>
      <c r="AJ74" s="49">
        <f t="shared" si="3"/>
        <v>0</v>
      </c>
      <c r="AL74" s="50"/>
    </row>
    <row r="75" spans="1:46" ht="15.75" hidden="1" thickBot="1" x14ac:dyDescent="0.3">
      <c r="A75" s="54" t="s">
        <v>73</v>
      </c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75"/>
      <c r="AI75" s="48">
        <f t="shared" si="2"/>
        <v>0</v>
      </c>
      <c r="AJ75" s="49">
        <f t="shared" si="3"/>
        <v>0</v>
      </c>
      <c r="AL75" s="50"/>
    </row>
    <row r="76" spans="1:46" ht="15.75" hidden="1" thickBot="1" x14ac:dyDescent="0.3">
      <c r="A76" s="54" t="s">
        <v>74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65"/>
      <c r="AF76" s="76"/>
      <c r="AG76" s="76"/>
      <c r="AH76" s="75"/>
      <c r="AI76" s="48">
        <f t="shared" si="2"/>
        <v>0</v>
      </c>
      <c r="AJ76" s="49">
        <f t="shared" si="3"/>
        <v>0</v>
      </c>
      <c r="AL76" s="50"/>
    </row>
    <row r="77" spans="1:46" ht="15.75" hidden="1" thickBot="1" x14ac:dyDescent="0.3">
      <c r="A77" s="54" t="s">
        <v>75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65"/>
      <c r="M77" s="65"/>
      <c r="N77" s="65"/>
      <c r="O77" s="65"/>
      <c r="P77" s="65"/>
      <c r="Q77" s="65"/>
      <c r="R77" s="65"/>
      <c r="S77" s="6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75"/>
      <c r="AI77" s="48">
        <f t="shared" ref="AI77:AI120" si="10">MAX(C77:AG77)</f>
        <v>0</v>
      </c>
      <c r="AJ77" s="49">
        <f t="shared" ref="AJ77:AJ120" si="11">MIN(C77:AG77)</f>
        <v>0</v>
      </c>
      <c r="AL77" s="50"/>
    </row>
    <row r="78" spans="1:46" ht="15.75" hidden="1" thickBot="1" x14ac:dyDescent="0.3">
      <c r="A78" s="54" t="s">
        <v>76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65"/>
      <c r="M78" s="65"/>
      <c r="N78" s="65"/>
      <c r="O78" s="65"/>
      <c r="P78" s="65"/>
      <c r="Q78" s="65"/>
      <c r="R78" s="65"/>
      <c r="S78" s="65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5"/>
      <c r="AI78" s="48">
        <f t="shared" si="10"/>
        <v>0</v>
      </c>
      <c r="AJ78" s="49">
        <f t="shared" si="11"/>
        <v>0</v>
      </c>
      <c r="AL78" s="50"/>
    </row>
    <row r="79" spans="1:46" ht="15.75" hidden="1" thickBot="1" x14ac:dyDescent="0.3">
      <c r="A79" s="54" t="s">
        <v>77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65"/>
      <c r="M79" s="65"/>
      <c r="N79" s="65"/>
      <c r="O79" s="65"/>
      <c r="P79" s="65"/>
      <c r="Q79" s="65"/>
      <c r="R79" s="65"/>
      <c r="S79" s="65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5"/>
      <c r="AI79" s="48">
        <f t="shared" si="10"/>
        <v>0</v>
      </c>
      <c r="AJ79" s="49">
        <f t="shared" si="11"/>
        <v>0</v>
      </c>
      <c r="AL79" s="50"/>
      <c r="AM79" s="220" t="s">
        <v>266</v>
      </c>
      <c r="AN79" s="220"/>
    </row>
    <row r="80" spans="1:46" ht="15.75" hidden="1" thickBot="1" x14ac:dyDescent="0.3">
      <c r="A80" s="54" t="s">
        <v>78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65"/>
      <c r="M80" s="65"/>
      <c r="N80" s="65"/>
      <c r="O80" s="65"/>
      <c r="P80" s="65"/>
      <c r="Q80" s="65"/>
      <c r="R80" s="65"/>
      <c r="S80" s="65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5"/>
      <c r="AI80" s="48">
        <f t="shared" si="10"/>
        <v>0</v>
      </c>
      <c r="AJ80" s="49">
        <f t="shared" si="11"/>
        <v>0</v>
      </c>
      <c r="AL80" s="221"/>
      <c r="AM80" s="222"/>
      <c r="AN80" s="222"/>
      <c r="AO80" s="223"/>
    </row>
    <row r="81" spans="1:41" ht="15.75" hidden="1" thickBot="1" x14ac:dyDescent="0.3">
      <c r="A81" s="54" t="s">
        <v>79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65"/>
      <c r="M81" s="65"/>
      <c r="N81" s="65"/>
      <c r="O81" s="65"/>
      <c r="P81" s="65"/>
      <c r="Q81" s="65"/>
      <c r="R81" s="65"/>
      <c r="S81" s="65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5"/>
      <c r="AI81" s="48">
        <f t="shared" si="10"/>
        <v>0</v>
      </c>
      <c r="AJ81" s="49">
        <f t="shared" si="11"/>
        <v>0</v>
      </c>
      <c r="AL81" s="224" t="s">
        <v>267</v>
      </c>
      <c r="AM81" s="65"/>
      <c r="AN81" s="76"/>
      <c r="AO81" s="225"/>
    </row>
    <row r="82" spans="1:41" ht="15.75" hidden="1" thickBot="1" x14ac:dyDescent="0.3">
      <c r="A82" s="78" t="s">
        <v>80</v>
      </c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65"/>
      <c r="M82" s="65"/>
      <c r="N82" s="65"/>
      <c r="O82" s="65"/>
      <c r="P82" s="65"/>
      <c r="Q82" s="65"/>
      <c r="R82" s="65"/>
      <c r="S82" s="65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80"/>
      <c r="AI82" s="48">
        <f t="shared" si="10"/>
        <v>0</v>
      </c>
      <c r="AJ82" s="49">
        <f t="shared" si="11"/>
        <v>0</v>
      </c>
      <c r="AL82" s="224" t="s">
        <v>268</v>
      </c>
      <c r="AM82" s="76"/>
      <c r="AN82" s="76"/>
      <c r="AO82" s="225"/>
    </row>
    <row r="83" spans="1:41" ht="15.75" hidden="1" thickBot="1" x14ac:dyDescent="0.3">
      <c r="A83" s="78" t="s">
        <v>81</v>
      </c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65"/>
      <c r="M83" s="65"/>
      <c r="N83" s="65"/>
      <c r="O83" s="65"/>
      <c r="P83" s="65"/>
      <c r="Q83" s="65"/>
      <c r="R83" s="65"/>
      <c r="S83" s="65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80"/>
      <c r="AI83" s="48">
        <f t="shared" si="10"/>
        <v>0</v>
      </c>
      <c r="AJ83" s="49">
        <f t="shared" si="11"/>
        <v>0</v>
      </c>
      <c r="AL83" s="226"/>
      <c r="AM83" s="45"/>
      <c r="AN83" s="45"/>
      <c r="AO83" s="227"/>
    </row>
    <row r="84" spans="1:41" ht="15.75" hidden="1" thickBot="1" x14ac:dyDescent="0.3">
      <c r="A84" s="74" t="s">
        <v>82</v>
      </c>
      <c r="B84" s="61">
        <f t="shared" ref="B84:K84" si="12">SUMIF(B73:B83,"&gt;0")</f>
        <v>0</v>
      </c>
      <c r="C84" s="61">
        <f t="shared" si="12"/>
        <v>0</v>
      </c>
      <c r="D84" s="61">
        <f t="shared" si="12"/>
        <v>0</v>
      </c>
      <c r="E84" s="61">
        <f t="shared" si="12"/>
        <v>0</v>
      </c>
      <c r="F84" s="61">
        <f t="shared" si="12"/>
        <v>0</v>
      </c>
      <c r="G84" s="61">
        <f t="shared" si="12"/>
        <v>0</v>
      </c>
      <c r="H84" s="61">
        <f t="shared" si="12"/>
        <v>0</v>
      </c>
      <c r="I84" s="61">
        <f t="shared" si="12"/>
        <v>0</v>
      </c>
      <c r="J84" s="61">
        <f t="shared" si="12"/>
        <v>0</v>
      </c>
      <c r="K84" s="61">
        <f t="shared" si="12"/>
        <v>0</v>
      </c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81">
        <f>SUM(AH73:AH83)</f>
        <v>0</v>
      </c>
      <c r="AI84" s="48">
        <f t="shared" si="10"/>
        <v>0</v>
      </c>
      <c r="AJ84" s="49">
        <f t="shared" si="11"/>
        <v>0</v>
      </c>
      <c r="AL84" s="226"/>
      <c r="AM84" s="77"/>
      <c r="AN84" s="228"/>
      <c r="AO84" s="229"/>
    </row>
    <row r="85" spans="1:41" ht="15.75" hidden="1" thickBot="1" x14ac:dyDescent="0.3">
      <c r="A85" s="44" t="s">
        <v>83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82">
        <v>39</v>
      </c>
      <c r="AI85" s="48">
        <f t="shared" si="10"/>
        <v>0</v>
      </c>
      <c r="AJ85" s="49">
        <f t="shared" si="11"/>
        <v>0</v>
      </c>
      <c r="AL85" s="226"/>
      <c r="AM85" s="77"/>
      <c r="AN85" s="77"/>
      <c r="AO85" s="230"/>
    </row>
    <row r="86" spans="1:41" ht="15.75" hidden="1" thickBot="1" x14ac:dyDescent="0.3">
      <c r="A86" s="54" t="s">
        <v>84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5">
        <v>14.4</v>
      </c>
      <c r="AI86" s="48">
        <f t="shared" si="10"/>
        <v>0</v>
      </c>
      <c r="AJ86" s="49">
        <f t="shared" si="11"/>
        <v>0</v>
      </c>
      <c r="AL86" s="231"/>
      <c r="AM86" s="96"/>
      <c r="AN86" s="96"/>
      <c r="AO86" s="232"/>
    </row>
    <row r="87" spans="1:41" ht="15.75" hidden="1" thickBot="1" x14ac:dyDescent="0.3">
      <c r="A87" s="78" t="s">
        <v>85</v>
      </c>
      <c r="B87" s="79">
        <v>0</v>
      </c>
      <c r="C87" s="79">
        <v>0</v>
      </c>
      <c r="D87" s="79">
        <v>0</v>
      </c>
      <c r="E87" s="79">
        <v>0</v>
      </c>
      <c r="F87" s="79">
        <v>0</v>
      </c>
      <c r="G87" s="79">
        <v>0</v>
      </c>
      <c r="H87" s="79">
        <v>0</v>
      </c>
      <c r="I87" s="79">
        <v>0</v>
      </c>
      <c r="J87" s="79">
        <v>0</v>
      </c>
      <c r="K87" s="79">
        <v>0</v>
      </c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80">
        <v>2</v>
      </c>
      <c r="AI87" s="48">
        <f t="shared" si="10"/>
        <v>0</v>
      </c>
      <c r="AJ87" s="49">
        <f t="shared" si="11"/>
        <v>0</v>
      </c>
    </row>
    <row r="88" spans="1:41" ht="15.75" hidden="1" thickBot="1" x14ac:dyDescent="0.3">
      <c r="A88" s="74" t="s">
        <v>86</v>
      </c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81">
        <f>SUM(AH85:AH87)</f>
        <v>55.4</v>
      </c>
      <c r="AI88" s="48">
        <f t="shared" si="10"/>
        <v>0</v>
      </c>
      <c r="AJ88" s="49">
        <f t="shared" si="11"/>
        <v>0</v>
      </c>
    </row>
    <row r="89" spans="1:41" ht="15.75" hidden="1" thickBot="1" x14ac:dyDescent="0.3">
      <c r="A89" s="74" t="s">
        <v>87</v>
      </c>
      <c r="B89" s="83">
        <f t="shared" ref="B89:AH89" si="13">B50+B54+B72+B68+B84+B88</f>
        <v>1693.8400000000001</v>
      </c>
      <c r="C89" s="83" t="e">
        <f t="shared" si="13"/>
        <v>#REF!</v>
      </c>
      <c r="D89" s="83" t="e">
        <f t="shared" si="13"/>
        <v>#REF!</v>
      </c>
      <c r="E89" s="83" t="e">
        <f t="shared" si="13"/>
        <v>#REF!</v>
      </c>
      <c r="F89" s="83" t="e">
        <f t="shared" si="13"/>
        <v>#REF!</v>
      </c>
      <c r="G89" s="83" t="e">
        <f t="shared" si="13"/>
        <v>#REF!</v>
      </c>
      <c r="H89" s="83" t="e">
        <f t="shared" si="13"/>
        <v>#REF!</v>
      </c>
      <c r="I89" s="83" t="e">
        <f t="shared" si="13"/>
        <v>#REF!</v>
      </c>
      <c r="J89" s="83" t="e">
        <f t="shared" si="13"/>
        <v>#REF!</v>
      </c>
      <c r="K89" s="83" t="e">
        <f t="shared" si="13"/>
        <v>#REF!</v>
      </c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62" t="e">
        <f t="shared" si="13"/>
        <v>#REF!</v>
      </c>
      <c r="AI89" s="48" t="e">
        <f t="shared" si="10"/>
        <v>#REF!</v>
      </c>
      <c r="AJ89" s="49" t="e">
        <f t="shared" si="11"/>
        <v>#REF!</v>
      </c>
    </row>
    <row r="90" spans="1:41" ht="15.75" hidden="1" thickBot="1" x14ac:dyDescent="0.3">
      <c r="A90" s="84" t="s">
        <v>88</v>
      </c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1"/>
      <c r="AI90" s="48">
        <f t="shared" si="10"/>
        <v>0</v>
      </c>
      <c r="AJ90" s="49">
        <f t="shared" si="11"/>
        <v>0</v>
      </c>
    </row>
    <row r="91" spans="1:41" ht="15.75" hidden="1" thickBot="1" x14ac:dyDescent="0.3">
      <c r="A91" s="74" t="s">
        <v>89</v>
      </c>
      <c r="B91" s="83">
        <f t="shared" ref="B91:K91" si="14">B89+B90</f>
        <v>1693.8400000000001</v>
      </c>
      <c r="C91" s="83" t="e">
        <f t="shared" si="14"/>
        <v>#REF!</v>
      </c>
      <c r="D91" s="83" t="e">
        <f t="shared" si="14"/>
        <v>#REF!</v>
      </c>
      <c r="E91" s="83" t="e">
        <f t="shared" si="14"/>
        <v>#REF!</v>
      </c>
      <c r="F91" s="83" t="e">
        <f t="shared" si="14"/>
        <v>#REF!</v>
      </c>
      <c r="G91" s="83" t="e">
        <f t="shared" si="14"/>
        <v>#REF!</v>
      </c>
      <c r="H91" s="83" t="e">
        <f t="shared" si="14"/>
        <v>#REF!</v>
      </c>
      <c r="I91" s="83" t="e">
        <f t="shared" si="14"/>
        <v>#REF!</v>
      </c>
      <c r="J91" s="83" t="e">
        <f t="shared" si="14"/>
        <v>#REF!</v>
      </c>
      <c r="K91" s="83" t="e">
        <f t="shared" si="14"/>
        <v>#REF!</v>
      </c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1" t="e">
        <f>AH88+AH84+AH72+AH68+AH50+AH90</f>
        <v>#REF!</v>
      </c>
      <c r="AI91" s="48" t="e">
        <f t="shared" si="10"/>
        <v>#REF!</v>
      </c>
      <c r="AJ91" s="49" t="e">
        <f t="shared" si="11"/>
        <v>#REF!</v>
      </c>
    </row>
    <row r="92" spans="1:41" ht="15.75" hidden="1" thickBot="1" x14ac:dyDescent="0.3">
      <c r="A92" s="74" t="s">
        <v>90</v>
      </c>
      <c r="B92" s="83">
        <f>B91-(-B99)</f>
        <v>1693.8400000000001</v>
      </c>
      <c r="C92" s="83" t="e">
        <f>C91-(-C99)</f>
        <v>#REF!</v>
      </c>
      <c r="D92" s="83" t="e">
        <f t="shared" ref="D92:K92" si="15">D91-(-D99)</f>
        <v>#REF!</v>
      </c>
      <c r="E92" s="83" t="e">
        <f t="shared" si="15"/>
        <v>#REF!</v>
      </c>
      <c r="F92" s="83" t="e">
        <f t="shared" si="15"/>
        <v>#REF!</v>
      </c>
      <c r="G92" s="83" t="e">
        <f t="shared" si="15"/>
        <v>#REF!</v>
      </c>
      <c r="H92" s="83" t="e">
        <f t="shared" si="15"/>
        <v>#REF!</v>
      </c>
      <c r="I92" s="83" t="e">
        <f t="shared" si="15"/>
        <v>#REF!</v>
      </c>
      <c r="J92" s="83" t="e">
        <f t="shared" si="15"/>
        <v>#REF!</v>
      </c>
      <c r="K92" s="83" t="e">
        <f t="shared" si="15"/>
        <v>#REF!</v>
      </c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1"/>
      <c r="AI92" s="48" t="e">
        <f t="shared" si="10"/>
        <v>#REF!</v>
      </c>
      <c r="AJ92" s="49" t="e">
        <f t="shared" si="11"/>
        <v>#REF!</v>
      </c>
    </row>
    <row r="93" spans="1:41" ht="15.75" hidden="1" thickBot="1" x14ac:dyDescent="0.3">
      <c r="A93" s="44" t="s">
        <v>74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52"/>
      <c r="AI93" s="48">
        <f t="shared" si="10"/>
        <v>0</v>
      </c>
      <c r="AJ93" s="49">
        <f t="shared" si="11"/>
        <v>0</v>
      </c>
    </row>
    <row r="94" spans="1:41" ht="15.75" hidden="1" thickBot="1" x14ac:dyDescent="0.3">
      <c r="A94" s="54" t="s">
        <v>72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55"/>
      <c r="AI94" s="48">
        <f t="shared" si="10"/>
        <v>0</v>
      </c>
      <c r="AJ94" s="49">
        <f t="shared" si="11"/>
        <v>0</v>
      </c>
    </row>
    <row r="95" spans="1:41" ht="15.75" hidden="1" thickBot="1" x14ac:dyDescent="0.3">
      <c r="A95" s="78" t="s">
        <v>91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86"/>
      <c r="AI95" s="48">
        <f t="shared" si="10"/>
        <v>0</v>
      </c>
      <c r="AJ95" s="49">
        <f t="shared" si="11"/>
        <v>0</v>
      </c>
    </row>
    <row r="96" spans="1:41" ht="15.75" hidden="1" thickBot="1" x14ac:dyDescent="0.3">
      <c r="A96" s="78" t="s">
        <v>92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86"/>
      <c r="AI96" s="48">
        <f t="shared" si="10"/>
        <v>0</v>
      </c>
      <c r="AJ96" s="49">
        <f t="shared" si="11"/>
        <v>0</v>
      </c>
    </row>
    <row r="97" spans="1:38" ht="15.75" hidden="1" thickBot="1" x14ac:dyDescent="0.3">
      <c r="A97" s="78" t="s">
        <v>71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86"/>
      <c r="AI97" s="48">
        <f t="shared" si="10"/>
        <v>0</v>
      </c>
      <c r="AJ97" s="49">
        <f t="shared" si="11"/>
        <v>0</v>
      </c>
    </row>
    <row r="98" spans="1:38" ht="15.75" hidden="1" thickBot="1" x14ac:dyDescent="0.3">
      <c r="A98" s="78" t="s">
        <v>93</v>
      </c>
      <c r="B98" s="79">
        <v>0</v>
      </c>
      <c r="C98" s="79">
        <v>0</v>
      </c>
      <c r="D98" s="79">
        <v>0</v>
      </c>
      <c r="E98" s="79">
        <v>0</v>
      </c>
      <c r="F98" s="79">
        <v>0</v>
      </c>
      <c r="G98" s="79">
        <v>0</v>
      </c>
      <c r="H98" s="79">
        <v>0</v>
      </c>
      <c r="I98" s="79">
        <v>0</v>
      </c>
      <c r="J98" s="79">
        <v>0</v>
      </c>
      <c r="K98" s="79">
        <v>0</v>
      </c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80"/>
      <c r="AI98" s="48">
        <f t="shared" si="10"/>
        <v>0</v>
      </c>
      <c r="AJ98" s="49">
        <f t="shared" si="11"/>
        <v>0</v>
      </c>
    </row>
    <row r="99" spans="1:38" ht="15.75" hidden="1" thickBot="1" x14ac:dyDescent="0.3">
      <c r="A99" s="87" t="s">
        <v>94</v>
      </c>
      <c r="B99" s="61">
        <f>B75</f>
        <v>0</v>
      </c>
      <c r="C99" s="61">
        <f>C75</f>
        <v>0</v>
      </c>
      <c r="D99" s="61">
        <f t="shared" ref="D99:K99" si="16">D75</f>
        <v>0</v>
      </c>
      <c r="E99" s="61">
        <f t="shared" si="16"/>
        <v>0</v>
      </c>
      <c r="F99" s="61">
        <f t="shared" si="16"/>
        <v>0</v>
      </c>
      <c r="G99" s="61">
        <f t="shared" si="16"/>
        <v>0</v>
      </c>
      <c r="H99" s="61">
        <f t="shared" si="16"/>
        <v>0</v>
      </c>
      <c r="I99" s="61">
        <f t="shared" si="16"/>
        <v>0</v>
      </c>
      <c r="J99" s="61">
        <f t="shared" si="16"/>
        <v>0</v>
      </c>
      <c r="K99" s="61">
        <f t="shared" si="16"/>
        <v>0</v>
      </c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81"/>
      <c r="AI99" s="48">
        <f t="shared" si="10"/>
        <v>0</v>
      </c>
      <c r="AJ99" s="49">
        <f t="shared" si="11"/>
        <v>0</v>
      </c>
      <c r="AL99" s="50"/>
    </row>
    <row r="100" spans="1:38" ht="15.75" hidden="1" thickBot="1" x14ac:dyDescent="0.3">
      <c r="A100" s="74" t="s">
        <v>95</v>
      </c>
      <c r="B100" s="61">
        <f t="shared" ref="B100:K100" si="17">B84-B99</f>
        <v>0</v>
      </c>
      <c r="C100" s="61">
        <f t="shared" si="17"/>
        <v>0</v>
      </c>
      <c r="D100" s="61">
        <f t="shared" si="17"/>
        <v>0</v>
      </c>
      <c r="E100" s="61">
        <f t="shared" si="17"/>
        <v>0</v>
      </c>
      <c r="F100" s="61">
        <f t="shared" si="17"/>
        <v>0</v>
      </c>
      <c r="G100" s="61">
        <f t="shared" si="17"/>
        <v>0</v>
      </c>
      <c r="H100" s="61">
        <f t="shared" si="17"/>
        <v>0</v>
      </c>
      <c r="I100" s="61">
        <f t="shared" si="17"/>
        <v>0</v>
      </c>
      <c r="J100" s="61">
        <f t="shared" si="17"/>
        <v>0</v>
      </c>
      <c r="K100" s="61">
        <f t="shared" si="17"/>
        <v>0</v>
      </c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81"/>
      <c r="AI100" s="48">
        <f t="shared" si="10"/>
        <v>0</v>
      </c>
      <c r="AJ100" s="49">
        <f t="shared" si="11"/>
        <v>0</v>
      </c>
    </row>
    <row r="101" spans="1:38" ht="15.75" hidden="1" thickBot="1" x14ac:dyDescent="0.3">
      <c r="A101" s="88" t="s">
        <v>96</v>
      </c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90"/>
      <c r="AI101" s="48">
        <f t="shared" si="10"/>
        <v>0</v>
      </c>
      <c r="AJ101" s="49">
        <f t="shared" si="11"/>
        <v>0</v>
      </c>
    </row>
    <row r="102" spans="1:38" ht="15.75" hidden="1" thickBot="1" x14ac:dyDescent="0.3">
      <c r="A102" s="91" t="s">
        <v>97</v>
      </c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92"/>
      <c r="AI102" s="48">
        <f t="shared" si="10"/>
        <v>0</v>
      </c>
      <c r="AJ102" s="49">
        <f t="shared" si="11"/>
        <v>0</v>
      </c>
    </row>
    <row r="103" spans="1:38" ht="15.75" hidden="1" thickBot="1" x14ac:dyDescent="0.3">
      <c r="A103" s="91" t="s">
        <v>98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92"/>
      <c r="AI103" s="48">
        <f t="shared" si="10"/>
        <v>0</v>
      </c>
      <c r="AJ103" s="49">
        <f t="shared" si="11"/>
        <v>0</v>
      </c>
    </row>
    <row r="104" spans="1:38" ht="15.75" hidden="1" thickBot="1" x14ac:dyDescent="0.3">
      <c r="A104" s="91" t="s">
        <v>99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92"/>
      <c r="AI104" s="48">
        <f t="shared" si="10"/>
        <v>0</v>
      </c>
      <c r="AJ104" s="49">
        <f t="shared" si="11"/>
        <v>0</v>
      </c>
    </row>
    <row r="105" spans="1:38" ht="15.75" hidden="1" thickBot="1" x14ac:dyDescent="0.3">
      <c r="A105" s="93" t="s">
        <v>100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92"/>
      <c r="AI105" s="48">
        <f t="shared" si="10"/>
        <v>0</v>
      </c>
      <c r="AJ105" s="49">
        <f t="shared" si="11"/>
        <v>0</v>
      </c>
    </row>
    <row r="106" spans="1:38" ht="15.75" hidden="1" thickBot="1" x14ac:dyDescent="0.3">
      <c r="A106" s="93" t="s">
        <v>101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5"/>
      <c r="AI106" s="48">
        <f t="shared" si="10"/>
        <v>0</v>
      </c>
      <c r="AJ106" s="49">
        <f t="shared" si="11"/>
        <v>0</v>
      </c>
    </row>
    <row r="107" spans="1:38" ht="15.75" hidden="1" thickBot="1" x14ac:dyDescent="0.3">
      <c r="A107" s="91" t="s">
        <v>102</v>
      </c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92"/>
      <c r="AI107" s="48">
        <f t="shared" si="10"/>
        <v>0</v>
      </c>
      <c r="AJ107" s="49">
        <f t="shared" si="11"/>
        <v>0</v>
      </c>
    </row>
    <row r="108" spans="1:38" ht="15.75" hidden="1" thickBot="1" x14ac:dyDescent="0.3">
      <c r="A108" s="91" t="s">
        <v>103</v>
      </c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7"/>
      <c r="AI108" s="48">
        <f t="shared" si="10"/>
        <v>0</v>
      </c>
      <c r="AJ108" s="49">
        <f t="shared" si="11"/>
        <v>0</v>
      </c>
    </row>
    <row r="109" spans="1:38" ht="15.75" hidden="1" thickBot="1" x14ac:dyDescent="0.3">
      <c r="A109" s="98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7"/>
      <c r="AI109" s="48">
        <f t="shared" si="10"/>
        <v>0</v>
      </c>
      <c r="AJ109" s="49">
        <f t="shared" si="11"/>
        <v>0</v>
      </c>
    </row>
    <row r="110" spans="1:38" ht="15.75" hidden="1" thickBot="1" x14ac:dyDescent="0.3">
      <c r="A110" s="99" t="s">
        <v>104</v>
      </c>
      <c r="B110" s="100">
        <f t="shared" ref="B110:K110" si="18">SUM(B20,B26,B29:B30,B58,B60:B61,B63,B65,B111:B115,B138,B144,B150,B159,B161,B173,B180,B183:B184,B191,B193,B195,B199:B201,B203:B205,B210,B216:B217,B219:B221,B229,B234)</f>
        <v>162</v>
      </c>
      <c r="C110" s="100" t="e">
        <f t="shared" si="18"/>
        <v>#REF!</v>
      </c>
      <c r="D110" s="100" t="e">
        <f t="shared" si="18"/>
        <v>#REF!</v>
      </c>
      <c r="E110" s="100" t="e">
        <f t="shared" si="18"/>
        <v>#REF!</v>
      </c>
      <c r="F110" s="100" t="e">
        <f t="shared" si="18"/>
        <v>#REF!</v>
      </c>
      <c r="G110" s="100" t="e">
        <f t="shared" si="18"/>
        <v>#REF!</v>
      </c>
      <c r="H110" s="100" t="e">
        <f t="shared" si="18"/>
        <v>#REF!</v>
      </c>
      <c r="I110" s="100" t="e">
        <f t="shared" si="18"/>
        <v>#REF!</v>
      </c>
      <c r="J110" s="100" t="e">
        <f t="shared" si="18"/>
        <v>#REF!</v>
      </c>
      <c r="K110" s="100" t="e">
        <f t="shared" si="18"/>
        <v>#REF!</v>
      </c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1"/>
      <c r="AI110" s="48" t="e">
        <f t="shared" si="10"/>
        <v>#REF!</v>
      </c>
      <c r="AJ110" s="49" t="e">
        <f t="shared" si="11"/>
        <v>#REF!</v>
      </c>
    </row>
    <row r="111" spans="1:38" ht="15.75" hidden="1" thickBot="1" x14ac:dyDescent="0.3">
      <c r="A111" s="88" t="s">
        <v>105</v>
      </c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  <c r="AH111" s="103">
        <v>75</v>
      </c>
      <c r="AI111" s="48">
        <f t="shared" si="10"/>
        <v>0</v>
      </c>
      <c r="AJ111" s="49">
        <f t="shared" si="11"/>
        <v>0</v>
      </c>
    </row>
    <row r="112" spans="1:38" ht="15.75" hidden="1" thickBot="1" x14ac:dyDescent="0.3">
      <c r="A112" s="91" t="s">
        <v>106</v>
      </c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  <c r="AH112" s="103">
        <v>240</v>
      </c>
      <c r="AI112" s="48">
        <f t="shared" si="10"/>
        <v>0</v>
      </c>
      <c r="AJ112" s="49">
        <f t="shared" si="11"/>
        <v>0</v>
      </c>
    </row>
    <row r="113" spans="1:38" ht="15.75" hidden="1" thickBot="1" x14ac:dyDescent="0.3">
      <c r="A113" s="91" t="s">
        <v>107</v>
      </c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3">
        <v>240</v>
      </c>
      <c r="AI113" s="48">
        <f t="shared" si="10"/>
        <v>0</v>
      </c>
      <c r="AJ113" s="49">
        <f t="shared" si="11"/>
        <v>0</v>
      </c>
    </row>
    <row r="114" spans="1:38" ht="15.75" hidden="1" thickBot="1" x14ac:dyDescent="0.3">
      <c r="A114" s="91" t="s">
        <v>108</v>
      </c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03">
        <v>60</v>
      </c>
      <c r="AI114" s="48">
        <f t="shared" si="10"/>
        <v>0</v>
      </c>
      <c r="AJ114" s="49">
        <f t="shared" si="11"/>
        <v>0</v>
      </c>
    </row>
    <row r="115" spans="1:38" ht="15.75" hidden="1" thickBot="1" x14ac:dyDescent="0.3">
      <c r="A115" s="105" t="s">
        <v>109</v>
      </c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7">
        <v>120</v>
      </c>
      <c r="AI115" s="48">
        <f t="shared" si="10"/>
        <v>0</v>
      </c>
      <c r="AJ115" s="49">
        <f t="shared" si="11"/>
        <v>0</v>
      </c>
    </row>
    <row r="116" spans="1:38" ht="15.75" hidden="1" thickBot="1" x14ac:dyDescent="0.3">
      <c r="A116" s="105" t="s">
        <v>110</v>
      </c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7"/>
      <c r="AI116" s="48">
        <f t="shared" si="10"/>
        <v>0</v>
      </c>
      <c r="AJ116" s="49">
        <f t="shared" si="11"/>
        <v>0</v>
      </c>
    </row>
    <row r="117" spans="1:38" ht="15.75" hidden="1" thickBot="1" x14ac:dyDescent="0.3">
      <c r="A117" s="105" t="s">
        <v>111</v>
      </c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8"/>
      <c r="AI117" s="48">
        <f t="shared" si="10"/>
        <v>0</v>
      </c>
      <c r="AJ117" s="49">
        <f t="shared" si="11"/>
        <v>0</v>
      </c>
    </row>
    <row r="118" spans="1:38" ht="15.75" hidden="1" thickBot="1" x14ac:dyDescent="0.3">
      <c r="A118" s="109" t="s">
        <v>112</v>
      </c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108"/>
      <c r="AI118" s="48">
        <f t="shared" si="10"/>
        <v>0</v>
      </c>
      <c r="AJ118" s="49">
        <f t="shared" si="11"/>
        <v>0</v>
      </c>
    </row>
    <row r="119" spans="1:38" ht="15.75" hidden="1" thickBot="1" x14ac:dyDescent="0.3">
      <c r="A119" s="233" t="s">
        <v>269</v>
      </c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108"/>
      <c r="AI119" s="48">
        <f t="shared" si="10"/>
        <v>0</v>
      </c>
      <c r="AJ119" s="49">
        <f t="shared" si="11"/>
        <v>0</v>
      </c>
    </row>
    <row r="120" spans="1:38" ht="15.75" hidden="1" thickBot="1" x14ac:dyDescent="0.3">
      <c r="A120" s="109" t="s">
        <v>270</v>
      </c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108"/>
      <c r="AI120" s="48">
        <f t="shared" si="10"/>
        <v>0</v>
      </c>
      <c r="AJ120" s="49">
        <f t="shared" si="11"/>
        <v>0</v>
      </c>
    </row>
    <row r="121" spans="1:38" ht="15.75" hidden="1" thickBot="1" x14ac:dyDescent="0.3">
      <c r="A121" s="110" t="s">
        <v>114</v>
      </c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2"/>
      <c r="AI121" s="48"/>
      <c r="AJ121" s="49"/>
      <c r="AL121" s="50"/>
    </row>
    <row r="122" spans="1:38" ht="15.75" hidden="1" thickBot="1" x14ac:dyDescent="0.3">
      <c r="A122" s="113" t="s">
        <v>115</v>
      </c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4"/>
      <c r="AH122" s="116">
        <v>9.94</v>
      </c>
      <c r="AI122" s="48"/>
      <c r="AJ122" s="49"/>
      <c r="AL122" s="50"/>
    </row>
    <row r="123" spans="1:38" ht="15.75" hidden="1" thickBot="1" x14ac:dyDescent="0.3">
      <c r="A123" s="91" t="s">
        <v>116</v>
      </c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4"/>
      <c r="AH123" s="116"/>
      <c r="AI123" s="48"/>
      <c r="AJ123" s="49"/>
      <c r="AL123" s="50"/>
    </row>
    <row r="124" spans="1:38" ht="15.75" hidden="1" thickBot="1" x14ac:dyDescent="0.3">
      <c r="A124" s="91" t="s">
        <v>117</v>
      </c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4"/>
      <c r="AH124" s="116"/>
      <c r="AI124" s="48"/>
      <c r="AJ124" s="49"/>
      <c r="AL124" s="50"/>
    </row>
    <row r="125" spans="1:38" ht="15.75" hidden="1" thickBot="1" x14ac:dyDescent="0.3">
      <c r="A125" s="91" t="s">
        <v>118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4"/>
      <c r="AH125" s="116"/>
      <c r="AI125" s="48"/>
      <c r="AJ125" s="49"/>
      <c r="AL125" s="50"/>
    </row>
    <row r="126" spans="1:38" ht="15.75" hidden="1" thickBot="1" x14ac:dyDescent="0.3">
      <c r="A126" s="91" t="s">
        <v>119</v>
      </c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4"/>
      <c r="AH126" s="116"/>
      <c r="AI126" s="48"/>
      <c r="AJ126" s="49"/>
      <c r="AL126" s="50"/>
    </row>
    <row r="127" spans="1:38" ht="15.75" hidden="1" thickBot="1" x14ac:dyDescent="0.3">
      <c r="A127" s="91" t="s">
        <v>120</v>
      </c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4"/>
      <c r="AH127" s="116"/>
      <c r="AI127" s="48"/>
      <c r="AJ127" s="49"/>
      <c r="AL127" s="50"/>
    </row>
    <row r="128" spans="1:38" ht="15.75" hidden="1" thickBot="1" x14ac:dyDescent="0.3">
      <c r="A128" s="91" t="s">
        <v>121</v>
      </c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4"/>
      <c r="AH128" s="116"/>
      <c r="AI128" s="48"/>
      <c r="AJ128" s="49"/>
      <c r="AL128" s="50"/>
    </row>
    <row r="129" spans="1:38" ht="15.75" hidden="1" thickBot="1" x14ac:dyDescent="0.3">
      <c r="A129" s="91" t="s">
        <v>122</v>
      </c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4"/>
      <c r="AH129" s="116"/>
      <c r="AI129" s="48"/>
      <c r="AJ129" s="49"/>
      <c r="AL129" s="50"/>
    </row>
    <row r="130" spans="1:38" ht="15.75" hidden="1" thickBot="1" x14ac:dyDescent="0.3">
      <c r="A130" s="91" t="s">
        <v>123</v>
      </c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4"/>
      <c r="AH130" s="116"/>
      <c r="AI130" s="48"/>
      <c r="AJ130" s="49"/>
      <c r="AL130" s="50"/>
    </row>
    <row r="131" spans="1:38" ht="15.75" hidden="1" thickBot="1" x14ac:dyDescent="0.3">
      <c r="A131" s="91" t="s">
        <v>124</v>
      </c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  <c r="AD131" s="114"/>
      <c r="AE131" s="114"/>
      <c r="AF131" s="114"/>
      <c r="AG131" s="114"/>
      <c r="AH131" s="116"/>
      <c r="AI131" s="48"/>
      <c r="AJ131" s="49"/>
      <c r="AL131" s="50"/>
    </row>
    <row r="132" spans="1:38" ht="15.75" hidden="1" thickBot="1" x14ac:dyDescent="0.3">
      <c r="A132" s="91" t="s">
        <v>125</v>
      </c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  <c r="AD132" s="114"/>
      <c r="AE132" s="114"/>
      <c r="AF132" s="114"/>
      <c r="AG132" s="114"/>
      <c r="AH132" s="116"/>
      <c r="AI132" s="48"/>
      <c r="AJ132" s="49"/>
      <c r="AL132" s="50"/>
    </row>
    <row r="133" spans="1:38" ht="15.75" hidden="1" thickBot="1" x14ac:dyDescent="0.3">
      <c r="A133" s="91" t="s">
        <v>126</v>
      </c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14"/>
      <c r="AE133" s="114"/>
      <c r="AF133" s="114"/>
      <c r="AG133" s="114"/>
      <c r="AH133" s="116"/>
      <c r="AI133" s="48"/>
      <c r="AJ133" s="49"/>
      <c r="AL133" s="50"/>
    </row>
    <row r="134" spans="1:38" ht="15.75" hidden="1" thickBot="1" x14ac:dyDescent="0.3">
      <c r="A134" s="91" t="s">
        <v>127</v>
      </c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4"/>
      <c r="AD134" s="114"/>
      <c r="AE134" s="114"/>
      <c r="AF134" s="114"/>
      <c r="AG134" s="114"/>
      <c r="AH134" s="116"/>
      <c r="AI134" s="48"/>
      <c r="AJ134" s="49"/>
      <c r="AL134" s="50"/>
    </row>
    <row r="135" spans="1:38" ht="15.75" hidden="1" thickBot="1" x14ac:dyDescent="0.3">
      <c r="A135" s="91" t="s">
        <v>128</v>
      </c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114"/>
      <c r="AB135" s="114"/>
      <c r="AC135" s="114"/>
      <c r="AD135" s="114"/>
      <c r="AE135" s="114"/>
      <c r="AF135" s="114"/>
      <c r="AG135" s="114"/>
      <c r="AH135" s="116"/>
      <c r="AI135" s="48"/>
      <c r="AJ135" s="49"/>
      <c r="AL135" s="50"/>
    </row>
    <row r="136" spans="1:38" ht="15.75" hidden="1" thickBot="1" x14ac:dyDescent="0.3">
      <c r="A136" s="91" t="s">
        <v>129</v>
      </c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4"/>
      <c r="AD136" s="114"/>
      <c r="AE136" s="114"/>
      <c r="AF136" s="114"/>
      <c r="AG136" s="114"/>
      <c r="AH136" s="116"/>
      <c r="AI136" s="48"/>
      <c r="AJ136" s="49"/>
      <c r="AL136" s="50"/>
    </row>
    <row r="137" spans="1:38" ht="15.75" hidden="1" thickBot="1" x14ac:dyDescent="0.3">
      <c r="A137" s="91" t="s">
        <v>130</v>
      </c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  <c r="AD137" s="114"/>
      <c r="AE137" s="114"/>
      <c r="AF137" s="114"/>
      <c r="AG137" s="114"/>
      <c r="AH137" s="116"/>
      <c r="AI137" s="48"/>
      <c r="AJ137" s="49"/>
      <c r="AL137" s="50"/>
    </row>
    <row r="138" spans="1:38" ht="15.75" hidden="1" thickBot="1" x14ac:dyDescent="0.3">
      <c r="A138" s="91" t="s">
        <v>131</v>
      </c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17"/>
      <c r="AH138" s="119">
        <v>9.9</v>
      </c>
      <c r="AI138" s="48"/>
      <c r="AJ138" s="49"/>
      <c r="AL138" s="50"/>
    </row>
    <row r="139" spans="1:38" ht="15.75" hidden="1" thickBot="1" x14ac:dyDescent="0.3">
      <c r="A139" s="105" t="s">
        <v>132</v>
      </c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17"/>
      <c r="AH139" s="120">
        <v>9.6579999999999995</v>
      </c>
      <c r="AI139" s="48"/>
      <c r="AJ139" s="49"/>
      <c r="AL139" s="50"/>
    </row>
    <row r="140" spans="1:38" ht="15.75" hidden="1" thickBot="1" x14ac:dyDescent="0.3">
      <c r="A140" s="105" t="s">
        <v>133</v>
      </c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17"/>
      <c r="AH140" s="120">
        <v>9.6</v>
      </c>
      <c r="AI140" s="48"/>
      <c r="AJ140" s="49"/>
      <c r="AL140" s="50"/>
    </row>
    <row r="141" spans="1:38" ht="15.75" hidden="1" thickBot="1" x14ac:dyDescent="0.3">
      <c r="A141" s="105" t="s">
        <v>134</v>
      </c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17"/>
      <c r="AH141" s="120">
        <v>9.51</v>
      </c>
      <c r="AI141" s="48"/>
      <c r="AJ141" s="49"/>
      <c r="AL141" s="50"/>
    </row>
    <row r="142" spans="1:38" ht="15.75" hidden="1" thickBot="1" x14ac:dyDescent="0.3">
      <c r="A142" s="105" t="s">
        <v>135</v>
      </c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17"/>
      <c r="AH142" s="120">
        <v>9.4</v>
      </c>
      <c r="AI142" s="48"/>
      <c r="AJ142" s="49"/>
      <c r="AL142" s="50"/>
    </row>
    <row r="143" spans="1:38" ht="15.75" hidden="1" thickBot="1" x14ac:dyDescent="0.3">
      <c r="A143" s="105" t="s">
        <v>136</v>
      </c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17"/>
      <c r="AH143" s="120">
        <v>8.8000000000000007</v>
      </c>
      <c r="AI143" s="48"/>
      <c r="AJ143" s="49"/>
      <c r="AL143" s="50"/>
    </row>
    <row r="144" spans="1:38" ht="15.75" hidden="1" thickBot="1" x14ac:dyDescent="0.3">
      <c r="A144" s="105" t="s">
        <v>137</v>
      </c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17"/>
      <c r="AH144" s="120">
        <v>8.5</v>
      </c>
      <c r="AI144" s="48"/>
      <c r="AJ144" s="49"/>
      <c r="AL144" s="50"/>
    </row>
    <row r="145" spans="1:38" ht="15.75" hidden="1" thickBot="1" x14ac:dyDescent="0.3">
      <c r="A145" s="105" t="s">
        <v>138</v>
      </c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17"/>
      <c r="AH145" s="120">
        <v>8.5</v>
      </c>
      <c r="AI145" s="48"/>
      <c r="AJ145" s="49"/>
      <c r="AL145" s="50"/>
    </row>
    <row r="146" spans="1:38" ht="15.75" hidden="1" thickBot="1" x14ac:dyDescent="0.3">
      <c r="A146" s="105" t="s">
        <v>139</v>
      </c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17"/>
      <c r="AH146" s="120">
        <v>8.4</v>
      </c>
      <c r="AI146" s="48"/>
      <c r="AJ146" s="49"/>
      <c r="AL146" s="50"/>
    </row>
    <row r="147" spans="1:38" ht="13.5" hidden="1" customHeight="1" x14ac:dyDescent="0.25">
      <c r="A147" s="105" t="s">
        <v>140</v>
      </c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20">
        <v>8</v>
      </c>
      <c r="AI147" s="48"/>
      <c r="AJ147" s="49"/>
      <c r="AL147" s="50"/>
    </row>
    <row r="148" spans="1:38" ht="15.75" hidden="1" thickBot="1" x14ac:dyDescent="0.3">
      <c r="A148" s="105" t="s">
        <v>141</v>
      </c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17"/>
      <c r="AH148" s="120">
        <v>8</v>
      </c>
      <c r="AI148" s="48"/>
      <c r="AJ148" s="49"/>
      <c r="AL148" s="50"/>
    </row>
    <row r="149" spans="1:38" ht="15.75" hidden="1" thickBot="1" x14ac:dyDescent="0.3">
      <c r="A149" s="105" t="s">
        <v>142</v>
      </c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17"/>
      <c r="AH149" s="120">
        <v>8</v>
      </c>
      <c r="AI149" s="48"/>
      <c r="AJ149" s="49"/>
      <c r="AL149" s="50"/>
    </row>
    <row r="150" spans="1:38" ht="15.75" hidden="1" thickBot="1" x14ac:dyDescent="0.3">
      <c r="A150" s="105" t="s">
        <v>143</v>
      </c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17"/>
      <c r="AH150" s="120">
        <v>7.8</v>
      </c>
      <c r="AI150" s="48"/>
      <c r="AJ150" s="49"/>
      <c r="AL150" s="50"/>
    </row>
    <row r="151" spans="1:38" ht="15.75" hidden="1" thickBot="1" x14ac:dyDescent="0.3">
      <c r="A151" s="105" t="s">
        <v>144</v>
      </c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17"/>
      <c r="AH151" s="120">
        <v>7.6</v>
      </c>
      <c r="AI151" s="48"/>
      <c r="AJ151" s="49"/>
      <c r="AL151" s="50"/>
    </row>
    <row r="152" spans="1:38" ht="15.75" hidden="1" thickBot="1" x14ac:dyDescent="0.3">
      <c r="A152" s="105" t="s">
        <v>145</v>
      </c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17"/>
      <c r="AH152" s="120">
        <v>7.5</v>
      </c>
      <c r="AI152" s="48"/>
      <c r="AJ152" s="49"/>
      <c r="AL152" s="50"/>
    </row>
    <row r="153" spans="1:38" ht="15.75" hidden="1" thickBot="1" x14ac:dyDescent="0.3">
      <c r="A153" s="105" t="s">
        <v>146</v>
      </c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7"/>
      <c r="AH153" s="120">
        <v>7.5</v>
      </c>
      <c r="AI153" s="48"/>
      <c r="AJ153" s="49"/>
      <c r="AL153" s="50"/>
    </row>
    <row r="154" spans="1:38" ht="15.75" hidden="1" thickBot="1" x14ac:dyDescent="0.3">
      <c r="A154" s="105" t="s">
        <v>147</v>
      </c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17"/>
      <c r="AH154" s="120">
        <v>7</v>
      </c>
      <c r="AI154" s="48"/>
      <c r="AJ154" s="49"/>
      <c r="AL154" s="50"/>
    </row>
    <row r="155" spans="1:38" ht="15.75" hidden="1" thickBot="1" x14ac:dyDescent="0.3">
      <c r="A155" s="105" t="s">
        <v>148</v>
      </c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17"/>
      <c r="AH155" s="120">
        <v>7</v>
      </c>
      <c r="AI155" s="48"/>
      <c r="AJ155" s="49"/>
      <c r="AL155" s="50"/>
    </row>
    <row r="156" spans="1:38" ht="15.75" hidden="1" thickBot="1" x14ac:dyDescent="0.3">
      <c r="A156" s="105" t="s">
        <v>149</v>
      </c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7"/>
      <c r="AH156" s="120">
        <v>7</v>
      </c>
      <c r="AI156" s="48"/>
      <c r="AJ156" s="49"/>
      <c r="AL156" s="50"/>
    </row>
    <row r="157" spans="1:38" ht="15.75" hidden="1" thickBot="1" x14ac:dyDescent="0.3">
      <c r="A157" s="105" t="s">
        <v>150</v>
      </c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7"/>
      <c r="AH157" s="120">
        <v>7</v>
      </c>
      <c r="AI157" s="48"/>
      <c r="AJ157" s="49"/>
      <c r="AL157" s="50"/>
    </row>
    <row r="158" spans="1:38" ht="15.75" hidden="1" thickBot="1" x14ac:dyDescent="0.3">
      <c r="A158" s="105" t="s">
        <v>151</v>
      </c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17"/>
      <c r="AH158" s="120">
        <v>6.6</v>
      </c>
      <c r="AI158" s="48"/>
      <c r="AJ158" s="49"/>
      <c r="AL158" s="50"/>
    </row>
    <row r="159" spans="1:38" ht="15.75" hidden="1" thickBot="1" x14ac:dyDescent="0.3">
      <c r="A159" s="105" t="s">
        <v>152</v>
      </c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17"/>
      <c r="AH159" s="120">
        <v>6.6</v>
      </c>
      <c r="AI159" s="48"/>
      <c r="AJ159" s="49"/>
      <c r="AL159" s="50"/>
    </row>
    <row r="160" spans="1:38" ht="15.75" hidden="1" thickBot="1" x14ac:dyDescent="0.3">
      <c r="A160" s="105" t="s">
        <v>153</v>
      </c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17"/>
      <c r="AH160" s="120">
        <v>6.4</v>
      </c>
      <c r="AI160" s="48"/>
      <c r="AJ160" s="49"/>
      <c r="AL160" s="50"/>
    </row>
    <row r="161" spans="1:38" ht="15.75" hidden="1" thickBot="1" x14ac:dyDescent="0.3">
      <c r="A161" s="105" t="s">
        <v>154</v>
      </c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17"/>
      <c r="AH161" s="120">
        <v>6</v>
      </c>
      <c r="AI161" s="48"/>
      <c r="AJ161" s="49"/>
      <c r="AL161" s="50"/>
    </row>
    <row r="162" spans="1:38" ht="15.75" hidden="1" thickBot="1" x14ac:dyDescent="0.3">
      <c r="A162" s="105" t="s">
        <v>155</v>
      </c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17"/>
      <c r="AH162" s="120">
        <v>5.0999999999999996</v>
      </c>
      <c r="AI162" s="48"/>
      <c r="AJ162" s="49"/>
      <c r="AL162" s="50"/>
    </row>
    <row r="163" spans="1:38" ht="15.75" hidden="1" thickBot="1" x14ac:dyDescent="0.3">
      <c r="A163" s="105" t="s">
        <v>156</v>
      </c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17"/>
      <c r="AH163" s="120">
        <v>5</v>
      </c>
      <c r="AI163" s="48"/>
      <c r="AJ163" s="49"/>
      <c r="AL163" s="50"/>
    </row>
    <row r="164" spans="1:38" ht="15.75" hidden="1" thickBot="1" x14ac:dyDescent="0.3">
      <c r="A164" s="91" t="s">
        <v>157</v>
      </c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17"/>
      <c r="AH164" s="119">
        <v>5</v>
      </c>
      <c r="AI164" s="48"/>
      <c r="AJ164" s="49"/>
      <c r="AL164" s="50"/>
    </row>
    <row r="165" spans="1:38" ht="15.75" hidden="1" thickBot="1" x14ac:dyDescent="0.3">
      <c r="A165" s="105" t="s">
        <v>158</v>
      </c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17"/>
      <c r="AH165" s="120">
        <v>5</v>
      </c>
      <c r="AI165" s="48"/>
      <c r="AJ165" s="49"/>
      <c r="AL165" s="50"/>
    </row>
    <row r="166" spans="1:38" ht="15.75" hidden="1" thickBot="1" x14ac:dyDescent="0.3">
      <c r="A166" s="105" t="s">
        <v>159</v>
      </c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17"/>
      <c r="AH166" s="120">
        <v>5</v>
      </c>
      <c r="AI166" s="48"/>
      <c r="AJ166" s="49"/>
      <c r="AL166" s="50"/>
    </row>
    <row r="167" spans="1:38" ht="15.75" hidden="1" thickBot="1" x14ac:dyDescent="0.3">
      <c r="A167" s="105" t="s">
        <v>160</v>
      </c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17"/>
      <c r="AH167" s="120">
        <v>5</v>
      </c>
      <c r="AI167" s="48"/>
      <c r="AJ167" s="49"/>
      <c r="AL167" s="50"/>
    </row>
    <row r="168" spans="1:38" ht="15.75" hidden="1" thickBot="1" x14ac:dyDescent="0.3">
      <c r="A168" s="105" t="s">
        <v>161</v>
      </c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17"/>
      <c r="AH168" s="120">
        <v>5</v>
      </c>
      <c r="AI168" s="48"/>
      <c r="AJ168" s="49"/>
      <c r="AL168" s="50"/>
    </row>
    <row r="169" spans="1:38" ht="15.75" hidden="1" thickBot="1" x14ac:dyDescent="0.3">
      <c r="A169" s="105" t="s">
        <v>162</v>
      </c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17"/>
      <c r="AH169" s="120">
        <v>5</v>
      </c>
      <c r="AI169" s="48"/>
      <c r="AJ169" s="49"/>
      <c r="AL169" s="50"/>
    </row>
    <row r="170" spans="1:38" ht="15.75" hidden="1" thickBot="1" x14ac:dyDescent="0.3">
      <c r="A170" s="105" t="s">
        <v>163</v>
      </c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17"/>
      <c r="AH170" s="120">
        <v>4.9930000000000003</v>
      </c>
      <c r="AI170" s="48"/>
      <c r="AJ170" s="49"/>
      <c r="AL170" s="50"/>
    </row>
    <row r="171" spans="1:38" ht="15.75" hidden="1" thickBot="1" x14ac:dyDescent="0.3">
      <c r="A171" s="105" t="s">
        <v>164</v>
      </c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17"/>
      <c r="AH171" s="120">
        <v>4.9800000000000004</v>
      </c>
      <c r="AI171" s="48"/>
      <c r="AJ171" s="49"/>
      <c r="AL171" s="50"/>
    </row>
    <row r="172" spans="1:38" ht="15.75" hidden="1" thickBot="1" x14ac:dyDescent="0.3">
      <c r="A172" s="105" t="s">
        <v>165</v>
      </c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17"/>
      <c r="AH172" s="120">
        <v>4.95</v>
      </c>
      <c r="AI172" s="48"/>
      <c r="AJ172" s="49"/>
      <c r="AL172" s="50"/>
    </row>
    <row r="173" spans="1:38" ht="15.75" hidden="1" thickBot="1" x14ac:dyDescent="0.3">
      <c r="A173" s="105" t="s">
        <v>166</v>
      </c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17"/>
      <c r="AH173" s="120">
        <v>4.95</v>
      </c>
      <c r="AI173" s="48"/>
      <c r="AJ173" s="49"/>
      <c r="AL173" s="50"/>
    </row>
    <row r="174" spans="1:38" ht="15.75" hidden="1" thickBot="1" x14ac:dyDescent="0.3">
      <c r="A174" s="105" t="s">
        <v>167</v>
      </c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17"/>
      <c r="AH174" s="120">
        <v>4.8</v>
      </c>
      <c r="AI174" s="48"/>
      <c r="AJ174" s="49"/>
      <c r="AL174" s="50"/>
    </row>
    <row r="175" spans="1:38" ht="15.75" hidden="1" thickBot="1" x14ac:dyDescent="0.3">
      <c r="A175" s="105" t="s">
        <v>168</v>
      </c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17"/>
      <c r="AH175" s="120">
        <v>4.8</v>
      </c>
      <c r="AI175" s="48"/>
      <c r="AJ175" s="49"/>
      <c r="AL175" s="50"/>
    </row>
    <row r="176" spans="1:38" ht="15.75" hidden="1" thickBot="1" x14ac:dyDescent="0.3">
      <c r="A176" s="105" t="s">
        <v>169</v>
      </c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17"/>
      <c r="AH176" s="120">
        <v>4.8</v>
      </c>
      <c r="AI176" s="48"/>
      <c r="AJ176" s="49"/>
      <c r="AL176" s="50"/>
    </row>
    <row r="177" spans="1:38" ht="15.75" hidden="1" thickBot="1" x14ac:dyDescent="0.3">
      <c r="A177" s="105" t="s">
        <v>170</v>
      </c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17"/>
      <c r="AH177" s="120">
        <v>4.5</v>
      </c>
      <c r="AI177" s="48"/>
      <c r="AJ177" s="49"/>
      <c r="AL177" s="50"/>
    </row>
    <row r="178" spans="1:38" ht="15.75" hidden="1" thickBot="1" x14ac:dyDescent="0.3">
      <c r="A178" s="105" t="s">
        <v>171</v>
      </c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17"/>
      <c r="AH178" s="120">
        <v>4.5</v>
      </c>
      <c r="AI178" s="48"/>
      <c r="AJ178" s="49"/>
      <c r="AL178" s="50"/>
    </row>
    <row r="179" spans="1:38" ht="15.75" hidden="1" thickBot="1" x14ac:dyDescent="0.3">
      <c r="A179" s="105" t="s">
        <v>172</v>
      </c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17"/>
      <c r="AH179" s="120">
        <v>4.4550000000000001</v>
      </c>
      <c r="AI179" s="48"/>
      <c r="AJ179" s="49"/>
      <c r="AL179" s="50"/>
    </row>
    <row r="180" spans="1:38" ht="15.75" hidden="1" thickBot="1" x14ac:dyDescent="0.3">
      <c r="A180" s="105" t="s">
        <v>173</v>
      </c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17"/>
      <c r="AH180" s="120">
        <v>4.41</v>
      </c>
      <c r="AI180" s="48"/>
      <c r="AJ180" s="49"/>
      <c r="AL180" s="50"/>
    </row>
    <row r="181" spans="1:38" ht="15.75" hidden="1" thickBot="1" x14ac:dyDescent="0.3">
      <c r="A181" s="105" t="s">
        <v>174</v>
      </c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17"/>
      <c r="AH181" s="120">
        <v>4.4000000000000004</v>
      </c>
      <c r="AI181" s="48"/>
      <c r="AJ181" s="49"/>
      <c r="AL181" s="50"/>
    </row>
    <row r="182" spans="1:38" ht="15.75" hidden="1" thickBot="1" x14ac:dyDescent="0.3">
      <c r="A182" s="105" t="s">
        <v>175</v>
      </c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17"/>
      <c r="AH182" s="120">
        <v>4.3600000000000003</v>
      </c>
      <c r="AI182" s="48"/>
      <c r="AJ182" s="49"/>
      <c r="AL182" s="50"/>
    </row>
    <row r="183" spans="1:38" ht="15.75" hidden="1" thickBot="1" x14ac:dyDescent="0.3">
      <c r="A183" s="105" t="s">
        <v>176</v>
      </c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17"/>
      <c r="AH183" s="120">
        <v>4.2</v>
      </c>
      <c r="AI183" s="48"/>
      <c r="AJ183" s="49"/>
      <c r="AL183" s="50"/>
    </row>
    <row r="184" spans="1:38" ht="15.75" hidden="1" thickBot="1" x14ac:dyDescent="0.3">
      <c r="A184" s="105" t="s">
        <v>177</v>
      </c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17"/>
      <c r="AH184" s="120">
        <v>4</v>
      </c>
      <c r="AI184" s="48"/>
      <c r="AJ184" s="49"/>
      <c r="AL184" s="50"/>
    </row>
    <row r="185" spans="1:38" ht="15.75" hidden="1" thickBot="1" x14ac:dyDescent="0.3">
      <c r="A185" s="105" t="s">
        <v>178</v>
      </c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17"/>
      <c r="AH185" s="120">
        <v>4</v>
      </c>
      <c r="AI185" s="48"/>
      <c r="AJ185" s="49"/>
      <c r="AL185" s="50"/>
    </row>
    <row r="186" spans="1:38" ht="15.75" hidden="1" thickBot="1" x14ac:dyDescent="0.3">
      <c r="A186" s="105" t="s">
        <v>179</v>
      </c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17"/>
      <c r="AH186" s="120">
        <v>4</v>
      </c>
      <c r="AI186" s="48"/>
      <c r="AJ186" s="49"/>
      <c r="AL186" s="50"/>
    </row>
    <row r="187" spans="1:38" ht="15.75" hidden="1" thickBot="1" x14ac:dyDescent="0.3">
      <c r="A187" s="105" t="s">
        <v>180</v>
      </c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17"/>
      <c r="AH187" s="120">
        <v>4</v>
      </c>
      <c r="AI187" s="48"/>
      <c r="AJ187" s="49"/>
      <c r="AL187" s="50"/>
    </row>
    <row r="188" spans="1:38" ht="15.75" hidden="1" thickBot="1" x14ac:dyDescent="0.3">
      <c r="A188" s="105" t="s">
        <v>181</v>
      </c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17"/>
      <c r="AH188" s="120">
        <v>4</v>
      </c>
      <c r="AI188" s="48"/>
      <c r="AJ188" s="49"/>
      <c r="AL188" s="50"/>
    </row>
    <row r="189" spans="1:38" ht="15.75" hidden="1" thickBot="1" x14ac:dyDescent="0.3">
      <c r="A189" s="105" t="s">
        <v>182</v>
      </c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17"/>
      <c r="AH189" s="120">
        <v>4</v>
      </c>
      <c r="AI189" s="48"/>
      <c r="AJ189" s="49"/>
      <c r="AL189" s="50"/>
    </row>
    <row r="190" spans="1:38" ht="15.75" hidden="1" thickBot="1" x14ac:dyDescent="0.3">
      <c r="A190" s="105" t="s">
        <v>183</v>
      </c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17"/>
      <c r="AH190" s="120">
        <v>4</v>
      </c>
      <c r="AI190" s="48"/>
      <c r="AJ190" s="49"/>
      <c r="AL190" s="50"/>
    </row>
    <row r="191" spans="1:38" ht="15.75" hidden="1" thickBot="1" x14ac:dyDescent="0.3">
      <c r="A191" s="105" t="s">
        <v>184</v>
      </c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17"/>
      <c r="AH191" s="120">
        <v>4</v>
      </c>
      <c r="AI191" s="48"/>
      <c r="AJ191" s="49"/>
      <c r="AL191" s="50"/>
    </row>
    <row r="192" spans="1:38" ht="15.75" hidden="1" thickBot="1" x14ac:dyDescent="0.3">
      <c r="A192" s="105" t="s">
        <v>185</v>
      </c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17"/>
      <c r="AH192" s="120">
        <v>3.75</v>
      </c>
      <c r="AI192" s="48"/>
      <c r="AJ192" s="49"/>
      <c r="AL192" s="50"/>
    </row>
    <row r="193" spans="1:38" ht="15.75" hidden="1" thickBot="1" x14ac:dyDescent="0.3">
      <c r="A193" s="105" t="s">
        <v>186</v>
      </c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17"/>
      <c r="AH193" s="120">
        <v>3.52</v>
      </c>
      <c r="AI193" s="48"/>
      <c r="AJ193" s="49"/>
      <c r="AL193" s="50"/>
    </row>
    <row r="194" spans="1:38" ht="15.75" hidden="1" thickBot="1" x14ac:dyDescent="0.3">
      <c r="A194" s="105" t="s">
        <v>187</v>
      </c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17"/>
      <c r="AH194" s="120">
        <v>3.33</v>
      </c>
      <c r="AI194" s="48"/>
      <c r="AJ194" s="49"/>
      <c r="AL194" s="50"/>
    </row>
    <row r="195" spans="1:38" ht="15.75" hidden="1" thickBot="1" x14ac:dyDescent="0.3">
      <c r="A195" s="105" t="s">
        <v>188</v>
      </c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17"/>
      <c r="AH195" s="120">
        <v>3.2</v>
      </c>
      <c r="AI195" s="48"/>
      <c r="AJ195" s="49"/>
      <c r="AL195" s="50"/>
    </row>
    <row r="196" spans="1:38" ht="15.75" hidden="1" thickBot="1" x14ac:dyDescent="0.3">
      <c r="A196" s="105" t="s">
        <v>189</v>
      </c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17"/>
      <c r="AH196" s="120">
        <v>3</v>
      </c>
      <c r="AI196" s="48"/>
      <c r="AJ196" s="49"/>
      <c r="AL196" s="50"/>
    </row>
    <row r="197" spans="1:38" ht="15.75" hidden="1" thickBot="1" x14ac:dyDescent="0.3">
      <c r="A197" s="105" t="s">
        <v>190</v>
      </c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17"/>
      <c r="AH197" s="120">
        <v>3</v>
      </c>
      <c r="AI197" s="48"/>
      <c r="AJ197" s="49"/>
      <c r="AL197" s="50"/>
    </row>
    <row r="198" spans="1:38" ht="15.75" hidden="1" thickBot="1" x14ac:dyDescent="0.3">
      <c r="A198" s="105" t="s">
        <v>191</v>
      </c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17"/>
      <c r="AH198" s="120">
        <v>3</v>
      </c>
      <c r="AI198" s="48"/>
      <c r="AJ198" s="49"/>
      <c r="AL198" s="50"/>
    </row>
    <row r="199" spans="1:38" ht="15.75" hidden="1" thickBot="1" x14ac:dyDescent="0.3">
      <c r="A199" s="105" t="s">
        <v>192</v>
      </c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17"/>
      <c r="AH199" s="120">
        <v>3</v>
      </c>
      <c r="AI199" s="48"/>
      <c r="AJ199" s="49"/>
      <c r="AL199" s="50"/>
    </row>
    <row r="200" spans="1:38" ht="15.75" hidden="1" thickBot="1" x14ac:dyDescent="0.3">
      <c r="A200" s="105" t="s">
        <v>193</v>
      </c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17"/>
      <c r="AH200" s="120">
        <v>3</v>
      </c>
      <c r="AI200" s="48"/>
      <c r="AJ200" s="49"/>
      <c r="AL200" s="50"/>
    </row>
    <row r="201" spans="1:38" ht="15.75" hidden="1" thickBot="1" x14ac:dyDescent="0.3">
      <c r="A201" s="105" t="s">
        <v>194</v>
      </c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17"/>
      <c r="AH201" s="120">
        <v>3</v>
      </c>
      <c r="AI201" s="48"/>
      <c r="AJ201" s="49"/>
      <c r="AL201" s="50"/>
    </row>
    <row r="202" spans="1:38" ht="15.75" hidden="1" thickBot="1" x14ac:dyDescent="0.3">
      <c r="A202" s="105" t="s">
        <v>195</v>
      </c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17"/>
      <c r="AH202" s="120">
        <v>3</v>
      </c>
      <c r="AI202" s="48"/>
      <c r="AJ202" s="49"/>
      <c r="AL202" s="50"/>
    </row>
    <row r="203" spans="1:38" ht="15.75" hidden="1" thickBot="1" x14ac:dyDescent="0.3">
      <c r="A203" s="105" t="s">
        <v>196</v>
      </c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17"/>
      <c r="AH203" s="120">
        <v>3</v>
      </c>
      <c r="AI203" s="48"/>
      <c r="AJ203" s="49"/>
      <c r="AL203" s="50"/>
    </row>
    <row r="204" spans="1:38" ht="15.75" hidden="1" thickBot="1" x14ac:dyDescent="0.3">
      <c r="A204" s="105" t="s">
        <v>197</v>
      </c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17"/>
      <c r="AH204" s="120">
        <v>2.83</v>
      </c>
      <c r="AI204" s="48"/>
      <c r="AJ204" s="49"/>
      <c r="AL204" s="50"/>
    </row>
    <row r="205" spans="1:38" ht="15.75" hidden="1" thickBot="1" x14ac:dyDescent="0.3">
      <c r="A205" s="105" t="s">
        <v>198</v>
      </c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17"/>
      <c r="AH205" s="120">
        <v>2.5</v>
      </c>
      <c r="AI205" s="48"/>
      <c r="AJ205" s="49"/>
      <c r="AL205" s="50"/>
    </row>
    <row r="206" spans="1:38" ht="15.75" hidden="1" thickBot="1" x14ac:dyDescent="0.3">
      <c r="A206" s="105" t="s">
        <v>199</v>
      </c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17"/>
      <c r="AH206" s="120">
        <v>2.5</v>
      </c>
      <c r="AI206" s="48"/>
      <c r="AJ206" s="49"/>
      <c r="AL206" s="50"/>
    </row>
    <row r="207" spans="1:38" ht="15.75" hidden="1" thickBot="1" x14ac:dyDescent="0.3">
      <c r="A207" s="105" t="s">
        <v>200</v>
      </c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17"/>
      <c r="AH207" s="120">
        <v>2.4</v>
      </c>
      <c r="AI207" s="48"/>
      <c r="AJ207" s="49"/>
      <c r="AL207" s="50"/>
    </row>
    <row r="208" spans="1:38" ht="15.75" hidden="1" thickBot="1" x14ac:dyDescent="0.3">
      <c r="A208" s="105" t="s">
        <v>201</v>
      </c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17"/>
      <c r="AH208" s="120">
        <v>2.4</v>
      </c>
      <c r="AI208" s="48"/>
      <c r="AJ208" s="49"/>
      <c r="AL208" s="50"/>
    </row>
    <row r="209" spans="1:38" ht="15.75" hidden="1" thickBot="1" x14ac:dyDescent="0.3">
      <c r="A209" s="105" t="s">
        <v>202</v>
      </c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17"/>
      <c r="AH209" s="120">
        <v>2.2000000000000002</v>
      </c>
      <c r="AI209" s="48"/>
      <c r="AJ209" s="49"/>
      <c r="AL209" s="50"/>
    </row>
    <row r="210" spans="1:38" ht="15.75" hidden="1" thickBot="1" x14ac:dyDescent="0.3">
      <c r="A210" s="105" t="s">
        <v>203</v>
      </c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17"/>
      <c r="AH210" s="120">
        <v>2</v>
      </c>
      <c r="AI210" s="48"/>
      <c r="AJ210" s="49"/>
      <c r="AL210" s="50"/>
    </row>
    <row r="211" spans="1:38" ht="15.75" hidden="1" thickBot="1" x14ac:dyDescent="0.3">
      <c r="A211" s="105" t="s">
        <v>204</v>
      </c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17"/>
      <c r="AH211" s="120">
        <v>2</v>
      </c>
      <c r="AI211" s="48"/>
      <c r="AJ211" s="49"/>
      <c r="AL211" s="50"/>
    </row>
    <row r="212" spans="1:38" ht="15.75" hidden="1" thickBot="1" x14ac:dyDescent="0.3">
      <c r="A212" s="105" t="s">
        <v>205</v>
      </c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17"/>
      <c r="AH212" s="120">
        <v>2</v>
      </c>
      <c r="AI212" s="48"/>
      <c r="AJ212" s="49"/>
      <c r="AL212" s="50"/>
    </row>
    <row r="213" spans="1:38" ht="15.75" hidden="1" thickBot="1" x14ac:dyDescent="0.3">
      <c r="A213" s="105" t="s">
        <v>206</v>
      </c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17"/>
      <c r="AH213" s="120">
        <v>1.8</v>
      </c>
      <c r="AI213" s="48"/>
      <c r="AJ213" s="49"/>
      <c r="AL213" s="50"/>
    </row>
    <row r="214" spans="1:38" ht="15.75" hidden="1" thickBot="1" x14ac:dyDescent="0.3">
      <c r="A214" s="105" t="s">
        <v>207</v>
      </c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17"/>
      <c r="AH214" s="120">
        <v>1.8</v>
      </c>
      <c r="AI214" s="48"/>
      <c r="AJ214" s="49"/>
      <c r="AL214" s="50"/>
    </row>
    <row r="215" spans="1:38" ht="15.75" hidden="1" thickBot="1" x14ac:dyDescent="0.3">
      <c r="A215" s="105" t="s">
        <v>208</v>
      </c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17"/>
      <c r="AH215" s="120">
        <v>1.65</v>
      </c>
      <c r="AI215" s="48"/>
      <c r="AJ215" s="49"/>
      <c r="AL215" s="50"/>
    </row>
    <row r="216" spans="1:38" ht="15.75" hidden="1" thickBot="1" x14ac:dyDescent="0.3">
      <c r="A216" s="105" t="s">
        <v>209</v>
      </c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17"/>
      <c r="AH216" s="120">
        <v>1.5</v>
      </c>
      <c r="AI216" s="48"/>
      <c r="AJ216" s="49"/>
      <c r="AL216" s="50"/>
    </row>
    <row r="217" spans="1:38" ht="15.75" hidden="1" thickBot="1" x14ac:dyDescent="0.3">
      <c r="A217" s="105" t="s">
        <v>210</v>
      </c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17"/>
      <c r="AH217" s="120">
        <v>0.998</v>
      </c>
      <c r="AI217" s="48"/>
      <c r="AJ217" s="49"/>
      <c r="AL217" s="50"/>
    </row>
    <row r="218" spans="1:38" ht="15.75" hidden="1" thickBot="1" x14ac:dyDescent="0.3">
      <c r="A218" s="105" t="s">
        <v>211</v>
      </c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17"/>
      <c r="AH218" s="120">
        <v>0.997</v>
      </c>
      <c r="AI218" s="48"/>
      <c r="AJ218" s="49"/>
      <c r="AL218" s="50"/>
    </row>
    <row r="219" spans="1:38" ht="15.75" hidden="1" thickBot="1" x14ac:dyDescent="0.3">
      <c r="A219" s="105" t="s">
        <v>212</v>
      </c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17"/>
      <c r="AH219" s="120">
        <v>0.997</v>
      </c>
      <c r="AI219" s="48"/>
      <c r="AJ219" s="49"/>
      <c r="AL219" s="50"/>
    </row>
    <row r="220" spans="1:38" ht="15.75" hidden="1" thickBot="1" x14ac:dyDescent="0.3">
      <c r="A220" s="105" t="s">
        <v>213</v>
      </c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17"/>
      <c r="AH220" s="120">
        <v>0.996</v>
      </c>
      <c r="AI220" s="48"/>
      <c r="AJ220" s="49"/>
      <c r="AL220" s="50"/>
    </row>
    <row r="221" spans="1:38" ht="15.75" hidden="1" thickBot="1" x14ac:dyDescent="0.3">
      <c r="A221" s="105" t="s">
        <v>214</v>
      </c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17"/>
      <c r="AH221" s="120">
        <v>0.996</v>
      </c>
      <c r="AI221" s="48"/>
      <c r="AJ221" s="49"/>
      <c r="AL221" s="50"/>
    </row>
    <row r="222" spans="1:38" ht="15.75" hidden="1" thickBot="1" x14ac:dyDescent="0.3">
      <c r="A222" s="105" t="s">
        <v>215</v>
      </c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17"/>
      <c r="AH222" s="120">
        <v>0.996</v>
      </c>
      <c r="AI222" s="48"/>
      <c r="AJ222" s="49"/>
      <c r="AL222" s="50"/>
    </row>
    <row r="223" spans="1:38" ht="15.75" hidden="1" thickBot="1" x14ac:dyDescent="0.3">
      <c r="A223" s="105" t="s">
        <v>216</v>
      </c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17"/>
      <c r="AH223" s="120">
        <v>0.995</v>
      </c>
      <c r="AI223" s="48"/>
      <c r="AJ223" s="49"/>
      <c r="AL223" s="50"/>
    </row>
    <row r="224" spans="1:38" ht="15.75" hidden="1" thickBot="1" x14ac:dyDescent="0.3">
      <c r="A224" s="105" t="s">
        <v>217</v>
      </c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17"/>
      <c r="AH224" s="120">
        <v>0.99299999999999999</v>
      </c>
      <c r="AI224" s="48"/>
      <c r="AJ224" s="49"/>
      <c r="AL224" s="50"/>
    </row>
    <row r="225" spans="1:38" ht="15.75" hidden="1" thickBot="1" x14ac:dyDescent="0.3">
      <c r="A225" s="105" t="s">
        <v>218</v>
      </c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17"/>
      <c r="AH225" s="120">
        <v>0.99</v>
      </c>
      <c r="AI225" s="48"/>
      <c r="AJ225" s="49"/>
      <c r="AL225" s="50"/>
    </row>
    <row r="226" spans="1:38" ht="15.75" hidden="1" thickBot="1" x14ac:dyDescent="0.3">
      <c r="A226" s="105" t="s">
        <v>219</v>
      </c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1"/>
      <c r="AH226" s="120">
        <v>0.97899999999999998</v>
      </c>
      <c r="AI226" s="48"/>
      <c r="AJ226" s="49"/>
      <c r="AL226" s="50"/>
    </row>
    <row r="227" spans="1:38" ht="15.75" hidden="1" thickBot="1" x14ac:dyDescent="0.3">
      <c r="A227" s="123" t="s">
        <v>220</v>
      </c>
      <c r="B227" s="124">
        <f t="shared" ref="B227" si="19">SUM(B122:B226)</f>
        <v>0</v>
      </c>
      <c r="C227" s="124">
        <f t="shared" ref="C227:AH227" si="20">SUM(C122:C226)</f>
        <v>0</v>
      </c>
      <c r="D227" s="124">
        <f t="shared" si="20"/>
        <v>0</v>
      </c>
      <c r="E227" s="124">
        <f t="shared" si="20"/>
        <v>0</v>
      </c>
      <c r="F227" s="124">
        <f t="shared" si="20"/>
        <v>0</v>
      </c>
      <c r="G227" s="124">
        <f t="shared" si="20"/>
        <v>0</v>
      </c>
      <c r="H227" s="124">
        <f t="shared" si="20"/>
        <v>0</v>
      </c>
      <c r="I227" s="124">
        <f t="shared" si="20"/>
        <v>0</v>
      </c>
      <c r="J227" s="124">
        <f t="shared" si="20"/>
        <v>0</v>
      </c>
      <c r="K227" s="124">
        <f t="shared" si="20"/>
        <v>0</v>
      </c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  <c r="AB227" s="125"/>
      <c r="AC227" s="125"/>
      <c r="AD227" s="125"/>
      <c r="AE227" s="125"/>
      <c r="AF227" s="125"/>
      <c r="AG227" s="126"/>
      <c r="AH227" s="127">
        <f t="shared" si="20"/>
        <v>412.72299999999984</v>
      </c>
      <c r="AI227" s="48"/>
      <c r="AJ227" s="49"/>
      <c r="AL227" s="50"/>
    </row>
    <row r="228" spans="1:38" ht="15.75" hidden="1" thickBot="1" x14ac:dyDescent="0.3">
      <c r="A228" s="26" t="s">
        <v>65</v>
      </c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08"/>
      <c r="AI228" s="48"/>
      <c r="AJ228" s="49"/>
      <c r="AL228" s="50"/>
    </row>
    <row r="229" spans="1:38" ht="15.75" hidden="1" thickBot="1" x14ac:dyDescent="0.3">
      <c r="A229" s="88" t="s">
        <v>221</v>
      </c>
      <c r="B229" s="129">
        <f t="shared" ref="B229:K234" si="21">AF229</f>
        <v>0</v>
      </c>
      <c r="C229" s="129">
        <f t="shared" si="21"/>
        <v>0</v>
      </c>
      <c r="D229" s="129">
        <f t="shared" si="21"/>
        <v>2.4</v>
      </c>
      <c r="E229" s="129">
        <f t="shared" si="21"/>
        <v>0</v>
      </c>
      <c r="F229" s="129">
        <f t="shared" si="21"/>
        <v>0</v>
      </c>
      <c r="G229" s="129">
        <f t="shared" si="21"/>
        <v>0</v>
      </c>
      <c r="H229" s="129">
        <f t="shared" si="21"/>
        <v>0</v>
      </c>
      <c r="I229" s="129">
        <f t="shared" si="21"/>
        <v>0</v>
      </c>
      <c r="J229" s="129">
        <f t="shared" si="21"/>
        <v>0</v>
      </c>
      <c r="K229" s="129">
        <f t="shared" si="21"/>
        <v>0</v>
      </c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29"/>
      <c r="AH229" s="130">
        <v>2.4</v>
      </c>
      <c r="AI229" s="48"/>
      <c r="AJ229" s="49"/>
      <c r="AL229" s="50"/>
    </row>
    <row r="230" spans="1:38" ht="15.75" hidden="1" thickBot="1" x14ac:dyDescent="0.3">
      <c r="A230" s="91" t="s">
        <v>222</v>
      </c>
      <c r="B230" s="117">
        <f t="shared" si="21"/>
        <v>0</v>
      </c>
      <c r="C230" s="117">
        <f t="shared" si="21"/>
        <v>0</v>
      </c>
      <c r="D230" s="117">
        <f t="shared" si="21"/>
        <v>2</v>
      </c>
      <c r="E230" s="117">
        <f t="shared" si="21"/>
        <v>0</v>
      </c>
      <c r="F230" s="117">
        <f t="shared" si="21"/>
        <v>0</v>
      </c>
      <c r="G230" s="117">
        <f t="shared" si="21"/>
        <v>0</v>
      </c>
      <c r="H230" s="117">
        <f t="shared" si="21"/>
        <v>0</v>
      </c>
      <c r="I230" s="117">
        <f t="shared" si="21"/>
        <v>0</v>
      </c>
      <c r="J230" s="117">
        <f t="shared" si="21"/>
        <v>0</v>
      </c>
      <c r="K230" s="117">
        <f t="shared" si="21"/>
        <v>0</v>
      </c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117"/>
      <c r="AB230" s="117"/>
      <c r="AC230" s="117"/>
      <c r="AD230" s="117"/>
      <c r="AE230" s="117"/>
      <c r="AF230" s="117"/>
      <c r="AG230" s="117"/>
      <c r="AH230" s="131">
        <v>2</v>
      </c>
      <c r="AI230" s="48"/>
      <c r="AJ230" s="49"/>
      <c r="AL230" s="50"/>
    </row>
    <row r="231" spans="1:38" ht="15.75" hidden="1" thickBot="1" x14ac:dyDescent="0.3">
      <c r="A231" s="91" t="s">
        <v>223</v>
      </c>
      <c r="B231" s="117">
        <f t="shared" si="21"/>
        <v>0</v>
      </c>
      <c r="C231" s="117">
        <f t="shared" si="21"/>
        <v>0</v>
      </c>
      <c r="D231" s="117">
        <f t="shared" si="21"/>
        <v>1.5</v>
      </c>
      <c r="E231" s="117">
        <f t="shared" si="21"/>
        <v>0</v>
      </c>
      <c r="F231" s="117">
        <f t="shared" si="21"/>
        <v>0</v>
      </c>
      <c r="G231" s="117">
        <f t="shared" si="21"/>
        <v>0</v>
      </c>
      <c r="H231" s="117">
        <f t="shared" si="21"/>
        <v>0</v>
      </c>
      <c r="I231" s="117">
        <f t="shared" si="21"/>
        <v>0</v>
      </c>
      <c r="J231" s="117">
        <f t="shared" si="21"/>
        <v>0</v>
      </c>
      <c r="K231" s="117">
        <f t="shared" si="21"/>
        <v>0</v>
      </c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  <c r="AB231" s="117"/>
      <c r="AC231" s="117"/>
      <c r="AD231" s="117"/>
      <c r="AE231" s="117"/>
      <c r="AF231" s="117"/>
      <c r="AG231" s="117"/>
      <c r="AH231" s="131">
        <v>1.5</v>
      </c>
      <c r="AI231" s="48"/>
      <c r="AJ231" s="49"/>
      <c r="AL231" s="50"/>
    </row>
    <row r="232" spans="1:38" ht="15.75" hidden="1" thickBot="1" x14ac:dyDescent="0.3">
      <c r="A232" s="91" t="s">
        <v>224</v>
      </c>
      <c r="B232" s="117">
        <f t="shared" si="21"/>
        <v>0</v>
      </c>
      <c r="C232" s="117">
        <f t="shared" si="21"/>
        <v>0</v>
      </c>
      <c r="D232" s="117">
        <f t="shared" si="21"/>
        <v>1</v>
      </c>
      <c r="E232" s="117">
        <f t="shared" si="21"/>
        <v>0</v>
      </c>
      <c r="F232" s="117">
        <f t="shared" si="21"/>
        <v>0</v>
      </c>
      <c r="G232" s="117">
        <f t="shared" si="21"/>
        <v>0</v>
      </c>
      <c r="H232" s="117">
        <f t="shared" si="21"/>
        <v>0</v>
      </c>
      <c r="I232" s="117">
        <f t="shared" si="21"/>
        <v>0</v>
      </c>
      <c r="J232" s="117">
        <f t="shared" si="21"/>
        <v>0</v>
      </c>
      <c r="K232" s="117">
        <f t="shared" si="21"/>
        <v>0</v>
      </c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  <c r="AB232" s="117"/>
      <c r="AC232" s="117"/>
      <c r="AD232" s="117"/>
      <c r="AE232" s="117"/>
      <c r="AF232" s="117"/>
      <c r="AG232" s="117"/>
      <c r="AH232" s="131">
        <v>1</v>
      </c>
      <c r="AI232" s="48"/>
      <c r="AJ232" s="49"/>
      <c r="AL232" s="50"/>
    </row>
    <row r="233" spans="1:38" ht="15.75" hidden="1" thickBot="1" x14ac:dyDescent="0.3">
      <c r="A233" s="91" t="s">
        <v>225</v>
      </c>
      <c r="B233" s="117">
        <f t="shared" si="21"/>
        <v>0</v>
      </c>
      <c r="C233" s="117">
        <f t="shared" si="21"/>
        <v>0</v>
      </c>
      <c r="D233" s="117">
        <f t="shared" si="21"/>
        <v>1</v>
      </c>
      <c r="E233" s="117">
        <f t="shared" si="21"/>
        <v>0</v>
      </c>
      <c r="F233" s="117">
        <f t="shared" si="21"/>
        <v>0</v>
      </c>
      <c r="G233" s="117">
        <f t="shared" si="21"/>
        <v>0</v>
      </c>
      <c r="H233" s="117">
        <f t="shared" si="21"/>
        <v>0</v>
      </c>
      <c r="I233" s="117">
        <f t="shared" si="21"/>
        <v>0</v>
      </c>
      <c r="J233" s="117">
        <f t="shared" si="21"/>
        <v>0</v>
      </c>
      <c r="K233" s="117">
        <f t="shared" si="21"/>
        <v>0</v>
      </c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  <c r="AB233" s="117"/>
      <c r="AC233" s="117"/>
      <c r="AD233" s="117"/>
      <c r="AE233" s="117"/>
      <c r="AF233" s="117"/>
      <c r="AG233" s="117"/>
      <c r="AH233" s="131">
        <v>1</v>
      </c>
      <c r="AI233" s="48"/>
      <c r="AJ233" s="49"/>
      <c r="AL233" s="50"/>
    </row>
    <row r="234" spans="1:38" ht="15.75" hidden="1" thickBot="1" x14ac:dyDescent="0.3">
      <c r="A234" s="105" t="s">
        <v>226</v>
      </c>
      <c r="B234" s="121">
        <f t="shared" si="21"/>
        <v>0</v>
      </c>
      <c r="C234" s="121">
        <f t="shared" si="21"/>
        <v>0</v>
      </c>
      <c r="D234" s="121">
        <f t="shared" si="21"/>
        <v>0.66</v>
      </c>
      <c r="E234" s="121">
        <f t="shared" si="21"/>
        <v>0</v>
      </c>
      <c r="F234" s="121">
        <f t="shared" si="21"/>
        <v>0</v>
      </c>
      <c r="G234" s="121">
        <f t="shared" si="21"/>
        <v>0</v>
      </c>
      <c r="H234" s="121">
        <f t="shared" si="21"/>
        <v>0</v>
      </c>
      <c r="I234" s="121">
        <f t="shared" si="21"/>
        <v>0</v>
      </c>
      <c r="J234" s="121">
        <f t="shared" si="21"/>
        <v>0</v>
      </c>
      <c r="K234" s="121">
        <f t="shared" si="21"/>
        <v>0</v>
      </c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32">
        <v>0.66</v>
      </c>
      <c r="AI234" s="48"/>
      <c r="AJ234" s="49"/>
    </row>
    <row r="235" spans="1:38" ht="15.75" hidden="1" thickBot="1" x14ac:dyDescent="0.3">
      <c r="A235" s="133" t="s">
        <v>65</v>
      </c>
      <c r="B235" s="125">
        <f t="shared" ref="B235:AH235" si="22">SUM(B229:B234)</f>
        <v>0</v>
      </c>
      <c r="C235" s="125">
        <f t="shared" si="22"/>
        <v>0</v>
      </c>
      <c r="D235" s="125">
        <f t="shared" si="22"/>
        <v>8.56</v>
      </c>
      <c r="E235" s="125">
        <f t="shared" si="22"/>
        <v>0</v>
      </c>
      <c r="F235" s="125">
        <f t="shared" si="22"/>
        <v>0</v>
      </c>
      <c r="G235" s="125">
        <f t="shared" si="22"/>
        <v>0</v>
      </c>
      <c r="H235" s="125">
        <f t="shared" si="22"/>
        <v>0</v>
      </c>
      <c r="I235" s="125">
        <f t="shared" si="22"/>
        <v>0</v>
      </c>
      <c r="J235" s="125">
        <f t="shared" si="22"/>
        <v>0</v>
      </c>
      <c r="K235" s="125">
        <f t="shared" si="22"/>
        <v>0</v>
      </c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5"/>
      <c r="AD235" s="125"/>
      <c r="AE235" s="125"/>
      <c r="AF235" s="125"/>
      <c r="AG235" s="125"/>
      <c r="AH235" s="134">
        <f t="shared" si="22"/>
        <v>8.56</v>
      </c>
      <c r="AI235" s="48"/>
      <c r="AJ235" s="49"/>
    </row>
    <row r="236" spans="1:38" ht="15.75" hidden="1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128"/>
      <c r="AI236" s="43"/>
    </row>
    <row r="237" spans="1:38" ht="15.75" hidden="1" thickBot="1" x14ac:dyDescent="0.3">
      <c r="A237" s="135" t="s">
        <v>227</v>
      </c>
      <c r="B237" s="136"/>
      <c r="C237" s="136"/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  <c r="AA237" s="136"/>
      <c r="AB237" s="136"/>
      <c r="AC237" s="136"/>
      <c r="AD237" s="136"/>
      <c r="AE237" s="136"/>
      <c r="AF237" s="136"/>
      <c r="AG237" s="137"/>
      <c r="AH237" s="43"/>
      <c r="AI237" s="48"/>
      <c r="AJ237" s="49"/>
    </row>
    <row r="238" spans="1:38" ht="15.75" hidden="1" thickBot="1" x14ac:dyDescent="0.3">
      <c r="A238" s="138" t="s">
        <v>228</v>
      </c>
      <c r="B238" s="139"/>
      <c r="C238" s="139"/>
      <c r="D238" s="139"/>
      <c r="E238" s="139"/>
      <c r="F238" s="139"/>
      <c r="G238" s="139"/>
      <c r="H238" s="139"/>
      <c r="I238" s="139"/>
      <c r="J238" s="139"/>
      <c r="K238" s="139"/>
      <c r="L238" s="139"/>
      <c r="M238" s="139"/>
      <c r="N238" s="139"/>
      <c r="O238" s="139"/>
      <c r="P238" s="139"/>
      <c r="Q238" s="139"/>
      <c r="R238" s="139"/>
      <c r="S238" s="139"/>
      <c r="T238" s="139"/>
      <c r="U238" s="139"/>
      <c r="V238" s="139"/>
      <c r="W238" s="139"/>
      <c r="X238" s="139"/>
      <c r="Y238" s="139"/>
      <c r="Z238" s="139"/>
      <c r="AA238" s="139"/>
      <c r="AB238" s="139"/>
      <c r="AC238" s="139"/>
      <c r="AD238" s="139"/>
      <c r="AE238" s="139"/>
      <c r="AF238" s="139"/>
      <c r="AG238" s="140"/>
      <c r="AH238" s="141"/>
      <c r="AI238" s="48"/>
      <c r="AJ238" s="49"/>
    </row>
    <row r="239" spans="1:38" ht="15.75" hidden="1" thickBot="1" x14ac:dyDescent="0.3">
      <c r="A239" s="142" t="s">
        <v>229</v>
      </c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  <c r="AE239" s="143"/>
      <c r="AF239" s="143"/>
      <c r="AG239" s="144"/>
      <c r="AH239" s="141"/>
      <c r="AI239" s="48"/>
      <c r="AJ239" s="49"/>
    </row>
    <row r="240" spans="1:38" ht="15.75" hidden="1" thickBot="1" x14ac:dyDescent="0.3">
      <c r="A240" s="142" t="s">
        <v>230</v>
      </c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4"/>
      <c r="AH240" s="141"/>
      <c r="AI240" s="48"/>
      <c r="AJ240" s="49"/>
    </row>
    <row r="241" spans="1:51" ht="15.75" hidden="1" thickBot="1" x14ac:dyDescent="0.3">
      <c r="A241" s="145" t="s">
        <v>231</v>
      </c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46"/>
      <c r="AC241" s="146"/>
      <c r="AD241" s="146"/>
      <c r="AE241" s="146"/>
      <c r="AF241" s="146"/>
      <c r="AG241" s="147"/>
      <c r="AH241" s="141"/>
      <c r="AI241" s="48"/>
      <c r="AJ241" s="49"/>
    </row>
    <row r="242" spans="1:51" ht="19.5" thickBot="1" x14ac:dyDescent="0.35">
      <c r="A242" s="234" t="s">
        <v>271</v>
      </c>
      <c r="B242" s="237"/>
      <c r="C242" s="210" t="e">
        <f>C50+C68</f>
        <v>#REF!</v>
      </c>
      <c r="D242" s="210" t="e">
        <f t="shared" ref="D242:AG242" si="23">D50+D68</f>
        <v>#REF!</v>
      </c>
      <c r="E242" s="210" t="e">
        <f t="shared" si="23"/>
        <v>#REF!</v>
      </c>
      <c r="F242" s="210" t="e">
        <f t="shared" si="23"/>
        <v>#REF!</v>
      </c>
      <c r="G242" s="210" t="e">
        <f t="shared" si="23"/>
        <v>#REF!</v>
      </c>
      <c r="H242" s="210" t="e">
        <f t="shared" si="23"/>
        <v>#REF!</v>
      </c>
      <c r="I242" s="210" t="e">
        <f t="shared" si="23"/>
        <v>#REF!</v>
      </c>
      <c r="J242" s="210" t="e">
        <f t="shared" si="23"/>
        <v>#REF!</v>
      </c>
      <c r="K242" s="210" t="e">
        <f t="shared" si="23"/>
        <v>#REF!</v>
      </c>
      <c r="L242" s="210" t="e">
        <f t="shared" si="23"/>
        <v>#REF!</v>
      </c>
      <c r="M242" s="210" t="e">
        <f t="shared" si="23"/>
        <v>#REF!</v>
      </c>
      <c r="N242" s="210" t="e">
        <f t="shared" si="23"/>
        <v>#REF!</v>
      </c>
      <c r="O242" s="210" t="e">
        <f t="shared" si="23"/>
        <v>#REF!</v>
      </c>
      <c r="P242" s="210" t="e">
        <f t="shared" si="23"/>
        <v>#REF!</v>
      </c>
      <c r="Q242" s="210" t="e">
        <f t="shared" si="23"/>
        <v>#REF!</v>
      </c>
      <c r="R242" s="210" t="e">
        <f t="shared" si="23"/>
        <v>#REF!</v>
      </c>
      <c r="S242" s="210" t="e">
        <f t="shared" si="23"/>
        <v>#REF!</v>
      </c>
      <c r="T242" s="210" t="e">
        <f t="shared" si="23"/>
        <v>#REF!</v>
      </c>
      <c r="U242" s="210" t="e">
        <f t="shared" si="23"/>
        <v>#REF!</v>
      </c>
      <c r="V242" s="210" t="e">
        <f t="shared" si="23"/>
        <v>#REF!</v>
      </c>
      <c r="W242" s="210" t="e">
        <f t="shared" si="23"/>
        <v>#REF!</v>
      </c>
      <c r="X242" s="210" t="e">
        <f t="shared" si="23"/>
        <v>#REF!</v>
      </c>
      <c r="Y242" s="210" t="e">
        <f t="shared" si="23"/>
        <v>#REF!</v>
      </c>
      <c r="Z242" s="210" t="e">
        <f t="shared" si="23"/>
        <v>#REF!</v>
      </c>
      <c r="AA242" s="210" t="e">
        <f t="shared" si="23"/>
        <v>#REF!</v>
      </c>
      <c r="AB242" s="210" t="e">
        <f t="shared" si="23"/>
        <v>#REF!</v>
      </c>
      <c r="AC242" s="210" t="e">
        <f t="shared" si="23"/>
        <v>#REF!</v>
      </c>
      <c r="AD242" s="210" t="e">
        <f t="shared" si="23"/>
        <v>#REF!</v>
      </c>
      <c r="AE242" s="210" t="e">
        <f t="shared" si="23"/>
        <v>#REF!</v>
      </c>
      <c r="AF242" s="210" t="e">
        <f t="shared" si="23"/>
        <v>#REF!</v>
      </c>
      <c r="AG242" s="210" t="e">
        <f t="shared" si="23"/>
        <v>#REF!</v>
      </c>
      <c r="AH242" s="210" t="e">
        <f>SUM(C242:AG242)</f>
        <v>#REF!</v>
      </c>
      <c r="AI242" s="43"/>
      <c r="AL242" s="48" t="e">
        <f>AH242</f>
        <v>#REF!</v>
      </c>
      <c r="AM242" s="48">
        <f>AK55</f>
        <v>855</v>
      </c>
      <c r="AN242" s="48">
        <f>AK57</f>
        <v>480</v>
      </c>
      <c r="AO242" s="48" t="e">
        <f>AL242+AM242+AN242</f>
        <v>#REF!</v>
      </c>
    </row>
    <row r="243" spans="1:51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 t="s">
        <v>272</v>
      </c>
      <c r="AH243" s="49" t="e">
        <f>AH242/24</f>
        <v>#REF!</v>
      </c>
      <c r="AI243" s="43"/>
    </row>
    <row r="244" spans="1:51" x14ac:dyDescent="0.25">
      <c r="A244" s="148" t="s">
        <v>232</v>
      </c>
      <c r="B244" s="149" t="e">
        <f>MAX(G91:N91)</f>
        <v>#REF!</v>
      </c>
      <c r="C244" s="149" t="e">
        <f>MAX(H91:O91)</f>
        <v>#REF!</v>
      </c>
      <c r="D244" s="150" t="e">
        <f>INDEX(H9:O9,1,MATCH(MAX(H91:O91),H91:O91,0))</f>
        <v>#REF!</v>
      </c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 t="s">
        <v>273</v>
      </c>
      <c r="AH244" s="55" t="e">
        <f>AH242*4.67*1.6*1000</f>
        <v>#REF!</v>
      </c>
      <c r="AI244" s="55"/>
    </row>
    <row r="245" spans="1:51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151" t="str">
        <f ca="1">MID(CELL("filename",D7),FIND("]",CELL("filename",D7))+1,600)</f>
        <v>SP27</v>
      </c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</row>
    <row r="246" spans="1:51" x14ac:dyDescent="0.25">
      <c r="A246" s="175" t="s">
        <v>233</v>
      </c>
      <c r="B246" s="175"/>
      <c r="C246" s="175"/>
      <c r="D246" s="43"/>
      <c r="E246" s="151" t="e">
        <f ca="1">"Pie Chart of Daily Peak Demand(Inclusive of Export) of Nepal ("&amp;A4&amp;" "&amp;C4&amp;")"</f>
        <v>#VALUE!</v>
      </c>
      <c r="F246" s="43"/>
      <c r="G246" s="43"/>
      <c r="H246" s="151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151" t="e">
        <f ca="1">"Daily Load Curve(Excluding of Export) of Nepal ("&amp;A4&amp;" "&amp;C4&amp;")"</f>
        <v>#VALUE!</v>
      </c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</row>
    <row r="247" spans="1:51" ht="12.75" customHeight="1" thickBot="1" x14ac:dyDescent="0.3">
      <c r="A247" s="152" t="s">
        <v>7</v>
      </c>
      <c r="B247" s="153"/>
      <c r="C247" s="153"/>
      <c r="D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</row>
    <row r="248" spans="1:51" ht="15.75" thickTop="1" x14ac:dyDescent="0.25">
      <c r="A248" s="152" t="s">
        <v>234</v>
      </c>
      <c r="B248" s="153"/>
      <c r="C248" s="15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154" t="s">
        <v>235</v>
      </c>
      <c r="U248" s="155">
        <v>0</v>
      </c>
      <c r="V248" s="156">
        <v>4.1666666666666664E-2</v>
      </c>
      <c r="W248" s="157">
        <v>8.3333333333333301E-2</v>
      </c>
      <c r="X248" s="157">
        <v>0.125</v>
      </c>
      <c r="Y248" s="157">
        <v>0.16666666666666699</v>
      </c>
      <c r="Z248" s="157">
        <v>0.20833333333333301</v>
      </c>
      <c r="AA248" s="157">
        <v>0.22916666666666666</v>
      </c>
      <c r="AB248" s="157">
        <v>0.25</v>
      </c>
      <c r="AC248" s="157">
        <v>0.27083333333333331</v>
      </c>
      <c r="AD248" s="157">
        <v>0.29166666666666669</v>
      </c>
      <c r="AE248" s="157">
        <v>0.3125</v>
      </c>
      <c r="AF248" s="158">
        <v>0.33333333333333331</v>
      </c>
      <c r="AG248" s="158">
        <v>0.375</v>
      </c>
      <c r="AH248" s="158">
        <v>0.41666666666666702</v>
      </c>
      <c r="AI248" s="158">
        <v>0.45833333333333298</v>
      </c>
      <c r="AJ248" s="158">
        <v>0.5</v>
      </c>
      <c r="AK248" s="158">
        <v>0.54166666666666696</v>
      </c>
      <c r="AL248" s="158">
        <v>0.58333333333333304</v>
      </c>
      <c r="AM248" s="158">
        <v>0.625</v>
      </c>
      <c r="AN248" s="158">
        <v>0.66666666666666696</v>
      </c>
      <c r="AO248" s="158">
        <v>0.70833333333333304</v>
      </c>
      <c r="AP248" s="158">
        <v>0.72916666666666663</v>
      </c>
      <c r="AQ248" s="158">
        <v>0.75</v>
      </c>
      <c r="AR248" s="158">
        <v>0.77083333333333337</v>
      </c>
      <c r="AS248" s="158">
        <v>0.79166666666666663</v>
      </c>
      <c r="AT248" s="158">
        <v>0.8125</v>
      </c>
      <c r="AU248" s="157">
        <v>0.83333333333333337</v>
      </c>
      <c r="AV248" s="157">
        <v>0.85416666666666663</v>
      </c>
      <c r="AW248" s="157">
        <v>0.875</v>
      </c>
      <c r="AX248" s="157">
        <v>0.91666666666666696</v>
      </c>
      <c r="AY248" s="157">
        <v>0.95833333333333304</v>
      </c>
    </row>
    <row r="249" spans="1:51" x14ac:dyDescent="0.25">
      <c r="A249" s="152" t="s">
        <v>236</v>
      </c>
      <c r="B249" s="153"/>
      <c r="C249" s="15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 t="s">
        <v>237</v>
      </c>
      <c r="U249" s="159" t="e">
        <f t="shared" ref="U249:AY249" si="24">C91</f>
        <v>#REF!</v>
      </c>
      <c r="V249" s="159" t="e">
        <f t="shared" si="24"/>
        <v>#REF!</v>
      </c>
      <c r="W249" s="159" t="e">
        <f t="shared" si="24"/>
        <v>#REF!</v>
      </c>
      <c r="X249" s="159" t="e">
        <f t="shared" si="24"/>
        <v>#REF!</v>
      </c>
      <c r="Y249" s="159" t="e">
        <f t="shared" si="24"/>
        <v>#REF!</v>
      </c>
      <c r="Z249" s="159" t="e">
        <f t="shared" si="24"/>
        <v>#REF!</v>
      </c>
      <c r="AA249" s="159" t="e">
        <f t="shared" si="24"/>
        <v>#REF!</v>
      </c>
      <c r="AB249" s="159" t="e">
        <f t="shared" si="24"/>
        <v>#REF!</v>
      </c>
      <c r="AC249" s="159" t="e">
        <f t="shared" si="24"/>
        <v>#REF!</v>
      </c>
      <c r="AD249" s="159">
        <f t="shared" si="24"/>
        <v>0</v>
      </c>
      <c r="AE249" s="159">
        <f t="shared" si="24"/>
        <v>0</v>
      </c>
      <c r="AF249" s="159">
        <f t="shared" si="24"/>
        <v>0</v>
      </c>
      <c r="AG249" s="159">
        <f t="shared" si="24"/>
        <v>0</v>
      </c>
      <c r="AH249" s="159">
        <f t="shared" si="24"/>
        <v>0</v>
      </c>
      <c r="AI249" s="159">
        <f t="shared" si="24"/>
        <v>0</v>
      </c>
      <c r="AJ249" s="159">
        <f t="shared" si="24"/>
        <v>0</v>
      </c>
      <c r="AK249" s="159">
        <f t="shared" si="24"/>
        <v>0</v>
      </c>
      <c r="AL249" s="159">
        <f t="shared" si="24"/>
        <v>0</v>
      </c>
      <c r="AM249" s="159">
        <f t="shared" si="24"/>
        <v>0</v>
      </c>
      <c r="AN249" s="159">
        <f t="shared" si="24"/>
        <v>0</v>
      </c>
      <c r="AO249" s="159">
        <f t="shared" si="24"/>
        <v>0</v>
      </c>
      <c r="AP249" s="159">
        <f t="shared" si="24"/>
        <v>0</v>
      </c>
      <c r="AQ249" s="159">
        <f t="shared" si="24"/>
        <v>0</v>
      </c>
      <c r="AR249" s="159">
        <f t="shared" si="24"/>
        <v>0</v>
      </c>
      <c r="AS249" s="159">
        <f t="shared" si="24"/>
        <v>0</v>
      </c>
      <c r="AT249" s="159">
        <f t="shared" si="24"/>
        <v>0</v>
      </c>
      <c r="AU249" s="159">
        <f t="shared" si="24"/>
        <v>0</v>
      </c>
      <c r="AV249" s="159">
        <f t="shared" si="24"/>
        <v>0</v>
      </c>
      <c r="AW249" s="159">
        <f t="shared" si="24"/>
        <v>0</v>
      </c>
      <c r="AX249" s="159">
        <f t="shared" si="24"/>
        <v>0</v>
      </c>
      <c r="AY249" s="159">
        <f t="shared" si="24"/>
        <v>0</v>
      </c>
    </row>
    <row r="250" spans="1:51" x14ac:dyDescent="0.25">
      <c r="A250" s="152" t="s">
        <v>238</v>
      </c>
      <c r="B250" s="153"/>
      <c r="C250" s="15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</row>
    <row r="251" spans="1:51" x14ac:dyDescent="0.25">
      <c r="A251" s="152" t="s">
        <v>239</v>
      </c>
      <c r="B251" s="153"/>
      <c r="C251" s="15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</row>
    <row r="252" spans="1:51" x14ac:dyDescent="0.25">
      <c r="A252" s="152" t="s">
        <v>240</v>
      </c>
      <c r="B252" s="153"/>
      <c r="C252" s="15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</row>
    <row r="253" spans="1:51" x14ac:dyDescent="0.25">
      <c r="A253" s="152" t="s">
        <v>241</v>
      </c>
      <c r="B253" s="160"/>
      <c r="C253" s="160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</row>
    <row r="254" spans="1:51" x14ac:dyDescent="0.25">
      <c r="A254" s="152" t="s">
        <v>242</v>
      </c>
      <c r="B254" s="153"/>
      <c r="C254" s="15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</row>
    <row r="255" spans="1:51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</row>
    <row r="256" spans="1:51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</row>
    <row r="257" spans="1:35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</row>
    <row r="258" spans="1:35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</row>
    <row r="259" spans="1:35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</row>
    <row r="260" spans="1:35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</row>
    <row r="261" spans="1:35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</row>
    <row r="262" spans="1:35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</row>
    <row r="263" spans="1:35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</row>
    <row r="264" spans="1:35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</row>
    <row r="265" spans="1:35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</row>
    <row r="266" spans="1:35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</row>
    <row r="267" spans="1:35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</row>
    <row r="268" spans="1:35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</row>
    <row r="269" spans="1:35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</row>
    <row r="270" spans="1:35" x14ac:dyDescent="0.25">
      <c r="A270" s="161" t="s">
        <v>227</v>
      </c>
      <c r="B270" s="162">
        <f t="shared" ref="B270:AF270" si="25">C234</f>
        <v>0</v>
      </c>
      <c r="C270" s="162">
        <f t="shared" si="25"/>
        <v>0.66</v>
      </c>
      <c r="D270" s="162">
        <f t="shared" si="25"/>
        <v>0</v>
      </c>
      <c r="E270" s="162">
        <f t="shared" si="25"/>
        <v>0</v>
      </c>
      <c r="F270" s="162">
        <f t="shared" si="25"/>
        <v>0</v>
      </c>
      <c r="G270" s="162">
        <f t="shared" si="25"/>
        <v>0</v>
      </c>
      <c r="H270" s="162">
        <f t="shared" si="25"/>
        <v>0</v>
      </c>
      <c r="I270" s="162">
        <f t="shared" si="25"/>
        <v>0</v>
      </c>
      <c r="J270" s="162">
        <f t="shared" si="25"/>
        <v>0</v>
      </c>
      <c r="K270" s="162">
        <f t="shared" si="25"/>
        <v>0</v>
      </c>
      <c r="L270" s="162">
        <f t="shared" si="25"/>
        <v>0</v>
      </c>
      <c r="M270" s="162">
        <f t="shared" si="25"/>
        <v>0</v>
      </c>
      <c r="N270" s="162">
        <f t="shared" si="25"/>
        <v>0</v>
      </c>
      <c r="O270" s="162">
        <f t="shared" si="25"/>
        <v>0</v>
      </c>
      <c r="P270" s="162">
        <f t="shared" si="25"/>
        <v>0</v>
      </c>
      <c r="Q270" s="162">
        <f t="shared" si="25"/>
        <v>0</v>
      </c>
      <c r="R270" s="162">
        <f t="shared" si="25"/>
        <v>0</v>
      </c>
      <c r="S270" s="162">
        <f t="shared" si="25"/>
        <v>0</v>
      </c>
      <c r="T270" s="162">
        <f t="shared" si="25"/>
        <v>0</v>
      </c>
      <c r="U270" s="162">
        <f t="shared" si="25"/>
        <v>0</v>
      </c>
      <c r="V270" s="162">
        <f t="shared" si="25"/>
        <v>0</v>
      </c>
      <c r="W270" s="162">
        <f t="shared" si="25"/>
        <v>0</v>
      </c>
      <c r="X270" s="162">
        <f t="shared" si="25"/>
        <v>0</v>
      </c>
      <c r="Y270" s="162">
        <f t="shared" si="25"/>
        <v>0</v>
      </c>
      <c r="Z270" s="162">
        <f t="shared" si="25"/>
        <v>0</v>
      </c>
      <c r="AA270" s="162">
        <f t="shared" si="25"/>
        <v>0</v>
      </c>
      <c r="AB270" s="162">
        <f t="shared" si="25"/>
        <v>0</v>
      </c>
      <c r="AC270" s="162">
        <f t="shared" si="25"/>
        <v>0</v>
      </c>
      <c r="AD270" s="162">
        <f t="shared" si="25"/>
        <v>0</v>
      </c>
      <c r="AE270" s="162">
        <f t="shared" si="25"/>
        <v>0</v>
      </c>
      <c r="AF270" s="162">
        <f t="shared" si="25"/>
        <v>0</v>
      </c>
      <c r="AG270" s="162">
        <f>C234</f>
        <v>0</v>
      </c>
      <c r="AH270" s="43"/>
      <c r="AI270" s="43"/>
    </row>
    <row r="271" spans="1:35" x14ac:dyDescent="0.25">
      <c r="A271" s="163" t="str">
        <f>A238</f>
        <v>KGA</v>
      </c>
      <c r="B271" s="163" t="str">
        <f t="shared" ref="B271:AG271" si="26">IF(B238&lt;100,"",B238-520)</f>
        <v/>
      </c>
      <c r="C271" s="163" t="str">
        <f t="shared" si="26"/>
        <v/>
      </c>
      <c r="D271" s="163" t="str">
        <f t="shared" si="26"/>
        <v/>
      </c>
      <c r="E271" s="163" t="str">
        <f t="shared" si="26"/>
        <v/>
      </c>
      <c r="F271" s="163" t="str">
        <f t="shared" si="26"/>
        <v/>
      </c>
      <c r="G271" s="163" t="str">
        <f t="shared" si="26"/>
        <v/>
      </c>
      <c r="H271" s="163" t="str">
        <f t="shared" si="26"/>
        <v/>
      </c>
      <c r="I271" s="163" t="str">
        <f t="shared" si="26"/>
        <v/>
      </c>
      <c r="J271" s="163" t="str">
        <f t="shared" si="26"/>
        <v/>
      </c>
      <c r="K271" s="163" t="str">
        <f t="shared" si="26"/>
        <v/>
      </c>
      <c r="L271" s="163" t="str">
        <f t="shared" si="26"/>
        <v/>
      </c>
      <c r="M271" s="163" t="str">
        <f t="shared" si="26"/>
        <v/>
      </c>
      <c r="N271" s="163" t="str">
        <f t="shared" si="26"/>
        <v/>
      </c>
      <c r="O271" s="163" t="str">
        <f t="shared" si="26"/>
        <v/>
      </c>
      <c r="P271" s="163" t="str">
        <f t="shared" si="26"/>
        <v/>
      </c>
      <c r="Q271" s="163" t="str">
        <f t="shared" si="26"/>
        <v/>
      </c>
      <c r="R271" s="163" t="str">
        <f t="shared" si="26"/>
        <v/>
      </c>
      <c r="S271" s="163" t="str">
        <f t="shared" si="26"/>
        <v/>
      </c>
      <c r="T271" s="163" t="str">
        <f t="shared" si="26"/>
        <v/>
      </c>
      <c r="U271" s="163" t="str">
        <f t="shared" si="26"/>
        <v/>
      </c>
      <c r="V271" s="163" t="str">
        <f t="shared" si="26"/>
        <v/>
      </c>
      <c r="W271" s="163" t="str">
        <f t="shared" si="26"/>
        <v/>
      </c>
      <c r="X271" s="163" t="str">
        <f t="shared" si="26"/>
        <v/>
      </c>
      <c r="Y271" s="163" t="str">
        <f t="shared" si="26"/>
        <v/>
      </c>
      <c r="Z271" s="163" t="str">
        <f t="shared" si="26"/>
        <v/>
      </c>
      <c r="AA271" s="163" t="str">
        <f t="shared" si="26"/>
        <v/>
      </c>
      <c r="AB271" s="163" t="str">
        <f t="shared" si="26"/>
        <v/>
      </c>
      <c r="AC271" s="163" t="str">
        <f t="shared" si="26"/>
        <v/>
      </c>
      <c r="AD271" s="163" t="str">
        <f t="shared" si="26"/>
        <v/>
      </c>
      <c r="AE271" s="163" t="str">
        <f t="shared" si="26"/>
        <v/>
      </c>
      <c r="AF271" s="163" t="str">
        <f t="shared" si="26"/>
        <v/>
      </c>
      <c r="AG271" s="163" t="str">
        <f t="shared" si="26"/>
        <v/>
      </c>
      <c r="AH271" s="43"/>
      <c r="AI271" s="43"/>
    </row>
    <row r="272" spans="1:35" x14ac:dyDescent="0.25">
      <c r="A272" s="163" t="str">
        <f>A239</f>
        <v>MMRS</v>
      </c>
      <c r="B272" s="163" t="str">
        <f t="shared" ref="B272:AG272" si="27">IF(B239&lt;100,"",B239-620)</f>
        <v/>
      </c>
      <c r="C272" s="163" t="str">
        <f t="shared" si="27"/>
        <v/>
      </c>
      <c r="D272" s="163" t="str">
        <f t="shared" si="27"/>
        <v/>
      </c>
      <c r="E272" s="163" t="str">
        <f t="shared" si="27"/>
        <v/>
      </c>
      <c r="F272" s="163" t="str">
        <f t="shared" si="27"/>
        <v/>
      </c>
      <c r="G272" s="163" t="str">
        <f t="shared" si="27"/>
        <v/>
      </c>
      <c r="H272" s="163" t="str">
        <f t="shared" si="27"/>
        <v/>
      </c>
      <c r="I272" s="163" t="str">
        <f t="shared" si="27"/>
        <v/>
      </c>
      <c r="J272" s="163" t="str">
        <f t="shared" si="27"/>
        <v/>
      </c>
      <c r="K272" s="163" t="str">
        <f t="shared" si="27"/>
        <v/>
      </c>
      <c r="L272" s="163" t="str">
        <f t="shared" si="27"/>
        <v/>
      </c>
      <c r="M272" s="163" t="str">
        <f t="shared" si="27"/>
        <v/>
      </c>
      <c r="N272" s="163" t="str">
        <f t="shared" si="27"/>
        <v/>
      </c>
      <c r="O272" s="163" t="str">
        <f t="shared" si="27"/>
        <v/>
      </c>
      <c r="P272" s="163" t="str">
        <f t="shared" si="27"/>
        <v/>
      </c>
      <c r="Q272" s="163" t="str">
        <f t="shared" si="27"/>
        <v/>
      </c>
      <c r="R272" s="163" t="str">
        <f t="shared" si="27"/>
        <v/>
      </c>
      <c r="S272" s="163" t="str">
        <f t="shared" si="27"/>
        <v/>
      </c>
      <c r="T272" s="163" t="str">
        <f t="shared" si="27"/>
        <v/>
      </c>
      <c r="U272" s="163" t="str">
        <f t="shared" si="27"/>
        <v/>
      </c>
      <c r="V272" s="163" t="str">
        <f t="shared" si="27"/>
        <v/>
      </c>
      <c r="W272" s="163" t="str">
        <f t="shared" si="27"/>
        <v/>
      </c>
      <c r="X272" s="163" t="str">
        <f t="shared" si="27"/>
        <v/>
      </c>
      <c r="Y272" s="163" t="str">
        <f t="shared" si="27"/>
        <v/>
      </c>
      <c r="Z272" s="163" t="str">
        <f t="shared" si="27"/>
        <v/>
      </c>
      <c r="AA272" s="163" t="str">
        <f t="shared" si="27"/>
        <v/>
      </c>
      <c r="AB272" s="163" t="str">
        <f t="shared" si="27"/>
        <v/>
      </c>
      <c r="AC272" s="163" t="str">
        <f t="shared" si="27"/>
        <v/>
      </c>
      <c r="AD272" s="163" t="str">
        <f t="shared" si="27"/>
        <v/>
      </c>
      <c r="AE272" s="163" t="str">
        <f t="shared" si="27"/>
        <v/>
      </c>
      <c r="AF272" s="163" t="str">
        <f t="shared" si="27"/>
        <v/>
      </c>
      <c r="AG272" s="163" t="str">
        <f t="shared" si="27"/>
        <v/>
      </c>
      <c r="AH272" s="43"/>
      <c r="AI272" s="43"/>
    </row>
    <row r="273" spans="1:35" x14ac:dyDescent="0.25">
      <c r="A273" s="163" t="str">
        <f>A240</f>
        <v>MRS</v>
      </c>
      <c r="B273" s="163" t="str">
        <f t="shared" ref="B273:AG273" si="28">IF(B240&lt;100,"",B240-330)</f>
        <v/>
      </c>
      <c r="C273" s="163" t="str">
        <f t="shared" si="28"/>
        <v/>
      </c>
      <c r="D273" s="163" t="str">
        <f t="shared" si="28"/>
        <v/>
      </c>
      <c r="E273" s="163" t="str">
        <f t="shared" si="28"/>
        <v/>
      </c>
      <c r="F273" s="163" t="str">
        <f t="shared" si="28"/>
        <v/>
      </c>
      <c r="G273" s="163" t="str">
        <f t="shared" si="28"/>
        <v/>
      </c>
      <c r="H273" s="163" t="str">
        <f t="shared" si="28"/>
        <v/>
      </c>
      <c r="I273" s="163" t="str">
        <f t="shared" si="28"/>
        <v/>
      </c>
      <c r="J273" s="163" t="str">
        <f t="shared" si="28"/>
        <v/>
      </c>
      <c r="K273" s="163" t="str">
        <f t="shared" si="28"/>
        <v/>
      </c>
      <c r="L273" s="163" t="str">
        <f t="shared" si="28"/>
        <v/>
      </c>
      <c r="M273" s="163" t="str">
        <f t="shared" si="28"/>
        <v/>
      </c>
      <c r="N273" s="163" t="str">
        <f t="shared" si="28"/>
        <v/>
      </c>
      <c r="O273" s="163" t="str">
        <f t="shared" si="28"/>
        <v/>
      </c>
      <c r="P273" s="163" t="str">
        <f t="shared" si="28"/>
        <v/>
      </c>
      <c r="Q273" s="163" t="str">
        <f t="shared" si="28"/>
        <v/>
      </c>
      <c r="R273" s="163" t="str">
        <f t="shared" si="28"/>
        <v/>
      </c>
      <c r="S273" s="163" t="str">
        <f t="shared" si="28"/>
        <v/>
      </c>
      <c r="T273" s="163" t="str">
        <f t="shared" si="28"/>
        <v/>
      </c>
      <c r="U273" s="163" t="str">
        <f t="shared" si="28"/>
        <v/>
      </c>
      <c r="V273" s="163" t="str">
        <f t="shared" si="28"/>
        <v/>
      </c>
      <c r="W273" s="163" t="str">
        <f t="shared" si="28"/>
        <v/>
      </c>
      <c r="X273" s="163" t="str">
        <f t="shared" si="28"/>
        <v/>
      </c>
      <c r="Y273" s="163" t="str">
        <f t="shared" si="28"/>
        <v/>
      </c>
      <c r="Z273" s="163" t="str">
        <f t="shared" si="28"/>
        <v/>
      </c>
      <c r="AA273" s="163" t="str">
        <f t="shared" si="28"/>
        <v/>
      </c>
      <c r="AB273" s="163" t="str">
        <f t="shared" si="28"/>
        <v/>
      </c>
      <c r="AC273" s="163" t="str">
        <f t="shared" si="28"/>
        <v/>
      </c>
      <c r="AD273" s="163" t="str">
        <f t="shared" si="28"/>
        <v/>
      </c>
      <c r="AE273" s="163" t="str">
        <f t="shared" si="28"/>
        <v/>
      </c>
      <c r="AF273" s="163" t="str">
        <f t="shared" si="28"/>
        <v/>
      </c>
      <c r="AG273" s="163" t="str">
        <f t="shared" si="28"/>
        <v/>
      </c>
      <c r="AH273" s="43"/>
      <c r="AI273" s="43"/>
    </row>
    <row r="274" spans="1:35" x14ac:dyDescent="0.25">
      <c r="A274" s="163" t="str">
        <f>A241</f>
        <v>KL 1</v>
      </c>
      <c r="B274" s="163" t="str">
        <f t="shared" ref="B274:AG274" si="29">IF(B241&lt;100,"",B241-1500)</f>
        <v/>
      </c>
      <c r="C274" s="163" t="str">
        <f t="shared" si="29"/>
        <v/>
      </c>
      <c r="D274" s="163" t="str">
        <f t="shared" si="29"/>
        <v/>
      </c>
      <c r="E274" s="163" t="str">
        <f t="shared" si="29"/>
        <v/>
      </c>
      <c r="F274" s="163" t="str">
        <f t="shared" si="29"/>
        <v/>
      </c>
      <c r="G274" s="163" t="str">
        <f t="shared" si="29"/>
        <v/>
      </c>
      <c r="H274" s="163" t="str">
        <f t="shared" si="29"/>
        <v/>
      </c>
      <c r="I274" s="163" t="str">
        <f t="shared" si="29"/>
        <v/>
      </c>
      <c r="J274" s="163" t="str">
        <f t="shared" si="29"/>
        <v/>
      </c>
      <c r="K274" s="163" t="str">
        <f t="shared" si="29"/>
        <v/>
      </c>
      <c r="L274" s="163" t="str">
        <f t="shared" si="29"/>
        <v/>
      </c>
      <c r="M274" s="163" t="str">
        <f t="shared" si="29"/>
        <v/>
      </c>
      <c r="N274" s="163" t="str">
        <f t="shared" si="29"/>
        <v/>
      </c>
      <c r="O274" s="163" t="str">
        <f t="shared" si="29"/>
        <v/>
      </c>
      <c r="P274" s="163" t="str">
        <f t="shared" si="29"/>
        <v/>
      </c>
      <c r="Q274" s="163" t="str">
        <f t="shared" si="29"/>
        <v/>
      </c>
      <c r="R274" s="163" t="str">
        <f t="shared" si="29"/>
        <v/>
      </c>
      <c r="S274" s="163" t="str">
        <f t="shared" si="29"/>
        <v/>
      </c>
      <c r="T274" s="163" t="str">
        <f t="shared" si="29"/>
        <v/>
      </c>
      <c r="U274" s="163" t="str">
        <f t="shared" si="29"/>
        <v/>
      </c>
      <c r="V274" s="163" t="str">
        <f t="shared" si="29"/>
        <v/>
      </c>
      <c r="W274" s="163" t="str">
        <f t="shared" si="29"/>
        <v/>
      </c>
      <c r="X274" s="163" t="str">
        <f t="shared" si="29"/>
        <v/>
      </c>
      <c r="Y274" s="163" t="str">
        <f t="shared" si="29"/>
        <v/>
      </c>
      <c r="Z274" s="163" t="str">
        <f t="shared" si="29"/>
        <v/>
      </c>
      <c r="AA274" s="163" t="str">
        <f t="shared" si="29"/>
        <v/>
      </c>
      <c r="AB274" s="163" t="str">
        <f t="shared" si="29"/>
        <v/>
      </c>
      <c r="AC274" s="163" t="str">
        <f t="shared" si="29"/>
        <v/>
      </c>
      <c r="AD274" s="163" t="str">
        <f t="shared" si="29"/>
        <v/>
      </c>
      <c r="AE274" s="163" t="str">
        <f t="shared" si="29"/>
        <v/>
      </c>
      <c r="AF274" s="163" t="str">
        <f t="shared" si="29"/>
        <v/>
      </c>
      <c r="AG274" s="163" t="str">
        <f t="shared" si="29"/>
        <v/>
      </c>
      <c r="AH274" s="43"/>
      <c r="AI274" s="43"/>
    </row>
    <row r="275" spans="1:35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</row>
    <row r="276" spans="1:35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</row>
    <row r="277" spans="1:35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</row>
    <row r="278" spans="1:35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</row>
    <row r="279" spans="1:35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</row>
    <row r="280" spans="1:35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</row>
    <row r="281" spans="1:35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</row>
  </sheetData>
  <mergeCells count="53">
    <mergeCell ref="A246:C246"/>
    <mergeCell ref="AF9:AF10"/>
    <mergeCell ref="AG9:AG10"/>
    <mergeCell ref="AH9:AH10"/>
    <mergeCell ref="AK48:AM48"/>
    <mergeCell ref="AO72:AP72"/>
    <mergeCell ref="AO84:AO85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R9:R10"/>
    <mergeCell ref="S9:S10"/>
    <mergeCell ref="T8:AB8"/>
    <mergeCell ref="AC8:AG8"/>
    <mergeCell ref="A9:A10"/>
    <mergeCell ref="C9:C10"/>
    <mergeCell ref="D9:D10"/>
    <mergeCell ref="E9:E10"/>
    <mergeCell ref="F9:F10"/>
    <mergeCell ref="G9:G10"/>
    <mergeCell ref="H9:H10"/>
    <mergeCell ref="I9:I10"/>
    <mergeCell ref="C4:E4"/>
    <mergeCell ref="F4:H4"/>
    <mergeCell ref="I4:J4"/>
    <mergeCell ref="B8:B10"/>
    <mergeCell ref="C8:M8"/>
    <mergeCell ref="N8:S8"/>
    <mergeCell ref="J9:J10"/>
    <mergeCell ref="K9:K10"/>
    <mergeCell ref="L9:L10"/>
    <mergeCell ref="M9:M10"/>
    <mergeCell ref="A1:AG1"/>
    <mergeCell ref="AH1:AJ1"/>
    <mergeCell ref="B2:B3"/>
    <mergeCell ref="C2:C3"/>
    <mergeCell ref="E2:E3"/>
    <mergeCell ref="G2:G3"/>
    <mergeCell ref="I2:I3"/>
    <mergeCell ref="K2:K3"/>
  </mergeCells>
  <conditionalFormatting sqref="A11:A236">
    <cfRule type="expression" dxfId="90" priority="43">
      <formula>$AI11=0</formula>
    </cfRule>
  </conditionalFormatting>
  <conditionalFormatting sqref="B8 B11:B17 B51:B66 B69:B91 B93:B109 B111:B120 B227 B229:B235">
    <cfRule type="expression" dxfId="89" priority="101">
      <formula>AND(B$8&gt;=14/24,B$8&lt;20/24)</formula>
    </cfRule>
    <cfRule type="expression" dxfId="88" priority="102">
      <formula>AND(B$8&gt;=8/24,B$8&lt;14/24)</formula>
    </cfRule>
    <cfRule type="expression" dxfId="87" priority="103">
      <formula>B$8&lt;8/24</formula>
    </cfRule>
  </conditionalFormatting>
  <conditionalFormatting sqref="B11:B17 B51:B66 B69:B91 B8 B93:B109 B111:B120 B227 B229:B235">
    <cfRule type="expression" dxfId="86" priority="100">
      <formula>B$8&gt;=20/24</formula>
    </cfRule>
  </conditionalFormatting>
  <conditionalFormatting sqref="B18:B45">
    <cfRule type="expression" dxfId="85" priority="6">
      <formula>B$9&gt;=20/24</formula>
    </cfRule>
    <cfRule type="expression" dxfId="84" priority="7">
      <formula>AND(B$9&gt;=14/24,B$9&lt;20/24)</formula>
    </cfRule>
    <cfRule type="expression" dxfId="83" priority="8">
      <formula>AND(B$9&gt;=8/24,B$9&lt;14/24)</formula>
    </cfRule>
    <cfRule type="expression" dxfId="82" priority="9">
      <formula>B$9&lt;8/24</formula>
    </cfRule>
  </conditionalFormatting>
  <conditionalFormatting sqref="B18:B46">
    <cfRule type="expression" dxfId="81" priority="5">
      <formula>B18&gt;$AG18</formula>
    </cfRule>
  </conditionalFormatting>
  <conditionalFormatting sqref="B46">
    <cfRule type="expression" dxfId="80" priority="1">
      <formula>B$9&gt;=20/24</formula>
    </cfRule>
    <cfRule type="expression" dxfId="79" priority="2">
      <formula>AND(B$9&gt;=14/24,B$9&lt;20/24)</formula>
    </cfRule>
    <cfRule type="expression" dxfId="78" priority="3">
      <formula>AND(B$9&gt;=8/24,B$9&lt;14/24)</formula>
    </cfRule>
    <cfRule type="expression" dxfId="77" priority="4">
      <formula>B$9&lt;8/24</formula>
    </cfRule>
  </conditionalFormatting>
  <conditionalFormatting sqref="B47">
    <cfRule type="expression" dxfId="76" priority="15">
      <formula>B47&gt;$AG47</formula>
    </cfRule>
  </conditionalFormatting>
  <conditionalFormatting sqref="B47:B49">
    <cfRule type="expression" dxfId="75" priority="11">
      <formula>B$9&gt;=20/24</formula>
    </cfRule>
    <cfRule type="expression" dxfId="74" priority="12">
      <formula>AND(B$9&gt;=14/24,B$9&lt;20/24)</formula>
    </cfRule>
    <cfRule type="expression" dxfId="73" priority="13">
      <formula>AND(B$9&gt;=8/24,B$9&lt;14/24)</formula>
    </cfRule>
    <cfRule type="expression" dxfId="72" priority="14">
      <formula>B$9&lt;8/24</formula>
    </cfRule>
  </conditionalFormatting>
  <conditionalFormatting sqref="B48:B49">
    <cfRule type="expression" dxfId="71" priority="10">
      <formula>B48&gt;$AG48</formula>
    </cfRule>
  </conditionalFormatting>
  <conditionalFormatting sqref="B50:B72 C51:AG67">
    <cfRule type="expression" dxfId="70" priority="20">
      <formula>B50&gt;$AH50</formula>
    </cfRule>
  </conditionalFormatting>
  <conditionalFormatting sqref="B242:AH242">
    <cfRule type="expression" dxfId="69" priority="19">
      <formula>B242&gt;$AH242</formula>
    </cfRule>
  </conditionalFormatting>
  <conditionalFormatting sqref="C8 N8 T8 AC8">
    <cfRule type="expression" dxfId="68" priority="80">
      <formula>AND(D$9&gt;=14/24,D$9&lt;20/24)</formula>
    </cfRule>
    <cfRule type="expression" dxfId="67" priority="81">
      <formula>AND(D$9&gt;=8/24,D$9&lt;14/24)</formula>
    </cfRule>
    <cfRule type="expression" dxfId="66" priority="82">
      <formula>D$9&lt;8/24</formula>
    </cfRule>
  </conditionalFormatting>
  <conditionalFormatting sqref="C9:AG49 C69:AG72 C51:AG66">
    <cfRule type="expression" dxfId="65" priority="35">
      <formula>AND(C$9&gt;=14/24,C$9&lt;20/24)</formula>
    </cfRule>
    <cfRule type="expression" dxfId="64" priority="36">
      <formula>AND(C$9&gt;=8/24,C$9&lt;14/24)</formula>
    </cfRule>
    <cfRule type="expression" dxfId="63" priority="37">
      <formula>C$9&lt;8/24</formula>
    </cfRule>
  </conditionalFormatting>
  <conditionalFormatting sqref="C9:AG49 C69:AG72 C51:AG66">
    <cfRule type="expression" dxfId="62" priority="34">
      <formula>C$9&gt;=20/24</formula>
    </cfRule>
  </conditionalFormatting>
  <conditionalFormatting sqref="C11:AG49 B11:B17 C69:AG72">
    <cfRule type="expression" dxfId="61" priority="33">
      <formula>B11&gt;$AH11</formula>
    </cfRule>
  </conditionalFormatting>
  <conditionalFormatting sqref="C73:AG91">
    <cfRule type="expression" dxfId="60" priority="21">
      <formula>C$9&gt;=20/24</formula>
    </cfRule>
    <cfRule type="expression" dxfId="59" priority="22">
      <formula>AND(C$9&gt;=14/24,C$9&lt;20/24)</formula>
    </cfRule>
    <cfRule type="expression" dxfId="58" priority="23">
      <formula>AND(C$9&gt;=8/24,C$9&lt;14/24)</formula>
    </cfRule>
    <cfRule type="expression" dxfId="57" priority="24">
      <formula>C$9&lt;8/24</formula>
    </cfRule>
  </conditionalFormatting>
  <conditionalFormatting sqref="C111:AG120">
    <cfRule type="expression" dxfId="56" priority="25">
      <formula>C$9&gt;=20/24</formula>
    </cfRule>
    <cfRule type="expression" dxfId="55" priority="26">
      <formula>AND(C$9&gt;=14/24,C$9&lt;20/24)</formula>
    </cfRule>
    <cfRule type="expression" dxfId="54" priority="27">
      <formula>AND(C$9&gt;=8/24,C$9&lt;14/24)</formula>
    </cfRule>
    <cfRule type="expression" dxfId="53" priority="28">
      <formula>C$9&lt;8/24</formula>
    </cfRule>
  </conditionalFormatting>
  <conditionalFormatting sqref="C50:AH50">
    <cfRule type="expression" dxfId="52" priority="17">
      <formula>C50&gt;$AH50</formula>
    </cfRule>
  </conditionalFormatting>
  <conditionalFormatting sqref="P3:Q3">
    <cfRule type="iconSet" priority="77">
      <iconSet iconSet="3TrafficLights2" reverse="1">
        <cfvo type="percent" val="0"/>
        <cfvo type="num" val="1"/>
        <cfvo type="num" val="1"/>
      </iconSet>
    </cfRule>
  </conditionalFormatting>
  <conditionalFormatting sqref="T8 AC8 C8 N8">
    <cfRule type="expression" dxfId="51" priority="79">
      <formula>D$9&gt;=20/24</formula>
    </cfRule>
  </conditionalFormatting>
  <conditionalFormatting sqref="T8">
    <cfRule type="expression" dxfId="50" priority="66">
      <formula>V$9&gt;=20/24</formula>
    </cfRule>
    <cfRule type="expression" dxfId="49" priority="67">
      <formula>AND(V$9&gt;=14/24,V$9&lt;20/24)</formula>
    </cfRule>
    <cfRule type="expression" dxfId="48" priority="68">
      <formula>AND(V$9&gt;=8/24,V$9&lt;14/24)</formula>
    </cfRule>
    <cfRule type="expression" dxfId="47" priority="69">
      <formula>V$9&lt;8/24</formula>
    </cfRule>
  </conditionalFormatting>
  <conditionalFormatting sqref="U248">
    <cfRule type="expression" dxfId="46" priority="91">
      <formula>AY$9&gt;=20/24</formula>
    </cfRule>
    <cfRule type="expression" dxfId="45" priority="92">
      <formula>AND(AY$9&gt;=14/24,AY$9&lt;20/24)</formula>
    </cfRule>
    <cfRule type="expression" dxfId="44" priority="93">
      <formula>AND(AY$9&gt;=8/24,AY$9&lt;14/24)</formula>
    </cfRule>
    <cfRule type="expression" dxfId="43" priority="94">
      <formula>AY$9&lt;8/24</formula>
    </cfRule>
  </conditionalFormatting>
  <conditionalFormatting sqref="V248:AG248">
    <cfRule type="expression" dxfId="42" priority="73">
      <formula>V$9&gt;=20/24</formula>
    </cfRule>
    <cfRule type="expression" dxfId="41" priority="74">
      <formula>AND(V$9&gt;=14/24,V$9&lt;20/24)</formula>
    </cfRule>
    <cfRule type="expression" dxfId="40" priority="75">
      <formula>AND(V$9&gt;=8/24,V$9&lt;14/24)</formula>
    </cfRule>
    <cfRule type="expression" dxfId="39" priority="76">
      <formula>V$9&lt;8/24</formula>
    </cfRule>
  </conditionalFormatting>
  <conditionalFormatting sqref="W3 AC3">
    <cfRule type="iconSet" priority="78">
      <iconSet iconSet="3TrafficLights2" reverse="1">
        <cfvo type="percent" val="0"/>
        <cfvo type="num" val="1"/>
        <cfvo type="num" val="1"/>
      </iconSet>
    </cfRule>
  </conditionalFormatting>
  <conditionalFormatting sqref="AB47:AG47 AB49:AG49">
    <cfRule type="expression" dxfId="38" priority="29">
      <formula>AB$9&gt;=20/24</formula>
    </cfRule>
    <cfRule type="expression" dxfId="37" priority="30">
      <formula>AND(AB$9&gt;=14/24,AB$9&lt;20/24)</formula>
    </cfRule>
    <cfRule type="expression" dxfId="36" priority="31">
      <formula>AND(AB$9&gt;=8/24,AB$9&lt;14/24)</formula>
    </cfRule>
    <cfRule type="expression" dxfId="35" priority="32">
      <formula>AB$9&lt;8/24</formula>
    </cfRule>
  </conditionalFormatting>
  <conditionalFormatting sqref="AC8">
    <cfRule type="expression" dxfId="34" priority="62">
      <formula>AE$9&gt;=20/24</formula>
    </cfRule>
    <cfRule type="expression" dxfId="33" priority="63">
      <formula>AND(AE$9&gt;=14/24,AE$9&lt;20/24)</formula>
    </cfRule>
    <cfRule type="expression" dxfId="32" priority="64">
      <formula>AND(AE$9&gt;=8/24,AE$9&lt;14/24)</formula>
    </cfRule>
    <cfRule type="expression" dxfId="31" priority="65">
      <formula>AE$9&lt;8/24</formula>
    </cfRule>
  </conditionalFormatting>
  <conditionalFormatting sqref="AH54 AH72 C93:AG109 C227:AG227 C229:AG235">
    <cfRule type="expression" dxfId="30" priority="39">
      <formula>C$9&gt;=20/24</formula>
    </cfRule>
    <cfRule type="expression" dxfId="29" priority="40">
      <formula>AND(C$9&gt;=14/24,C$9&lt;20/24)</formula>
    </cfRule>
    <cfRule type="expression" dxfId="28" priority="41">
      <formula>AND(C$9&gt;=8/24,C$9&lt;14/24)</formula>
    </cfRule>
    <cfRule type="expression" dxfId="27" priority="42">
      <formula>C$9&lt;8/24</formula>
    </cfRule>
  </conditionalFormatting>
  <conditionalFormatting sqref="AH54 AH72">
    <cfRule type="expression" dxfId="26" priority="38">
      <formula>AH54&gt;$AH54</formula>
    </cfRule>
  </conditionalFormatting>
  <conditionalFormatting sqref="AH67 C68:AH68">
    <cfRule type="expression" dxfId="25" priority="18">
      <formula>C67&gt;$AH67</formula>
    </cfRule>
  </conditionalFormatting>
  <conditionalFormatting sqref="AH89">
    <cfRule type="expression" dxfId="24" priority="58">
      <formula>AH$9&gt;=20/24</formula>
    </cfRule>
    <cfRule type="expression" dxfId="23" priority="59">
      <formula>AND(AH$9&gt;=14/24,AH$9&lt;20/24)</formula>
    </cfRule>
    <cfRule type="expression" dxfId="22" priority="60">
      <formula>AND(AH$9&gt;=8/24,AH$9&lt;14/24)</formula>
    </cfRule>
    <cfRule type="expression" dxfId="21" priority="61">
      <formula>AH$9&lt;8/24</formula>
    </cfRule>
  </conditionalFormatting>
  <conditionalFormatting sqref="AH248">
    <cfRule type="expression" dxfId="20" priority="83">
      <formula>C$9&gt;=20/24</formula>
    </cfRule>
    <cfRule type="expression" dxfId="19" priority="84">
      <formula>AND(C$9&gt;=14/24,C$9&lt;20/24)</formula>
    </cfRule>
    <cfRule type="expression" dxfId="18" priority="85">
      <formula>AND(C$9&gt;=8/24,C$9&lt;14/24)</formula>
    </cfRule>
    <cfRule type="expression" dxfId="17" priority="86">
      <formula>C$9&lt;8/24</formula>
    </cfRule>
  </conditionalFormatting>
  <conditionalFormatting sqref="AI248:AY248">
    <cfRule type="expression" dxfId="16" priority="87">
      <formula>AH$9&gt;=20/24</formula>
    </cfRule>
    <cfRule type="expression" dxfId="15" priority="88">
      <formula>AND(AH$9&gt;=14/24,AH$9&lt;20/24)</formula>
    </cfRule>
    <cfRule type="expression" dxfId="14" priority="89">
      <formula>AND(AH$9&gt;=8/24,AH$9&lt;14/24)</formula>
    </cfRule>
    <cfRule type="expression" dxfId="13" priority="90">
      <formula>AH$9&lt;8/24</formula>
    </cfRule>
  </conditionalFormatting>
  <conditionalFormatting sqref="AL50">
    <cfRule type="expression" dxfId="12" priority="16">
      <formula>AL50&gt;$AH50</formula>
    </cfRule>
  </conditionalFormatting>
  <conditionalFormatting sqref="AM4:AM6">
    <cfRule type="iconSet" priority="72">
      <iconSet iconSet="3TrafficLights2" reverse="1">
        <cfvo type="percent" val="0"/>
        <cfvo type="num" val="1"/>
        <cfvo type="num" val="1"/>
      </iconSet>
    </cfRule>
  </conditionalFormatting>
  <conditionalFormatting sqref="AM18">
    <cfRule type="iconSet" priority="46">
      <iconSet iconSet="3TrafficLights2" reverse="1">
        <cfvo type="percent" val="0"/>
        <cfvo type="num" val="1"/>
        <cfvo type="num" val="1"/>
      </iconSet>
    </cfRule>
  </conditionalFormatting>
  <conditionalFormatting sqref="AM23">
    <cfRule type="iconSet" priority="56">
      <iconSet iconSet="3TrafficLights2" reverse="1">
        <cfvo type="percent" val="0"/>
        <cfvo type="num" val="1"/>
        <cfvo type="num" val="1"/>
      </iconSet>
    </cfRule>
  </conditionalFormatting>
  <conditionalFormatting sqref="AM35">
    <cfRule type="iconSet" priority="45">
      <iconSet iconSet="3TrafficLights2" reverse="1">
        <cfvo type="percent" val="0"/>
        <cfvo type="num" val="1"/>
        <cfvo type="num" val="1"/>
      </iconSet>
    </cfRule>
  </conditionalFormatting>
  <conditionalFormatting sqref="AM39">
    <cfRule type="iconSet" priority="55">
      <iconSet iconSet="3TrafficLights2" reverse="1">
        <cfvo type="percent" val="0"/>
        <cfvo type="num" val="1"/>
        <cfvo type="num" val="1"/>
      </iconSet>
    </cfRule>
  </conditionalFormatting>
  <conditionalFormatting sqref="AM42">
    <cfRule type="iconSet" priority="57">
      <iconSet iconSet="3TrafficLights2" reverse="1">
        <cfvo type="percent" val="0"/>
        <cfvo type="num" val="1"/>
        <cfvo type="num" val="1"/>
      </iconSet>
    </cfRule>
  </conditionalFormatting>
  <conditionalFormatting sqref="AM44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M45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M46">
    <cfRule type="iconSet" priority="44">
      <iconSet iconSet="3TrafficLights2" reverse="1">
        <cfvo type="percent" val="0"/>
        <cfvo type="num" val="1"/>
        <cfvo type="num" val="1"/>
      </iconSet>
    </cfRule>
  </conditionalFormatting>
  <conditionalFormatting sqref="AM47 AM43 AM24:AM34 AM40:AM41 AM19:AM22 AM36:AM38 AM7:AM17">
    <cfRule type="iconSet" priority="95">
      <iconSet iconSet="3TrafficLights2" reverse="1">
        <cfvo type="percent" val="0"/>
        <cfvo type="num" val="1"/>
        <cfvo type="num" val="1"/>
      </iconSet>
    </cfRule>
  </conditionalFormatting>
  <conditionalFormatting sqref="AM81:AN85">
    <cfRule type="expression" dxfId="11" priority="96">
      <formula>AK$9&gt;=20/24</formula>
    </cfRule>
    <cfRule type="expression" dxfId="10" priority="97">
      <formula>AND(AK$9&gt;=14/24,AK$9&lt;20/24)</formula>
    </cfRule>
    <cfRule type="expression" dxfId="9" priority="98">
      <formula>AND(AK$9&gt;=8/24,AK$9&lt;14/24)</formula>
    </cfRule>
    <cfRule type="expression" dxfId="8" priority="99">
      <formula>AK$9&lt;8/24</formula>
    </cfRule>
  </conditionalFormatting>
  <conditionalFormatting sqref="AM80:AO80 AM86:AO86">
    <cfRule type="expression" dxfId="7" priority="51">
      <formula>AM$9&gt;=20/24</formula>
    </cfRule>
    <cfRule type="expression" dxfId="6" priority="52">
      <formula>AND(AM$9&gt;=14/24,AM$9&lt;20/24)</formula>
    </cfRule>
    <cfRule type="expression" dxfId="5" priority="53">
      <formula>AND(AM$9&gt;=8/24,AM$9&lt;14/24)</formula>
    </cfRule>
    <cfRule type="expression" dxfId="4" priority="54">
      <formula>AM$9&lt;8/24</formula>
    </cfRule>
  </conditionalFormatting>
  <conditionalFormatting sqref="AO81:AO84">
    <cfRule type="expression" dxfId="3" priority="47">
      <formula>AO$9&gt;=20/24</formula>
    </cfRule>
    <cfRule type="expression" dxfId="2" priority="48">
      <formula>AND(AO$9&gt;=14/24,AO$9&lt;20/24)</formula>
    </cfRule>
    <cfRule type="expression" dxfId="1" priority="49">
      <formula>AND(AO$9&gt;=8/24,AO$9&lt;14/24)</formula>
    </cfRule>
    <cfRule type="expression" dxfId="0" priority="50">
      <formula>AO$9&lt;8/24</formula>
    </cfRule>
  </conditionalFormatting>
  <pageMargins left="0.7" right="0.7" top="0.75" bottom="0.75" header="0.3" footer="0.3"/>
  <drawing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J2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Y35" sqref="Y3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4" t="s">
        <v>1</v>
      </c>
      <c r="AH1" s="194"/>
      <c r="AI1" s="194"/>
      <c r="AL1" s="2"/>
    </row>
    <row r="2" spans="1:88" ht="20.25" x14ac:dyDescent="0.25">
      <c r="A2" s="3"/>
      <c r="B2" s="195" t="s">
        <v>2</v>
      </c>
      <c r="C2" s="4"/>
      <c r="D2" s="197" t="s">
        <v>3</v>
      </c>
      <c r="E2" s="4"/>
      <c r="F2" s="197" t="s">
        <v>4</v>
      </c>
      <c r="G2" s="4"/>
      <c r="H2" s="197" t="s">
        <v>5</v>
      </c>
      <c r="I2" s="5"/>
      <c r="J2" s="19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6"/>
      <c r="C3" s="16"/>
      <c r="D3" s="198"/>
      <c r="E3" s="16"/>
      <c r="F3" s="198"/>
      <c r="G3" s="16"/>
      <c r="H3" s="198"/>
      <c r="I3" s="17"/>
      <c r="J3" s="19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8" t="e">
        <f ca="1">"2079/"&amp;"06/"&amp;INT(MID(CELL("filename",D6),FIND("]",CELL("filename",D6))+1,200))</f>
        <v>#VALUE!</v>
      </c>
      <c r="C4" s="188"/>
      <c r="D4" s="188"/>
      <c r="E4" s="189" t="str">
        <f ca="1">IFERROR([1]!DateBStoAD(B4),"")</f>
        <v/>
      </c>
      <c r="F4" s="189"/>
      <c r="G4" s="189"/>
      <c r="H4" s="189" t="str">
        <f ca="1">TEXT(E4,"dddd")</f>
        <v/>
      </c>
      <c r="I4" s="18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274MW at 4:60hr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Load=274</v>
      </c>
      <c r="B7" s="35">
        <f t="shared" ref="B7:AF7" si="1">B81</f>
        <v>273.54000000000002</v>
      </c>
      <c r="C7" s="35">
        <f t="shared" si="1"/>
        <v>273.54000000000002</v>
      </c>
      <c r="D7" s="35">
        <f t="shared" si="1"/>
        <v>273.54000000000002</v>
      </c>
      <c r="E7" s="35">
        <f t="shared" si="1"/>
        <v>273.54000000000002</v>
      </c>
      <c r="F7" s="35">
        <f t="shared" si="1"/>
        <v>273.54000000000002</v>
      </c>
      <c r="G7" s="35">
        <f t="shared" si="1"/>
        <v>273.54000000000002</v>
      </c>
      <c r="H7" s="35">
        <f t="shared" si="1"/>
        <v>273.54000000000002</v>
      </c>
      <c r="I7" s="35">
        <f t="shared" si="1"/>
        <v>273.54000000000002</v>
      </c>
      <c r="J7" s="35">
        <f t="shared" si="1"/>
        <v>273.54000000000002</v>
      </c>
      <c r="K7" s="35">
        <f t="shared" si="1"/>
        <v>273.54000000000002</v>
      </c>
      <c r="L7" s="35">
        <f t="shared" si="1"/>
        <v>273.54000000000002</v>
      </c>
      <c r="M7" s="35">
        <f t="shared" si="1"/>
        <v>273.54000000000002</v>
      </c>
      <c r="N7" s="35">
        <f t="shared" si="1"/>
        <v>273.54000000000002</v>
      </c>
      <c r="O7" s="35">
        <f t="shared" si="1"/>
        <v>273.54000000000002</v>
      </c>
      <c r="P7" s="35">
        <f t="shared" si="1"/>
        <v>273.54000000000002</v>
      </c>
      <c r="Q7" s="35">
        <f t="shared" si="1"/>
        <v>273.54000000000002</v>
      </c>
      <c r="R7" s="35">
        <f t="shared" si="1"/>
        <v>273.54000000000002</v>
      </c>
      <c r="S7" s="35">
        <f t="shared" si="1"/>
        <v>273.54000000000002</v>
      </c>
      <c r="T7" s="35">
        <f t="shared" si="1"/>
        <v>273.54000000000002</v>
      </c>
      <c r="U7" s="35">
        <f t="shared" si="1"/>
        <v>273.54000000000002</v>
      </c>
      <c r="V7" s="35">
        <f t="shared" si="1"/>
        <v>273.54000000000002</v>
      </c>
      <c r="W7" s="35">
        <f t="shared" si="1"/>
        <v>273.54000000000002</v>
      </c>
      <c r="X7" s="35">
        <f t="shared" si="1"/>
        <v>273.54000000000002</v>
      </c>
      <c r="Y7" s="35">
        <f t="shared" si="1"/>
        <v>273.54000000000002</v>
      </c>
      <c r="Z7" s="35">
        <f t="shared" si="1"/>
        <v>273.54000000000002</v>
      </c>
      <c r="AA7" s="35">
        <f t="shared" si="1"/>
        <v>273.54000000000002</v>
      </c>
      <c r="AB7" s="35">
        <f t="shared" si="1"/>
        <v>273.54000000000002</v>
      </c>
      <c r="AC7" s="35">
        <f t="shared" si="1"/>
        <v>273.54000000000002</v>
      </c>
      <c r="AD7" s="35">
        <f t="shared" si="1"/>
        <v>273.54000000000002</v>
      </c>
      <c r="AE7" s="35">
        <f t="shared" si="1"/>
        <v>273.54000000000002</v>
      </c>
      <c r="AF7" s="35">
        <f t="shared" si="1"/>
        <v>273.54000000000002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0" t="s">
        <v>14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183" t="s">
        <v>15</v>
      </c>
      <c r="N8" s="184"/>
      <c r="O8" s="184"/>
      <c r="P8" s="184"/>
      <c r="Q8" s="184"/>
      <c r="R8" s="185"/>
      <c r="S8" s="183" t="s">
        <v>16</v>
      </c>
      <c r="T8" s="184"/>
      <c r="U8" s="184"/>
      <c r="V8" s="184"/>
      <c r="W8" s="184"/>
      <c r="X8" s="184"/>
      <c r="Y8" s="184"/>
      <c r="Z8" s="184"/>
      <c r="AA8" s="185"/>
      <c r="AB8" s="183" t="s">
        <v>17</v>
      </c>
      <c r="AC8" s="184"/>
      <c r="AD8" s="184"/>
      <c r="AE8" s="184"/>
      <c r="AF8" s="18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6" t="s">
        <v>18</v>
      </c>
      <c r="B9" s="180">
        <v>0</v>
      </c>
      <c r="C9" s="180">
        <v>4.1666666666666664E-2</v>
      </c>
      <c r="D9" s="180">
        <v>8.3333333333333301E-2</v>
      </c>
      <c r="E9" s="180">
        <v>0.125</v>
      </c>
      <c r="F9" s="180">
        <v>0.16666666666666699</v>
      </c>
      <c r="G9" s="180">
        <v>0.20833333333333301</v>
      </c>
      <c r="H9" s="180">
        <v>0.22916666666666666</v>
      </c>
      <c r="I9" s="180">
        <v>0.25</v>
      </c>
      <c r="J9" s="180">
        <v>0.27083333333333331</v>
      </c>
      <c r="K9" s="180">
        <v>0.29166666666666669</v>
      </c>
      <c r="L9" s="180">
        <v>0.3125</v>
      </c>
      <c r="M9" s="178">
        <v>0.33333333333333331</v>
      </c>
      <c r="N9" s="178">
        <v>0.375</v>
      </c>
      <c r="O9" s="178">
        <v>0.41666666666666702</v>
      </c>
      <c r="P9" s="178">
        <v>0.45833333333333298</v>
      </c>
      <c r="Q9" s="178">
        <v>0.5</v>
      </c>
      <c r="R9" s="178">
        <v>0.54166666666666696</v>
      </c>
      <c r="S9" s="176">
        <v>0.58333333333333304</v>
      </c>
      <c r="T9" s="176">
        <v>0.625</v>
      </c>
      <c r="U9" s="176">
        <v>0.66666666666666696</v>
      </c>
      <c r="V9" s="176">
        <v>0.70833333333333304</v>
      </c>
      <c r="W9" s="176">
        <v>0.72916666666666663</v>
      </c>
      <c r="X9" s="176">
        <v>0.75</v>
      </c>
      <c r="Y9" s="176">
        <v>0.77083333333333337</v>
      </c>
      <c r="Z9" s="176">
        <v>0.79166666666666663</v>
      </c>
      <c r="AA9" s="176">
        <v>0.8125</v>
      </c>
      <c r="AB9" s="176">
        <v>0.83333333333333337</v>
      </c>
      <c r="AC9" s="176">
        <v>0.85416666666666663</v>
      </c>
      <c r="AD9" s="176">
        <v>0.875</v>
      </c>
      <c r="AE9" s="176">
        <v>0.91666666666666696</v>
      </c>
      <c r="AF9" s="176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8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79"/>
      <c r="O10" s="179"/>
      <c r="P10" s="179"/>
      <c r="Q10" s="179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7">
        <v>52.4</v>
      </c>
      <c r="AH11" s="48">
        <f>MAX(B11:AF11)</f>
        <v>0</v>
      </c>
      <c r="AI11" s="49">
        <f>MIN(B11:AF11)</f>
        <v>0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51">
        <v>50</v>
      </c>
      <c r="AH12" s="48">
        <f t="shared" ref="AH12:AH75" si="2">MAX(B12:AF12)</f>
        <v>0</v>
      </c>
      <c r="AI12" s="49">
        <f t="shared" ref="AI12:AI75" si="3">MIN(B12:AF12)</f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51">
        <v>45</v>
      </c>
      <c r="AH13" s="48">
        <f t="shared" si="2"/>
        <v>0</v>
      </c>
      <c r="AI13" s="49">
        <f t="shared" si="3"/>
        <v>0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51">
        <v>42</v>
      </c>
      <c r="AH14" s="48">
        <f t="shared" si="2"/>
        <v>0</v>
      </c>
      <c r="AI14" s="49">
        <f t="shared" si="3"/>
        <v>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52">
        <v>30</v>
      </c>
      <c r="AH15" s="48">
        <f t="shared" si="2"/>
        <v>0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51">
        <v>24.2</v>
      </c>
      <c r="AH16" s="48">
        <f t="shared" si="2"/>
        <v>0</v>
      </c>
      <c r="AI16" s="49">
        <f t="shared" si="3"/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52">
        <v>30</v>
      </c>
      <c r="AH17" s="48">
        <f t="shared" si="2"/>
        <v>0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51">
        <v>25</v>
      </c>
      <c r="AH18" s="48">
        <f t="shared" si="2"/>
        <v>0</v>
      </c>
      <c r="AI18" s="49">
        <f t="shared" si="3"/>
        <v>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51">
        <v>25</v>
      </c>
      <c r="AH19" s="48">
        <f t="shared" si="2"/>
        <v>0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51">
        <v>25</v>
      </c>
      <c r="AH20" s="48">
        <f t="shared" si="2"/>
        <v>0</v>
      </c>
      <c r="AI20" s="49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51">
        <v>23.5</v>
      </c>
      <c r="AH21" s="48">
        <f t="shared" si="2"/>
        <v>0</v>
      </c>
      <c r="AI21" s="49">
        <f t="shared" si="3"/>
        <v>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51">
        <v>22.2</v>
      </c>
      <c r="AH22" s="48">
        <f t="shared" si="2"/>
        <v>0</v>
      </c>
      <c r="AI22" s="49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51">
        <v>22.1</v>
      </c>
      <c r="AH23" s="48">
        <f t="shared" si="2"/>
        <v>0</v>
      </c>
      <c r="AI23" s="49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51">
        <v>22</v>
      </c>
      <c r="AH24" s="48">
        <f t="shared" si="2"/>
        <v>0</v>
      </c>
      <c r="AI24" s="49">
        <f t="shared" si="3"/>
        <v>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51">
        <v>22</v>
      </c>
      <c r="AH25" s="48">
        <f t="shared" si="2"/>
        <v>0</v>
      </c>
      <c r="AI25" s="49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51">
        <v>20</v>
      </c>
      <c r="AH26" s="48">
        <f t="shared" si="2"/>
        <v>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51">
        <v>14.9</v>
      </c>
      <c r="AH27" s="48">
        <f t="shared" si="2"/>
        <v>0</v>
      </c>
      <c r="AI27" s="49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51">
        <v>13.6</v>
      </c>
      <c r="AH28" s="48">
        <f t="shared" si="2"/>
        <v>0</v>
      </c>
      <c r="AI28" s="49">
        <f t="shared" si="3"/>
        <v>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51">
        <v>13</v>
      </c>
      <c r="AH29" s="48">
        <f t="shared" si="2"/>
        <v>0</v>
      </c>
      <c r="AI29" s="49">
        <f t="shared" si="3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51">
        <v>12</v>
      </c>
      <c r="AH30" s="48">
        <f t="shared" si="2"/>
        <v>0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51">
        <v>12</v>
      </c>
      <c r="AH31" s="48">
        <f t="shared" si="2"/>
        <v>0</v>
      </c>
      <c r="AI31" s="49">
        <f t="shared" si="3"/>
        <v>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51">
        <v>12</v>
      </c>
      <c r="AH32" s="48">
        <f t="shared" si="2"/>
        <v>0</v>
      </c>
      <c r="AI32" s="49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53">
        <v>22</v>
      </c>
      <c r="AH33" s="48">
        <f t="shared" si="2"/>
        <v>0</v>
      </c>
      <c r="AI33" s="49">
        <f t="shared" si="3"/>
        <v>0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52">
        <v>11.88</v>
      </c>
      <c r="AH34" s="48">
        <f t="shared" si="2"/>
        <v>0</v>
      </c>
      <c r="AI34" s="49">
        <f t="shared" si="3"/>
        <v>0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55">
        <v>11</v>
      </c>
      <c r="AH35" s="48">
        <f t="shared" si="2"/>
        <v>0</v>
      </c>
      <c r="AI35" s="49">
        <f t="shared" si="3"/>
        <v>0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55">
        <v>10</v>
      </c>
      <c r="AH36" s="48">
        <f t="shared" si="2"/>
        <v>0</v>
      </c>
      <c r="AI36" s="49">
        <f t="shared" si="3"/>
        <v>0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55">
        <v>10</v>
      </c>
      <c r="AH37" s="48">
        <f t="shared" si="2"/>
        <v>0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270</v>
      </c>
      <c r="C38" s="57">
        <v>270</v>
      </c>
      <c r="D38" s="57">
        <v>270</v>
      </c>
      <c r="E38" s="57">
        <v>270</v>
      </c>
      <c r="F38" s="57">
        <v>270</v>
      </c>
      <c r="G38" s="57">
        <v>270</v>
      </c>
      <c r="H38" s="57">
        <v>270</v>
      </c>
      <c r="I38" s="57">
        <v>270</v>
      </c>
      <c r="J38" s="57">
        <v>270</v>
      </c>
      <c r="K38" s="57">
        <v>270</v>
      </c>
      <c r="L38" s="57">
        <v>270</v>
      </c>
      <c r="M38" s="57">
        <v>270</v>
      </c>
      <c r="N38" s="57">
        <v>270</v>
      </c>
      <c r="O38" s="57">
        <v>270</v>
      </c>
      <c r="P38" s="57">
        <v>270</v>
      </c>
      <c r="Q38" s="57">
        <v>270</v>
      </c>
      <c r="R38" s="57">
        <v>270</v>
      </c>
      <c r="S38" s="57">
        <v>270</v>
      </c>
      <c r="T38" s="57">
        <v>270</v>
      </c>
      <c r="U38" s="57">
        <v>270</v>
      </c>
      <c r="V38" s="57">
        <v>270</v>
      </c>
      <c r="W38" s="57">
        <v>270</v>
      </c>
      <c r="X38" s="57">
        <v>270</v>
      </c>
      <c r="Y38" s="57">
        <v>270</v>
      </c>
      <c r="Z38" s="57">
        <v>270</v>
      </c>
      <c r="AA38" s="57">
        <v>270</v>
      </c>
      <c r="AB38" s="57">
        <v>270</v>
      </c>
      <c r="AC38" s="57">
        <v>270</v>
      </c>
      <c r="AD38" s="57">
        <v>270</v>
      </c>
      <c r="AE38" s="57">
        <v>270</v>
      </c>
      <c r="AF38" s="57">
        <v>270</v>
      </c>
      <c r="AG38" s="55">
        <v>85</v>
      </c>
      <c r="AH38" s="48">
        <f t="shared" si="2"/>
        <v>270</v>
      </c>
      <c r="AI38" s="49">
        <f t="shared" si="3"/>
        <v>270</v>
      </c>
      <c r="AK38" s="50"/>
    </row>
    <row r="39" spans="1:88" ht="15.75" thickBot="1" x14ac:dyDescent="0.3">
      <c r="A39" s="58" t="s">
        <v>47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7"/>
      <c r="M39" s="57"/>
      <c r="N39" s="57"/>
      <c r="O39" s="57"/>
      <c r="P39" s="57"/>
      <c r="Q39" s="57"/>
      <c r="R39" s="57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5">
        <v>240</v>
      </c>
      <c r="AH39" s="48">
        <f t="shared" si="2"/>
        <v>0</v>
      </c>
      <c r="AI39" s="49">
        <f t="shared" si="3"/>
        <v>0</v>
      </c>
      <c r="AK39" s="50"/>
    </row>
    <row r="40" spans="1:88" ht="15.75" thickBot="1" x14ac:dyDescent="0.3">
      <c r="A40" s="60" t="s">
        <v>48</v>
      </c>
      <c r="B40" s="61">
        <f t="shared" ref="B40:AG40" si="4">SUM(B11:B38)</f>
        <v>270</v>
      </c>
      <c r="C40" s="61">
        <f t="shared" si="4"/>
        <v>270</v>
      </c>
      <c r="D40" s="61">
        <f t="shared" si="4"/>
        <v>270</v>
      </c>
      <c r="E40" s="61">
        <f t="shared" si="4"/>
        <v>270</v>
      </c>
      <c r="F40" s="61">
        <f t="shared" si="4"/>
        <v>270</v>
      </c>
      <c r="G40" s="61">
        <f t="shared" si="4"/>
        <v>270</v>
      </c>
      <c r="H40" s="61">
        <f t="shared" si="4"/>
        <v>270</v>
      </c>
      <c r="I40" s="61">
        <f t="shared" si="4"/>
        <v>270</v>
      </c>
      <c r="J40" s="61">
        <f t="shared" si="4"/>
        <v>270</v>
      </c>
      <c r="K40" s="61">
        <f t="shared" si="4"/>
        <v>270</v>
      </c>
      <c r="L40" s="61">
        <f t="shared" si="4"/>
        <v>270</v>
      </c>
      <c r="M40" s="61">
        <f t="shared" si="4"/>
        <v>270</v>
      </c>
      <c r="N40" s="61">
        <f t="shared" si="4"/>
        <v>270</v>
      </c>
      <c r="O40" s="61">
        <f t="shared" si="4"/>
        <v>270</v>
      </c>
      <c r="P40" s="61">
        <f t="shared" si="4"/>
        <v>270</v>
      </c>
      <c r="Q40" s="61">
        <f t="shared" si="4"/>
        <v>270</v>
      </c>
      <c r="R40" s="61">
        <f t="shared" si="4"/>
        <v>270</v>
      </c>
      <c r="S40" s="61">
        <f t="shared" si="4"/>
        <v>270</v>
      </c>
      <c r="T40" s="61">
        <f t="shared" si="4"/>
        <v>270</v>
      </c>
      <c r="U40" s="61">
        <f t="shared" si="4"/>
        <v>270</v>
      </c>
      <c r="V40" s="61">
        <f t="shared" si="4"/>
        <v>270</v>
      </c>
      <c r="W40" s="61">
        <f t="shared" si="4"/>
        <v>270</v>
      </c>
      <c r="X40" s="61">
        <f t="shared" si="4"/>
        <v>270</v>
      </c>
      <c r="Y40" s="61">
        <f t="shared" si="4"/>
        <v>270</v>
      </c>
      <c r="Z40" s="61">
        <f t="shared" si="4"/>
        <v>270</v>
      </c>
      <c r="AA40" s="61">
        <f t="shared" si="4"/>
        <v>270</v>
      </c>
      <c r="AB40" s="61">
        <f t="shared" si="4"/>
        <v>270</v>
      </c>
      <c r="AC40" s="61">
        <f t="shared" si="4"/>
        <v>270</v>
      </c>
      <c r="AD40" s="61">
        <f t="shared" si="4"/>
        <v>270</v>
      </c>
      <c r="AE40" s="61">
        <f t="shared" si="4"/>
        <v>270</v>
      </c>
      <c r="AF40" s="61">
        <f t="shared" si="4"/>
        <v>270</v>
      </c>
      <c r="AG40" s="62">
        <f t="shared" si="4"/>
        <v>707.78000000000009</v>
      </c>
      <c r="AH40" s="48">
        <f t="shared" si="2"/>
        <v>270</v>
      </c>
      <c r="AI40" s="49">
        <f t="shared" si="3"/>
        <v>270</v>
      </c>
      <c r="AK40" s="50"/>
    </row>
    <row r="41" spans="1:88" x14ac:dyDescent="0.25">
      <c r="A41" s="63" t="s">
        <v>49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52">
        <v>456</v>
      </c>
      <c r="AH41" s="48">
        <f t="shared" si="2"/>
        <v>0</v>
      </c>
      <c r="AI41" s="49">
        <f t="shared" si="3"/>
        <v>0</v>
      </c>
      <c r="AK41" s="50"/>
    </row>
    <row r="42" spans="1:88" x14ac:dyDescent="0.25">
      <c r="A42" s="64" t="s">
        <v>50</v>
      </c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55">
        <v>60</v>
      </c>
      <c r="AH42" s="48">
        <f t="shared" si="2"/>
        <v>0</v>
      </c>
      <c r="AI42" s="49">
        <f t="shared" si="3"/>
        <v>0</v>
      </c>
      <c r="AK42" s="50"/>
    </row>
    <row r="43" spans="1:88" ht="15.75" thickBot="1" x14ac:dyDescent="0.3">
      <c r="A43" s="66" t="s">
        <v>51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8">
        <v>22.1</v>
      </c>
      <c r="AH43" s="48">
        <f t="shared" si="2"/>
        <v>0</v>
      </c>
      <c r="AI43" s="49">
        <f t="shared" si="3"/>
        <v>0</v>
      </c>
      <c r="AK43" s="50"/>
    </row>
    <row r="44" spans="1:88" ht="15.75" thickBot="1" x14ac:dyDescent="0.3">
      <c r="A44" s="69" t="s">
        <v>52</v>
      </c>
      <c r="B44" s="61">
        <f t="shared" ref="B44:AG44" si="5">SUM(B41:B43)</f>
        <v>0</v>
      </c>
      <c r="C44" s="61">
        <f t="shared" si="5"/>
        <v>0</v>
      </c>
      <c r="D44" s="61">
        <f t="shared" si="5"/>
        <v>0</v>
      </c>
      <c r="E44" s="61">
        <f t="shared" si="5"/>
        <v>0</v>
      </c>
      <c r="F44" s="61">
        <f t="shared" si="5"/>
        <v>0</v>
      </c>
      <c r="G44" s="61">
        <f t="shared" si="5"/>
        <v>0</v>
      </c>
      <c r="H44" s="61">
        <f t="shared" si="5"/>
        <v>0</v>
      </c>
      <c r="I44" s="61">
        <f t="shared" si="5"/>
        <v>0</v>
      </c>
      <c r="J44" s="61">
        <f t="shared" si="5"/>
        <v>0</v>
      </c>
      <c r="K44" s="61">
        <f t="shared" si="5"/>
        <v>0</v>
      </c>
      <c r="L44" s="61">
        <f t="shared" si="5"/>
        <v>0</v>
      </c>
      <c r="M44" s="61">
        <f t="shared" si="5"/>
        <v>0</v>
      </c>
      <c r="N44" s="61">
        <f t="shared" si="5"/>
        <v>0</v>
      </c>
      <c r="O44" s="61">
        <f t="shared" si="5"/>
        <v>0</v>
      </c>
      <c r="P44" s="61">
        <f t="shared" si="5"/>
        <v>0</v>
      </c>
      <c r="Q44" s="61">
        <f t="shared" si="5"/>
        <v>0</v>
      </c>
      <c r="R44" s="61">
        <f t="shared" si="5"/>
        <v>0</v>
      </c>
      <c r="S44" s="61">
        <f t="shared" si="5"/>
        <v>0</v>
      </c>
      <c r="T44" s="61">
        <f t="shared" si="5"/>
        <v>0</v>
      </c>
      <c r="U44" s="61">
        <f t="shared" si="5"/>
        <v>0</v>
      </c>
      <c r="V44" s="61">
        <f t="shared" si="5"/>
        <v>0</v>
      </c>
      <c r="W44" s="61">
        <f t="shared" si="5"/>
        <v>0</v>
      </c>
      <c r="X44" s="61">
        <f t="shared" si="5"/>
        <v>0</v>
      </c>
      <c r="Y44" s="61">
        <f t="shared" si="5"/>
        <v>0</v>
      </c>
      <c r="Z44" s="61">
        <f t="shared" si="5"/>
        <v>0</v>
      </c>
      <c r="AA44" s="61">
        <f t="shared" si="5"/>
        <v>0</v>
      </c>
      <c r="AB44" s="61">
        <f t="shared" si="5"/>
        <v>0</v>
      </c>
      <c r="AC44" s="61">
        <f t="shared" si="5"/>
        <v>0</v>
      </c>
      <c r="AD44" s="61">
        <f t="shared" si="5"/>
        <v>0</v>
      </c>
      <c r="AE44" s="61">
        <f t="shared" si="5"/>
        <v>0</v>
      </c>
      <c r="AF44" s="61">
        <f t="shared" si="5"/>
        <v>0</v>
      </c>
      <c r="AG44" s="62">
        <f t="shared" si="5"/>
        <v>538.1</v>
      </c>
      <c r="AH44" s="48">
        <f t="shared" si="2"/>
        <v>0</v>
      </c>
      <c r="AI44" s="49">
        <f t="shared" si="3"/>
        <v>0</v>
      </c>
      <c r="AK44" s="50"/>
    </row>
    <row r="45" spans="1:88" x14ac:dyDescent="0.25">
      <c r="A45" s="44" t="s">
        <v>53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52">
        <v>144</v>
      </c>
      <c r="AH45" s="48">
        <f t="shared" si="2"/>
        <v>0</v>
      </c>
      <c r="AI45" s="49">
        <f t="shared" si="3"/>
        <v>0</v>
      </c>
      <c r="AK45" s="50"/>
    </row>
    <row r="46" spans="1:88" x14ac:dyDescent="0.25">
      <c r="A46" s="54" t="s">
        <v>54</v>
      </c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45"/>
      <c r="O46" s="45"/>
      <c r="P46" s="45"/>
      <c r="Q46" s="45"/>
      <c r="R46" s="4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55">
        <v>70</v>
      </c>
      <c r="AH46" s="48">
        <f t="shared" si="2"/>
        <v>0</v>
      </c>
      <c r="AI46" s="49">
        <f t="shared" si="3"/>
        <v>0</v>
      </c>
      <c r="AK46" s="50"/>
    </row>
    <row r="47" spans="1:88" x14ac:dyDescent="0.25">
      <c r="A47" s="54" t="s">
        <v>55</v>
      </c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45"/>
      <c r="O47" s="45"/>
      <c r="P47" s="45"/>
      <c r="Q47" s="45"/>
      <c r="R47" s="4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55">
        <v>69</v>
      </c>
      <c r="AH47" s="48">
        <f t="shared" si="2"/>
        <v>0</v>
      </c>
      <c r="AI47" s="49">
        <f t="shared" si="3"/>
        <v>0</v>
      </c>
      <c r="AK47" s="50"/>
    </row>
    <row r="48" spans="1:88" x14ac:dyDescent="0.25">
      <c r="A48" s="54" t="s">
        <v>56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65"/>
      <c r="N48" s="45"/>
      <c r="O48" s="45"/>
      <c r="P48" s="45"/>
      <c r="Q48" s="45"/>
      <c r="R48" s="45"/>
      <c r="S48" s="45"/>
      <c r="T48" s="45"/>
      <c r="U48" s="45"/>
      <c r="V48" s="65"/>
      <c r="W48" s="65"/>
      <c r="X48" s="65"/>
      <c r="Y48" s="65"/>
      <c r="Z48" s="65"/>
      <c r="AA48" s="65"/>
      <c r="AB48" s="57"/>
      <c r="AC48" s="57"/>
      <c r="AD48" s="57"/>
      <c r="AE48" s="57"/>
      <c r="AF48" s="57"/>
      <c r="AG48" s="55">
        <v>60</v>
      </c>
      <c r="AH48" s="48">
        <f t="shared" si="2"/>
        <v>0</v>
      </c>
      <c r="AI48" s="49">
        <f t="shared" si="3"/>
        <v>0</v>
      </c>
      <c r="AK48" s="50"/>
    </row>
    <row r="49" spans="1:41" x14ac:dyDescent="0.25">
      <c r="A49" s="54" t="s">
        <v>57</v>
      </c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65"/>
      <c r="N49" s="45"/>
      <c r="O49" s="45"/>
      <c r="P49" s="45"/>
      <c r="Q49" s="45"/>
      <c r="R49" s="45"/>
      <c r="S49" s="45"/>
      <c r="T49" s="45"/>
      <c r="U49" s="45"/>
      <c r="V49" s="65"/>
      <c r="W49" s="65"/>
      <c r="X49" s="65"/>
      <c r="Y49" s="65"/>
      <c r="Z49" s="65"/>
      <c r="AA49" s="65"/>
      <c r="AB49" s="57"/>
      <c r="AC49" s="57"/>
      <c r="AD49" s="57"/>
      <c r="AE49" s="57"/>
      <c r="AF49" s="57"/>
      <c r="AG49" s="55">
        <v>30</v>
      </c>
      <c r="AH49" s="48">
        <f t="shared" si="2"/>
        <v>0</v>
      </c>
      <c r="AI49" s="49">
        <f t="shared" si="3"/>
        <v>0</v>
      </c>
      <c r="AK49" s="50"/>
    </row>
    <row r="50" spans="1:41" x14ac:dyDescent="0.25">
      <c r="A50" s="54" t="s">
        <v>58</v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65"/>
      <c r="AC50" s="65"/>
      <c r="AD50" s="65"/>
      <c r="AE50" s="65"/>
      <c r="AF50" s="65"/>
      <c r="AG50" s="55">
        <v>25</v>
      </c>
      <c r="AH50" s="48">
        <f t="shared" si="2"/>
        <v>0</v>
      </c>
      <c r="AI50" s="49">
        <f t="shared" si="3"/>
        <v>0</v>
      </c>
      <c r="AK50" s="50"/>
    </row>
    <row r="51" spans="1:41" x14ac:dyDescent="0.25">
      <c r="A51" s="54" t="s">
        <v>59</v>
      </c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65"/>
      <c r="AC51" s="65"/>
      <c r="AD51" s="65"/>
      <c r="AE51" s="65"/>
      <c r="AF51" s="65"/>
      <c r="AG51" s="55">
        <v>24</v>
      </c>
      <c r="AH51" s="48">
        <f t="shared" si="2"/>
        <v>0</v>
      </c>
      <c r="AI51" s="49">
        <f t="shared" si="3"/>
        <v>0</v>
      </c>
      <c r="AK51" s="50"/>
    </row>
    <row r="52" spans="1:41" x14ac:dyDescent="0.25">
      <c r="A52" s="54" t="s">
        <v>60</v>
      </c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4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4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55">
        <v>14.1</v>
      </c>
      <c r="AH53" s="48">
        <f t="shared" si="2"/>
        <v>0</v>
      </c>
      <c r="AI53" s="49">
        <f t="shared" si="3"/>
        <v>0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4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55">
        <v>14</v>
      </c>
      <c r="AH54" s="48">
        <f t="shared" si="2"/>
        <v>0</v>
      </c>
      <c r="AI54" s="49">
        <f t="shared" si="3"/>
        <v>0</v>
      </c>
      <c r="AK54" s="50"/>
    </row>
    <row r="55" spans="1:41" x14ac:dyDescent="0.25">
      <c r="A55" s="54" t="s">
        <v>63</v>
      </c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4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55">
        <v>10.050000000000001</v>
      </c>
      <c r="AH55" s="48">
        <f t="shared" si="2"/>
        <v>0</v>
      </c>
      <c r="AI55" s="49">
        <f t="shared" si="3"/>
        <v>0</v>
      </c>
      <c r="AK55" s="50"/>
    </row>
    <row r="56" spans="1:41" x14ac:dyDescent="0.25">
      <c r="A56" s="54" t="s">
        <v>64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4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55">
        <v>6.2</v>
      </c>
      <c r="AH56" s="48">
        <f t="shared" si="2"/>
        <v>0</v>
      </c>
      <c r="AI56" s="49">
        <f t="shared" si="3"/>
        <v>0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:AG58" si="6">SUM(B45:B57)</f>
        <v>3.54</v>
      </c>
      <c r="C58" s="61">
        <f t="shared" si="6"/>
        <v>3.54</v>
      </c>
      <c r="D58" s="61">
        <f t="shared" si="6"/>
        <v>3.54</v>
      </c>
      <c r="E58" s="61">
        <f t="shared" si="6"/>
        <v>3.54</v>
      </c>
      <c r="F58" s="61">
        <f t="shared" si="6"/>
        <v>3.54</v>
      </c>
      <c r="G58" s="61">
        <f t="shared" si="6"/>
        <v>3.54</v>
      </c>
      <c r="H58" s="61">
        <f t="shared" si="6"/>
        <v>3.54</v>
      </c>
      <c r="I58" s="61">
        <f t="shared" si="6"/>
        <v>3.54</v>
      </c>
      <c r="J58" s="61">
        <f t="shared" si="6"/>
        <v>3.54</v>
      </c>
      <c r="K58" s="61">
        <f t="shared" si="6"/>
        <v>3.54</v>
      </c>
      <c r="L58" s="61">
        <f t="shared" si="6"/>
        <v>3.54</v>
      </c>
      <c r="M58" s="61">
        <f t="shared" si="6"/>
        <v>3.54</v>
      </c>
      <c r="N58" s="61">
        <f t="shared" si="6"/>
        <v>3.54</v>
      </c>
      <c r="O58" s="61">
        <f t="shared" si="6"/>
        <v>3.54</v>
      </c>
      <c r="P58" s="61">
        <f t="shared" si="6"/>
        <v>3.54</v>
      </c>
      <c r="Q58" s="61">
        <f t="shared" si="6"/>
        <v>3.54</v>
      </c>
      <c r="R58" s="61">
        <f t="shared" si="6"/>
        <v>3.54</v>
      </c>
      <c r="S58" s="61">
        <f t="shared" si="6"/>
        <v>3.54</v>
      </c>
      <c r="T58" s="61">
        <f t="shared" si="6"/>
        <v>3.54</v>
      </c>
      <c r="U58" s="61">
        <f t="shared" si="6"/>
        <v>3.54</v>
      </c>
      <c r="V58" s="61">
        <f t="shared" si="6"/>
        <v>3.54</v>
      </c>
      <c r="W58" s="61">
        <f t="shared" si="6"/>
        <v>3.54</v>
      </c>
      <c r="X58" s="61">
        <f t="shared" si="6"/>
        <v>3.54</v>
      </c>
      <c r="Y58" s="61">
        <f t="shared" si="6"/>
        <v>3.54</v>
      </c>
      <c r="Z58" s="61">
        <f t="shared" si="6"/>
        <v>3.54</v>
      </c>
      <c r="AA58" s="61">
        <f t="shared" si="6"/>
        <v>3.54</v>
      </c>
      <c r="AB58" s="61">
        <f t="shared" si="6"/>
        <v>3.54</v>
      </c>
      <c r="AC58" s="61">
        <f t="shared" si="6"/>
        <v>3.54</v>
      </c>
      <c r="AD58" s="61">
        <f t="shared" si="6"/>
        <v>3.54</v>
      </c>
      <c r="AE58" s="61">
        <f t="shared" si="6"/>
        <v>3.54</v>
      </c>
      <c r="AF58" s="61">
        <f t="shared" si="6"/>
        <v>3.54</v>
      </c>
      <c r="AG58" s="62">
        <f t="shared" si="6"/>
        <v>489.91</v>
      </c>
      <c r="AH58" s="48">
        <f t="shared" si="2"/>
        <v>3.54</v>
      </c>
      <c r="AI58" s="49">
        <f t="shared" si="3"/>
        <v>3.54</v>
      </c>
      <c r="AK58" s="50"/>
    </row>
    <row r="59" spans="1:41" x14ac:dyDescent="0.25">
      <c r="A59" s="44" t="s">
        <v>67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AG62" si="7">SUM(B59:B61)</f>
        <v>0</v>
      </c>
      <c r="C62" s="61">
        <f t="shared" si="7"/>
        <v>0</v>
      </c>
      <c r="D62" s="61">
        <f t="shared" si="7"/>
        <v>0</v>
      </c>
      <c r="E62" s="61">
        <f t="shared" si="7"/>
        <v>0</v>
      </c>
      <c r="F62" s="61">
        <f t="shared" si="7"/>
        <v>0</v>
      </c>
      <c r="G62" s="61">
        <f t="shared" si="7"/>
        <v>0</v>
      </c>
      <c r="H62" s="61">
        <f t="shared" si="7"/>
        <v>0</v>
      </c>
      <c r="I62" s="61">
        <f t="shared" si="7"/>
        <v>0</v>
      </c>
      <c r="J62" s="61">
        <f t="shared" si="7"/>
        <v>0</v>
      </c>
      <c r="K62" s="61">
        <f t="shared" si="7"/>
        <v>0</v>
      </c>
      <c r="L62" s="61">
        <f t="shared" si="7"/>
        <v>0</v>
      </c>
      <c r="M62" s="61">
        <f t="shared" si="7"/>
        <v>0</v>
      </c>
      <c r="N62" s="61">
        <f t="shared" si="7"/>
        <v>0</v>
      </c>
      <c r="O62" s="61">
        <f t="shared" si="7"/>
        <v>0</v>
      </c>
      <c r="P62" s="61">
        <f t="shared" si="7"/>
        <v>0</v>
      </c>
      <c r="Q62" s="61">
        <f t="shared" si="7"/>
        <v>0</v>
      </c>
      <c r="R62" s="61">
        <f t="shared" si="7"/>
        <v>0</v>
      </c>
      <c r="S62" s="61">
        <f t="shared" si="7"/>
        <v>0</v>
      </c>
      <c r="T62" s="61">
        <f t="shared" si="7"/>
        <v>0</v>
      </c>
      <c r="U62" s="61">
        <f t="shared" si="7"/>
        <v>0</v>
      </c>
      <c r="V62" s="61">
        <f t="shared" si="7"/>
        <v>0</v>
      </c>
      <c r="W62" s="61">
        <f t="shared" si="7"/>
        <v>0</v>
      </c>
      <c r="X62" s="61">
        <f t="shared" si="7"/>
        <v>0</v>
      </c>
      <c r="Y62" s="61">
        <f t="shared" si="7"/>
        <v>0</v>
      </c>
      <c r="Z62" s="61">
        <f t="shared" si="7"/>
        <v>0</v>
      </c>
      <c r="AA62" s="61">
        <f t="shared" si="7"/>
        <v>0</v>
      </c>
      <c r="AB62" s="61">
        <f t="shared" si="7"/>
        <v>0</v>
      </c>
      <c r="AC62" s="61">
        <f t="shared" si="7"/>
        <v>0</v>
      </c>
      <c r="AD62" s="61">
        <f t="shared" si="7"/>
        <v>0</v>
      </c>
      <c r="AE62" s="61">
        <f t="shared" si="7"/>
        <v>0</v>
      </c>
      <c r="AF62" s="61">
        <f t="shared" si="7"/>
        <v>0</v>
      </c>
      <c r="AG62" s="62">
        <f t="shared" si="7"/>
        <v>106</v>
      </c>
      <c r="AH62" s="48">
        <f t="shared" si="2"/>
        <v>0</v>
      </c>
      <c r="AI62" s="49">
        <f t="shared" si="3"/>
        <v>0</v>
      </c>
      <c r="AK62" s="50"/>
    </row>
    <row r="63" spans="1:41" x14ac:dyDescent="0.25">
      <c r="A63" s="44" t="s">
        <v>71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75"/>
      <c r="AH65" s="48">
        <f t="shared" si="2"/>
        <v>0</v>
      </c>
      <c r="AI65" s="49">
        <f t="shared" si="3"/>
        <v>0</v>
      </c>
      <c r="AK65" s="50"/>
    </row>
    <row r="66" spans="1:37" x14ac:dyDescent="0.25">
      <c r="A66" s="54" t="s">
        <v>74</v>
      </c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:AF74" si="8">SUMIF(B63:B73,"&gt;0")</f>
        <v>0</v>
      </c>
      <c r="C74" s="61">
        <f t="shared" si="8"/>
        <v>0</v>
      </c>
      <c r="D74" s="61">
        <f t="shared" si="8"/>
        <v>0</v>
      </c>
      <c r="E74" s="61">
        <f t="shared" si="8"/>
        <v>0</v>
      </c>
      <c r="F74" s="61">
        <f t="shared" si="8"/>
        <v>0</v>
      </c>
      <c r="G74" s="61">
        <f t="shared" si="8"/>
        <v>0</v>
      </c>
      <c r="H74" s="61">
        <f t="shared" si="8"/>
        <v>0</v>
      </c>
      <c r="I74" s="61">
        <f t="shared" si="8"/>
        <v>0</v>
      </c>
      <c r="J74" s="61">
        <f t="shared" si="8"/>
        <v>0</v>
      </c>
      <c r="K74" s="61">
        <f t="shared" si="8"/>
        <v>0</v>
      </c>
      <c r="L74" s="61">
        <f t="shared" si="8"/>
        <v>0</v>
      </c>
      <c r="M74" s="61">
        <f t="shared" si="8"/>
        <v>0</v>
      </c>
      <c r="N74" s="61">
        <f t="shared" si="8"/>
        <v>0</v>
      </c>
      <c r="O74" s="61">
        <f t="shared" si="8"/>
        <v>0</v>
      </c>
      <c r="P74" s="61">
        <f t="shared" si="8"/>
        <v>0</v>
      </c>
      <c r="Q74" s="61">
        <f t="shared" si="8"/>
        <v>0</v>
      </c>
      <c r="R74" s="61">
        <f t="shared" si="8"/>
        <v>0</v>
      </c>
      <c r="S74" s="61">
        <f t="shared" si="8"/>
        <v>0</v>
      </c>
      <c r="T74" s="61">
        <f t="shared" si="8"/>
        <v>0</v>
      </c>
      <c r="U74" s="61">
        <f t="shared" si="8"/>
        <v>0</v>
      </c>
      <c r="V74" s="61">
        <f t="shared" si="8"/>
        <v>0</v>
      </c>
      <c r="W74" s="61">
        <f t="shared" si="8"/>
        <v>0</v>
      </c>
      <c r="X74" s="61">
        <f t="shared" si="8"/>
        <v>0</v>
      </c>
      <c r="Y74" s="61">
        <f t="shared" si="8"/>
        <v>0</v>
      </c>
      <c r="Z74" s="61">
        <f t="shared" si="8"/>
        <v>0</v>
      </c>
      <c r="AA74" s="61">
        <f t="shared" si="8"/>
        <v>0</v>
      </c>
      <c r="AB74" s="61">
        <f t="shared" si="8"/>
        <v>0</v>
      </c>
      <c r="AC74" s="61">
        <f t="shared" si="8"/>
        <v>0</v>
      </c>
      <c r="AD74" s="61">
        <f t="shared" si="8"/>
        <v>0</v>
      </c>
      <c r="AE74" s="61">
        <f t="shared" si="8"/>
        <v>0</v>
      </c>
      <c r="AF74" s="61">
        <f t="shared" si="8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44" t="s">
        <v>83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5">
        <v>14.4</v>
      </c>
      <c r="AH76" s="48">
        <f t="shared" ref="AH76:AH109" si="9">MAX(B76:AF76)</f>
        <v>0</v>
      </c>
      <c r="AI76" s="49">
        <f t="shared" ref="AI76:AI109" si="10">MIN(B76:AF76)</f>
        <v>0</v>
      </c>
      <c r="AK76" s="50"/>
    </row>
    <row r="77" spans="1:37" ht="15.75" thickBot="1" x14ac:dyDescent="0.3">
      <c r="A77" s="78" t="s">
        <v>85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80">
        <v>2</v>
      </c>
      <c r="AH77" s="48">
        <f t="shared" si="9"/>
        <v>0</v>
      </c>
      <c r="AI77" s="49">
        <f t="shared" si="10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9"/>
        <v>0</v>
      </c>
      <c r="AI78" s="49">
        <f t="shared" si="10"/>
        <v>0</v>
      </c>
    </row>
    <row r="79" spans="1:37" ht="15.75" thickBot="1" x14ac:dyDescent="0.3">
      <c r="A79" s="74" t="s">
        <v>87</v>
      </c>
      <c r="B79" s="83">
        <f t="shared" ref="B79:AG79" si="11">B40+B44+B62+B58+B74+B78</f>
        <v>273.54000000000002</v>
      </c>
      <c r="C79" s="83">
        <f t="shared" si="11"/>
        <v>273.54000000000002</v>
      </c>
      <c r="D79" s="83">
        <f t="shared" si="11"/>
        <v>273.54000000000002</v>
      </c>
      <c r="E79" s="83">
        <f t="shared" si="11"/>
        <v>273.54000000000002</v>
      </c>
      <c r="F79" s="83">
        <f t="shared" si="11"/>
        <v>273.54000000000002</v>
      </c>
      <c r="G79" s="83">
        <f t="shared" si="11"/>
        <v>273.54000000000002</v>
      </c>
      <c r="H79" s="83">
        <f t="shared" si="11"/>
        <v>273.54000000000002</v>
      </c>
      <c r="I79" s="83">
        <f t="shared" si="11"/>
        <v>273.54000000000002</v>
      </c>
      <c r="J79" s="83">
        <f t="shared" si="11"/>
        <v>273.54000000000002</v>
      </c>
      <c r="K79" s="83">
        <f t="shared" si="11"/>
        <v>273.54000000000002</v>
      </c>
      <c r="L79" s="83">
        <f t="shared" si="11"/>
        <v>273.54000000000002</v>
      </c>
      <c r="M79" s="83">
        <f t="shared" si="11"/>
        <v>273.54000000000002</v>
      </c>
      <c r="N79" s="83">
        <f t="shared" si="11"/>
        <v>273.54000000000002</v>
      </c>
      <c r="O79" s="83">
        <f t="shared" si="11"/>
        <v>273.54000000000002</v>
      </c>
      <c r="P79" s="83">
        <f t="shared" si="11"/>
        <v>273.54000000000002</v>
      </c>
      <c r="Q79" s="83">
        <f t="shared" si="11"/>
        <v>273.54000000000002</v>
      </c>
      <c r="R79" s="83">
        <f t="shared" si="11"/>
        <v>273.54000000000002</v>
      </c>
      <c r="S79" s="83">
        <f t="shared" si="11"/>
        <v>273.54000000000002</v>
      </c>
      <c r="T79" s="83">
        <f t="shared" si="11"/>
        <v>273.54000000000002</v>
      </c>
      <c r="U79" s="83">
        <f t="shared" si="11"/>
        <v>273.54000000000002</v>
      </c>
      <c r="V79" s="83">
        <f t="shared" si="11"/>
        <v>273.54000000000002</v>
      </c>
      <c r="W79" s="83">
        <f t="shared" si="11"/>
        <v>273.54000000000002</v>
      </c>
      <c r="X79" s="83">
        <f t="shared" si="11"/>
        <v>273.54000000000002</v>
      </c>
      <c r="Y79" s="83">
        <f t="shared" si="11"/>
        <v>273.54000000000002</v>
      </c>
      <c r="Z79" s="83">
        <f t="shared" si="11"/>
        <v>273.54000000000002</v>
      </c>
      <c r="AA79" s="83">
        <f t="shared" si="11"/>
        <v>273.54000000000002</v>
      </c>
      <c r="AB79" s="83">
        <f t="shared" si="11"/>
        <v>273.54000000000002</v>
      </c>
      <c r="AC79" s="83">
        <f t="shared" si="11"/>
        <v>273.54000000000002</v>
      </c>
      <c r="AD79" s="83">
        <f t="shared" si="11"/>
        <v>273.54000000000002</v>
      </c>
      <c r="AE79" s="83">
        <f t="shared" si="11"/>
        <v>273.54000000000002</v>
      </c>
      <c r="AF79" s="83">
        <f t="shared" si="11"/>
        <v>273.54000000000002</v>
      </c>
      <c r="AG79" s="62">
        <f t="shared" si="11"/>
        <v>1897.1900000000003</v>
      </c>
      <c r="AH79" s="48">
        <f t="shared" si="9"/>
        <v>273.54000000000002</v>
      </c>
      <c r="AI79" s="49">
        <f t="shared" si="10"/>
        <v>273.54000000000002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9"/>
        <v>0</v>
      </c>
      <c r="AI80" s="49">
        <f t="shared" si="10"/>
        <v>0</v>
      </c>
    </row>
    <row r="81" spans="1:37" ht="15.75" thickBot="1" x14ac:dyDescent="0.3">
      <c r="A81" s="74" t="s">
        <v>89</v>
      </c>
      <c r="B81" s="83">
        <f t="shared" ref="B81:AF81" si="12">B79+B80</f>
        <v>273.54000000000002</v>
      </c>
      <c r="C81" s="83">
        <f t="shared" si="12"/>
        <v>273.54000000000002</v>
      </c>
      <c r="D81" s="83">
        <f t="shared" si="12"/>
        <v>273.54000000000002</v>
      </c>
      <c r="E81" s="83">
        <f t="shared" si="12"/>
        <v>273.54000000000002</v>
      </c>
      <c r="F81" s="83">
        <f t="shared" si="12"/>
        <v>273.54000000000002</v>
      </c>
      <c r="G81" s="83">
        <f t="shared" si="12"/>
        <v>273.54000000000002</v>
      </c>
      <c r="H81" s="83">
        <f t="shared" si="12"/>
        <v>273.54000000000002</v>
      </c>
      <c r="I81" s="83">
        <f t="shared" si="12"/>
        <v>273.54000000000002</v>
      </c>
      <c r="J81" s="83">
        <f t="shared" si="12"/>
        <v>273.54000000000002</v>
      </c>
      <c r="K81" s="83">
        <f t="shared" si="12"/>
        <v>273.54000000000002</v>
      </c>
      <c r="L81" s="83">
        <f t="shared" si="12"/>
        <v>273.54000000000002</v>
      </c>
      <c r="M81" s="83">
        <f t="shared" si="12"/>
        <v>273.54000000000002</v>
      </c>
      <c r="N81" s="83">
        <f t="shared" si="12"/>
        <v>273.54000000000002</v>
      </c>
      <c r="O81" s="83">
        <f t="shared" si="12"/>
        <v>273.54000000000002</v>
      </c>
      <c r="P81" s="83">
        <f t="shared" si="12"/>
        <v>273.54000000000002</v>
      </c>
      <c r="Q81" s="83">
        <f t="shared" si="12"/>
        <v>273.54000000000002</v>
      </c>
      <c r="R81" s="83">
        <f t="shared" si="12"/>
        <v>273.54000000000002</v>
      </c>
      <c r="S81" s="83">
        <f t="shared" si="12"/>
        <v>273.54000000000002</v>
      </c>
      <c r="T81" s="83">
        <f t="shared" si="12"/>
        <v>273.54000000000002</v>
      </c>
      <c r="U81" s="83">
        <f t="shared" si="12"/>
        <v>273.54000000000002</v>
      </c>
      <c r="V81" s="83">
        <f t="shared" si="12"/>
        <v>273.54000000000002</v>
      </c>
      <c r="W81" s="83">
        <f t="shared" si="12"/>
        <v>273.54000000000002</v>
      </c>
      <c r="X81" s="83">
        <f t="shared" si="12"/>
        <v>273.54000000000002</v>
      </c>
      <c r="Y81" s="83">
        <f t="shared" si="12"/>
        <v>273.54000000000002</v>
      </c>
      <c r="Z81" s="83">
        <f t="shared" si="12"/>
        <v>273.54000000000002</v>
      </c>
      <c r="AA81" s="83">
        <f t="shared" si="12"/>
        <v>273.54000000000002</v>
      </c>
      <c r="AB81" s="83">
        <f t="shared" si="12"/>
        <v>273.54000000000002</v>
      </c>
      <c r="AC81" s="83">
        <f t="shared" si="12"/>
        <v>273.54000000000002</v>
      </c>
      <c r="AD81" s="83">
        <f t="shared" si="12"/>
        <v>273.54000000000002</v>
      </c>
      <c r="AE81" s="83">
        <f t="shared" si="12"/>
        <v>273.54000000000002</v>
      </c>
      <c r="AF81" s="83">
        <f t="shared" si="12"/>
        <v>273.54000000000002</v>
      </c>
      <c r="AG81" s="81">
        <f>AG78+AG74+AG62+AG58+AG40+AG80</f>
        <v>1359.0900000000001</v>
      </c>
      <c r="AH81" s="48">
        <f t="shared" si="9"/>
        <v>273.54000000000002</v>
      </c>
      <c r="AI81" s="49">
        <f t="shared" si="10"/>
        <v>273.54000000000002</v>
      </c>
    </row>
    <row r="82" spans="1:37" ht="15.75" thickBot="1" x14ac:dyDescent="0.3">
      <c r="A82" s="74" t="s">
        <v>90</v>
      </c>
      <c r="B82" s="83">
        <f t="shared" ref="B82:AF82" si="13">B81-B89</f>
        <v>273.54000000000002</v>
      </c>
      <c r="C82" s="83">
        <f t="shared" si="13"/>
        <v>273.54000000000002</v>
      </c>
      <c r="D82" s="83">
        <f t="shared" si="13"/>
        <v>273.54000000000002</v>
      </c>
      <c r="E82" s="83">
        <f t="shared" si="13"/>
        <v>273.54000000000002</v>
      </c>
      <c r="F82" s="83">
        <f t="shared" si="13"/>
        <v>273.54000000000002</v>
      </c>
      <c r="G82" s="83">
        <f t="shared" si="13"/>
        <v>273.54000000000002</v>
      </c>
      <c r="H82" s="83">
        <f t="shared" si="13"/>
        <v>273.54000000000002</v>
      </c>
      <c r="I82" s="83">
        <f t="shared" si="13"/>
        <v>273.54000000000002</v>
      </c>
      <c r="J82" s="83">
        <f t="shared" si="13"/>
        <v>273.54000000000002</v>
      </c>
      <c r="K82" s="83">
        <f t="shared" si="13"/>
        <v>273.54000000000002</v>
      </c>
      <c r="L82" s="83">
        <f t="shared" si="13"/>
        <v>273.54000000000002</v>
      </c>
      <c r="M82" s="83">
        <f t="shared" si="13"/>
        <v>273.54000000000002</v>
      </c>
      <c r="N82" s="83">
        <f t="shared" si="13"/>
        <v>273.54000000000002</v>
      </c>
      <c r="O82" s="83">
        <f t="shared" si="13"/>
        <v>273.54000000000002</v>
      </c>
      <c r="P82" s="83">
        <f t="shared" si="13"/>
        <v>273.54000000000002</v>
      </c>
      <c r="Q82" s="83">
        <f t="shared" si="13"/>
        <v>273.54000000000002</v>
      </c>
      <c r="R82" s="83">
        <f t="shared" si="13"/>
        <v>273.54000000000002</v>
      </c>
      <c r="S82" s="83">
        <f t="shared" si="13"/>
        <v>273.54000000000002</v>
      </c>
      <c r="T82" s="83">
        <f t="shared" si="13"/>
        <v>273.54000000000002</v>
      </c>
      <c r="U82" s="83">
        <f t="shared" si="13"/>
        <v>273.54000000000002</v>
      </c>
      <c r="V82" s="83">
        <f t="shared" si="13"/>
        <v>273.54000000000002</v>
      </c>
      <c r="W82" s="83">
        <f t="shared" si="13"/>
        <v>273.54000000000002</v>
      </c>
      <c r="X82" s="83">
        <f t="shared" si="13"/>
        <v>273.54000000000002</v>
      </c>
      <c r="Y82" s="83">
        <f t="shared" si="13"/>
        <v>273.54000000000002</v>
      </c>
      <c r="Z82" s="83">
        <f t="shared" si="13"/>
        <v>273.54000000000002</v>
      </c>
      <c r="AA82" s="83">
        <f t="shared" si="13"/>
        <v>273.54000000000002</v>
      </c>
      <c r="AB82" s="83">
        <f t="shared" si="13"/>
        <v>273.54000000000002</v>
      </c>
      <c r="AC82" s="83">
        <f t="shared" si="13"/>
        <v>273.54000000000002</v>
      </c>
      <c r="AD82" s="83">
        <f t="shared" si="13"/>
        <v>273.54000000000002</v>
      </c>
      <c r="AE82" s="83">
        <f t="shared" si="13"/>
        <v>273.54000000000002</v>
      </c>
      <c r="AF82" s="83">
        <f t="shared" si="13"/>
        <v>273.54000000000002</v>
      </c>
      <c r="AG82" s="81"/>
      <c r="AH82" s="48">
        <f t="shared" si="9"/>
        <v>273.54000000000002</v>
      </c>
      <c r="AI82" s="49">
        <f t="shared" si="10"/>
        <v>273.54000000000002</v>
      </c>
    </row>
    <row r="83" spans="1:37" x14ac:dyDescent="0.25">
      <c r="A83" s="44" t="s">
        <v>74</v>
      </c>
      <c r="B83" s="76">
        <f t="shared" ref="B83:AF83" si="14">IF(B66&lt;0,B66*-1,0)</f>
        <v>0</v>
      </c>
      <c r="C83" s="76">
        <f t="shared" si="14"/>
        <v>0</v>
      </c>
      <c r="D83" s="76">
        <f t="shared" si="14"/>
        <v>0</v>
      </c>
      <c r="E83" s="76">
        <f t="shared" si="14"/>
        <v>0</v>
      </c>
      <c r="F83" s="76">
        <f t="shared" si="14"/>
        <v>0</v>
      </c>
      <c r="G83" s="76">
        <f t="shared" si="14"/>
        <v>0</v>
      </c>
      <c r="H83" s="76">
        <f t="shared" si="14"/>
        <v>0</v>
      </c>
      <c r="I83" s="76">
        <f t="shared" si="14"/>
        <v>0</v>
      </c>
      <c r="J83" s="76">
        <f t="shared" si="14"/>
        <v>0</v>
      </c>
      <c r="K83" s="76">
        <f t="shared" si="14"/>
        <v>0</v>
      </c>
      <c r="L83" s="76">
        <f t="shared" si="14"/>
        <v>0</v>
      </c>
      <c r="M83" s="76">
        <f t="shared" si="14"/>
        <v>0</v>
      </c>
      <c r="N83" s="76">
        <f t="shared" si="14"/>
        <v>0</v>
      </c>
      <c r="O83" s="76">
        <f t="shared" si="14"/>
        <v>0</v>
      </c>
      <c r="P83" s="76">
        <f t="shared" si="14"/>
        <v>0</v>
      </c>
      <c r="Q83" s="76">
        <f t="shared" si="14"/>
        <v>0</v>
      </c>
      <c r="R83" s="76">
        <f t="shared" si="14"/>
        <v>0</v>
      </c>
      <c r="S83" s="76">
        <f t="shared" si="14"/>
        <v>0</v>
      </c>
      <c r="T83" s="76">
        <f t="shared" si="14"/>
        <v>0</v>
      </c>
      <c r="U83" s="76">
        <f t="shared" si="14"/>
        <v>0</v>
      </c>
      <c r="V83" s="76">
        <f t="shared" si="14"/>
        <v>0</v>
      </c>
      <c r="W83" s="76">
        <f t="shared" si="14"/>
        <v>0</v>
      </c>
      <c r="X83" s="76">
        <f t="shared" si="14"/>
        <v>0</v>
      </c>
      <c r="Y83" s="76">
        <f t="shared" si="14"/>
        <v>0</v>
      </c>
      <c r="Z83" s="76">
        <f t="shared" si="14"/>
        <v>0</v>
      </c>
      <c r="AA83" s="76">
        <f t="shared" si="14"/>
        <v>0</v>
      </c>
      <c r="AB83" s="76">
        <f t="shared" si="14"/>
        <v>0</v>
      </c>
      <c r="AC83" s="76">
        <f t="shared" si="14"/>
        <v>0</v>
      </c>
      <c r="AD83" s="76">
        <f t="shared" si="14"/>
        <v>0</v>
      </c>
      <c r="AE83" s="76">
        <f t="shared" si="14"/>
        <v>0</v>
      </c>
      <c r="AF83" s="76">
        <f t="shared" si="14"/>
        <v>0</v>
      </c>
      <c r="AG83" s="52"/>
      <c r="AH83" s="48">
        <f t="shared" si="9"/>
        <v>0</v>
      </c>
      <c r="AI83" s="49">
        <f t="shared" si="10"/>
        <v>0</v>
      </c>
    </row>
    <row r="84" spans="1:37" x14ac:dyDescent="0.25">
      <c r="A84" s="54" t="s">
        <v>72</v>
      </c>
      <c r="B84" s="76">
        <f t="shared" ref="B84:AF84" si="15">IF(B64&lt;0,B64*-1,0)</f>
        <v>0</v>
      </c>
      <c r="C84" s="76">
        <f t="shared" si="15"/>
        <v>0</v>
      </c>
      <c r="D84" s="76">
        <f t="shared" si="15"/>
        <v>0</v>
      </c>
      <c r="E84" s="76">
        <f t="shared" si="15"/>
        <v>0</v>
      </c>
      <c r="F84" s="76">
        <f t="shared" si="15"/>
        <v>0</v>
      </c>
      <c r="G84" s="76">
        <f t="shared" si="15"/>
        <v>0</v>
      </c>
      <c r="H84" s="76">
        <f t="shared" si="15"/>
        <v>0</v>
      </c>
      <c r="I84" s="76">
        <f t="shared" si="15"/>
        <v>0</v>
      </c>
      <c r="J84" s="76">
        <f t="shared" si="15"/>
        <v>0</v>
      </c>
      <c r="K84" s="76">
        <f t="shared" si="15"/>
        <v>0</v>
      </c>
      <c r="L84" s="76">
        <f t="shared" si="15"/>
        <v>0</v>
      </c>
      <c r="M84" s="76">
        <f t="shared" si="15"/>
        <v>0</v>
      </c>
      <c r="N84" s="76">
        <f t="shared" si="15"/>
        <v>0</v>
      </c>
      <c r="O84" s="76">
        <f t="shared" si="15"/>
        <v>0</v>
      </c>
      <c r="P84" s="76">
        <f t="shared" si="15"/>
        <v>0</v>
      </c>
      <c r="Q84" s="76">
        <f t="shared" si="15"/>
        <v>0</v>
      </c>
      <c r="R84" s="76">
        <f t="shared" si="15"/>
        <v>0</v>
      </c>
      <c r="S84" s="76">
        <f t="shared" si="15"/>
        <v>0</v>
      </c>
      <c r="T84" s="76">
        <f t="shared" si="15"/>
        <v>0</v>
      </c>
      <c r="U84" s="76">
        <f t="shared" si="15"/>
        <v>0</v>
      </c>
      <c r="V84" s="76">
        <f t="shared" si="15"/>
        <v>0</v>
      </c>
      <c r="W84" s="76">
        <f t="shared" si="15"/>
        <v>0</v>
      </c>
      <c r="X84" s="76">
        <f t="shared" si="15"/>
        <v>0</v>
      </c>
      <c r="Y84" s="76">
        <f t="shared" si="15"/>
        <v>0</v>
      </c>
      <c r="Z84" s="76">
        <f t="shared" si="15"/>
        <v>0</v>
      </c>
      <c r="AA84" s="76">
        <f t="shared" si="15"/>
        <v>0</v>
      </c>
      <c r="AB84" s="76">
        <f t="shared" si="15"/>
        <v>0</v>
      </c>
      <c r="AC84" s="76">
        <f t="shared" si="15"/>
        <v>0</v>
      </c>
      <c r="AD84" s="76">
        <f t="shared" si="15"/>
        <v>0</v>
      </c>
      <c r="AE84" s="76">
        <f t="shared" si="15"/>
        <v>0</v>
      </c>
      <c r="AF84" s="76">
        <f t="shared" si="15"/>
        <v>0</v>
      </c>
      <c r="AG84" s="55"/>
      <c r="AH84" s="48">
        <f t="shared" si="9"/>
        <v>0</v>
      </c>
      <c r="AI84" s="49">
        <f t="shared" si="10"/>
        <v>0</v>
      </c>
    </row>
    <row r="85" spans="1:37" x14ac:dyDescent="0.25">
      <c r="A85" s="78" t="s">
        <v>91</v>
      </c>
      <c r="B85" s="76">
        <f t="shared" ref="B85:AF85" si="16">IF(B67&lt;0,B67*-1,0)</f>
        <v>0</v>
      </c>
      <c r="C85" s="76">
        <f t="shared" si="16"/>
        <v>0</v>
      </c>
      <c r="D85" s="76">
        <f t="shared" si="16"/>
        <v>0</v>
      </c>
      <c r="E85" s="76">
        <f t="shared" si="16"/>
        <v>0</v>
      </c>
      <c r="F85" s="76">
        <f t="shared" si="16"/>
        <v>0</v>
      </c>
      <c r="G85" s="76">
        <f t="shared" si="16"/>
        <v>0</v>
      </c>
      <c r="H85" s="76">
        <f t="shared" si="16"/>
        <v>0</v>
      </c>
      <c r="I85" s="76">
        <f t="shared" si="16"/>
        <v>0</v>
      </c>
      <c r="J85" s="76">
        <f t="shared" si="16"/>
        <v>0</v>
      </c>
      <c r="K85" s="76">
        <f t="shared" si="16"/>
        <v>0</v>
      </c>
      <c r="L85" s="76">
        <f t="shared" si="16"/>
        <v>0</v>
      </c>
      <c r="M85" s="76">
        <f t="shared" si="16"/>
        <v>0</v>
      </c>
      <c r="N85" s="76">
        <f t="shared" si="16"/>
        <v>0</v>
      </c>
      <c r="O85" s="76">
        <f t="shared" si="16"/>
        <v>0</v>
      </c>
      <c r="P85" s="76">
        <f t="shared" si="16"/>
        <v>0</v>
      </c>
      <c r="Q85" s="76">
        <f t="shared" si="16"/>
        <v>0</v>
      </c>
      <c r="R85" s="76">
        <f t="shared" si="16"/>
        <v>0</v>
      </c>
      <c r="S85" s="76">
        <f t="shared" si="16"/>
        <v>0</v>
      </c>
      <c r="T85" s="76">
        <f t="shared" si="16"/>
        <v>0</v>
      </c>
      <c r="U85" s="76">
        <f t="shared" si="16"/>
        <v>0</v>
      </c>
      <c r="V85" s="76">
        <f t="shared" si="16"/>
        <v>0</v>
      </c>
      <c r="W85" s="76">
        <f t="shared" si="16"/>
        <v>0</v>
      </c>
      <c r="X85" s="76">
        <f t="shared" si="16"/>
        <v>0</v>
      </c>
      <c r="Y85" s="76">
        <f t="shared" si="16"/>
        <v>0</v>
      </c>
      <c r="Z85" s="76">
        <f t="shared" si="16"/>
        <v>0</v>
      </c>
      <c r="AA85" s="76">
        <f t="shared" si="16"/>
        <v>0</v>
      </c>
      <c r="AB85" s="76">
        <f t="shared" si="16"/>
        <v>0</v>
      </c>
      <c r="AC85" s="76">
        <f t="shared" si="16"/>
        <v>0</v>
      </c>
      <c r="AD85" s="76">
        <f t="shared" si="16"/>
        <v>0</v>
      </c>
      <c r="AE85" s="76">
        <f t="shared" si="16"/>
        <v>0</v>
      </c>
      <c r="AF85" s="76">
        <f t="shared" si="16"/>
        <v>0</v>
      </c>
      <c r="AG85" s="86"/>
      <c r="AH85" s="48">
        <f t="shared" si="9"/>
        <v>0</v>
      </c>
      <c r="AI85" s="49">
        <f t="shared" si="10"/>
        <v>0</v>
      </c>
    </row>
    <row r="86" spans="1:37" x14ac:dyDescent="0.25">
      <c r="A86" s="78" t="s">
        <v>92</v>
      </c>
      <c r="B86" s="76">
        <f t="shared" ref="B86:AF86" si="17">IF(B65&lt;0,B65*-1,0)</f>
        <v>0</v>
      </c>
      <c r="C86" s="76">
        <f t="shared" si="17"/>
        <v>0</v>
      </c>
      <c r="D86" s="76">
        <f t="shared" si="17"/>
        <v>0</v>
      </c>
      <c r="E86" s="76">
        <f t="shared" si="17"/>
        <v>0</v>
      </c>
      <c r="F86" s="76">
        <f t="shared" si="17"/>
        <v>0</v>
      </c>
      <c r="G86" s="76">
        <f t="shared" si="17"/>
        <v>0</v>
      </c>
      <c r="H86" s="76">
        <f t="shared" si="17"/>
        <v>0</v>
      </c>
      <c r="I86" s="76">
        <f t="shared" si="17"/>
        <v>0</v>
      </c>
      <c r="J86" s="76">
        <f t="shared" si="17"/>
        <v>0</v>
      </c>
      <c r="K86" s="76">
        <f t="shared" si="17"/>
        <v>0</v>
      </c>
      <c r="L86" s="76">
        <f t="shared" si="17"/>
        <v>0</v>
      </c>
      <c r="M86" s="76">
        <f t="shared" si="17"/>
        <v>0</v>
      </c>
      <c r="N86" s="76">
        <f t="shared" si="17"/>
        <v>0</v>
      </c>
      <c r="O86" s="76">
        <f t="shared" si="17"/>
        <v>0</v>
      </c>
      <c r="P86" s="76">
        <f t="shared" si="17"/>
        <v>0</v>
      </c>
      <c r="Q86" s="76">
        <f t="shared" si="17"/>
        <v>0</v>
      </c>
      <c r="R86" s="76">
        <f t="shared" si="17"/>
        <v>0</v>
      </c>
      <c r="S86" s="76">
        <f t="shared" si="17"/>
        <v>0</v>
      </c>
      <c r="T86" s="76">
        <f t="shared" si="17"/>
        <v>0</v>
      </c>
      <c r="U86" s="76">
        <f t="shared" si="17"/>
        <v>0</v>
      </c>
      <c r="V86" s="76">
        <f t="shared" si="17"/>
        <v>0</v>
      </c>
      <c r="W86" s="76">
        <f t="shared" si="17"/>
        <v>0</v>
      </c>
      <c r="X86" s="76">
        <f t="shared" si="17"/>
        <v>0</v>
      </c>
      <c r="Y86" s="76">
        <f t="shared" si="17"/>
        <v>0</v>
      </c>
      <c r="Z86" s="76">
        <f t="shared" si="17"/>
        <v>0</v>
      </c>
      <c r="AA86" s="76">
        <f t="shared" si="17"/>
        <v>0</v>
      </c>
      <c r="AB86" s="76">
        <f t="shared" si="17"/>
        <v>0</v>
      </c>
      <c r="AC86" s="76">
        <f t="shared" si="17"/>
        <v>0</v>
      </c>
      <c r="AD86" s="76">
        <f t="shared" si="17"/>
        <v>0</v>
      </c>
      <c r="AE86" s="76">
        <f t="shared" si="17"/>
        <v>0</v>
      </c>
      <c r="AF86" s="76">
        <f t="shared" si="17"/>
        <v>0</v>
      </c>
      <c r="AG86" s="86"/>
      <c r="AH86" s="48">
        <f t="shared" si="9"/>
        <v>0</v>
      </c>
      <c r="AI86" s="49">
        <f t="shared" si="10"/>
        <v>0</v>
      </c>
    </row>
    <row r="87" spans="1:37" x14ac:dyDescent="0.25">
      <c r="A87" s="78" t="s">
        <v>71</v>
      </c>
      <c r="B87" s="76">
        <f t="shared" ref="B87:AF87" si="18">IF(B63&lt;0,B63*-1,0)</f>
        <v>0</v>
      </c>
      <c r="C87" s="76">
        <f t="shared" si="18"/>
        <v>0</v>
      </c>
      <c r="D87" s="76">
        <f t="shared" si="18"/>
        <v>0</v>
      </c>
      <c r="E87" s="76">
        <f t="shared" si="18"/>
        <v>0</v>
      </c>
      <c r="F87" s="76">
        <f t="shared" si="18"/>
        <v>0</v>
      </c>
      <c r="G87" s="76">
        <f t="shared" si="18"/>
        <v>0</v>
      </c>
      <c r="H87" s="76">
        <f t="shared" si="18"/>
        <v>0</v>
      </c>
      <c r="I87" s="76">
        <f t="shared" si="18"/>
        <v>0</v>
      </c>
      <c r="J87" s="76">
        <f t="shared" si="18"/>
        <v>0</v>
      </c>
      <c r="K87" s="76">
        <f t="shared" si="18"/>
        <v>0</v>
      </c>
      <c r="L87" s="76">
        <f t="shared" si="18"/>
        <v>0</v>
      </c>
      <c r="M87" s="76">
        <f t="shared" si="18"/>
        <v>0</v>
      </c>
      <c r="N87" s="76">
        <f t="shared" si="18"/>
        <v>0</v>
      </c>
      <c r="O87" s="76">
        <f t="shared" si="18"/>
        <v>0</v>
      </c>
      <c r="P87" s="76">
        <f t="shared" si="18"/>
        <v>0</v>
      </c>
      <c r="Q87" s="76">
        <f t="shared" si="18"/>
        <v>0</v>
      </c>
      <c r="R87" s="76">
        <f t="shared" si="18"/>
        <v>0</v>
      </c>
      <c r="S87" s="76">
        <f t="shared" si="18"/>
        <v>0</v>
      </c>
      <c r="T87" s="76">
        <f t="shared" si="18"/>
        <v>0</v>
      </c>
      <c r="U87" s="76">
        <f t="shared" si="18"/>
        <v>0</v>
      </c>
      <c r="V87" s="76">
        <f t="shared" si="18"/>
        <v>0</v>
      </c>
      <c r="W87" s="76">
        <f t="shared" si="18"/>
        <v>0</v>
      </c>
      <c r="X87" s="76">
        <f t="shared" si="18"/>
        <v>0</v>
      </c>
      <c r="Y87" s="76">
        <f t="shared" si="18"/>
        <v>0</v>
      </c>
      <c r="Z87" s="76">
        <f t="shared" si="18"/>
        <v>0</v>
      </c>
      <c r="AA87" s="76">
        <f t="shared" si="18"/>
        <v>0</v>
      </c>
      <c r="AB87" s="76">
        <f t="shared" si="18"/>
        <v>0</v>
      </c>
      <c r="AC87" s="76">
        <f t="shared" si="18"/>
        <v>0</v>
      </c>
      <c r="AD87" s="76">
        <f t="shared" si="18"/>
        <v>0</v>
      </c>
      <c r="AE87" s="76">
        <f t="shared" si="18"/>
        <v>0</v>
      </c>
      <c r="AF87" s="76">
        <f t="shared" si="18"/>
        <v>0</v>
      </c>
      <c r="AG87" s="86"/>
      <c r="AH87" s="48">
        <f t="shared" si="9"/>
        <v>0</v>
      </c>
      <c r="AI87" s="49">
        <f t="shared" si="10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9"/>
        <v>0</v>
      </c>
      <c r="AI88" s="49">
        <f t="shared" si="10"/>
        <v>0</v>
      </c>
    </row>
    <row r="89" spans="1:37" ht="15.75" thickBot="1" x14ac:dyDescent="0.3">
      <c r="A89" s="87" t="s">
        <v>94</v>
      </c>
      <c r="B89" s="61">
        <f t="shared" ref="B89:AF89" si="19">SUM(B83:B88)</f>
        <v>0</v>
      </c>
      <c r="C89" s="61">
        <f t="shared" si="19"/>
        <v>0</v>
      </c>
      <c r="D89" s="61">
        <f t="shared" si="19"/>
        <v>0</v>
      </c>
      <c r="E89" s="61">
        <f t="shared" si="19"/>
        <v>0</v>
      </c>
      <c r="F89" s="61">
        <f t="shared" si="19"/>
        <v>0</v>
      </c>
      <c r="G89" s="61">
        <f t="shared" si="19"/>
        <v>0</v>
      </c>
      <c r="H89" s="61">
        <f t="shared" si="19"/>
        <v>0</v>
      </c>
      <c r="I89" s="61">
        <f t="shared" si="19"/>
        <v>0</v>
      </c>
      <c r="J89" s="61">
        <f t="shared" si="19"/>
        <v>0</v>
      </c>
      <c r="K89" s="61">
        <f t="shared" si="19"/>
        <v>0</v>
      </c>
      <c r="L89" s="61">
        <f t="shared" si="19"/>
        <v>0</v>
      </c>
      <c r="M89" s="61">
        <f t="shared" si="19"/>
        <v>0</v>
      </c>
      <c r="N89" s="61">
        <f t="shared" si="19"/>
        <v>0</v>
      </c>
      <c r="O89" s="61">
        <f t="shared" si="19"/>
        <v>0</v>
      </c>
      <c r="P89" s="61">
        <f t="shared" si="19"/>
        <v>0</v>
      </c>
      <c r="Q89" s="61">
        <f t="shared" si="19"/>
        <v>0</v>
      </c>
      <c r="R89" s="61">
        <f t="shared" si="19"/>
        <v>0</v>
      </c>
      <c r="S89" s="61">
        <f t="shared" si="19"/>
        <v>0</v>
      </c>
      <c r="T89" s="61">
        <f t="shared" si="19"/>
        <v>0</v>
      </c>
      <c r="U89" s="61">
        <f t="shared" si="19"/>
        <v>0</v>
      </c>
      <c r="V89" s="61">
        <f t="shared" si="19"/>
        <v>0</v>
      </c>
      <c r="W89" s="61">
        <f t="shared" si="19"/>
        <v>0</v>
      </c>
      <c r="X89" s="61">
        <f t="shared" si="19"/>
        <v>0</v>
      </c>
      <c r="Y89" s="61">
        <f t="shared" si="19"/>
        <v>0</v>
      </c>
      <c r="Z89" s="61">
        <f t="shared" si="19"/>
        <v>0</v>
      </c>
      <c r="AA89" s="61">
        <f t="shared" si="19"/>
        <v>0</v>
      </c>
      <c r="AB89" s="61">
        <f t="shared" si="19"/>
        <v>0</v>
      </c>
      <c r="AC89" s="61">
        <f t="shared" si="19"/>
        <v>0</v>
      </c>
      <c r="AD89" s="61">
        <f t="shared" si="19"/>
        <v>0</v>
      </c>
      <c r="AE89" s="61">
        <f t="shared" si="19"/>
        <v>0</v>
      </c>
      <c r="AF89" s="61">
        <f t="shared" si="19"/>
        <v>0</v>
      </c>
      <c r="AG89" s="81"/>
      <c r="AH89" s="48">
        <f t="shared" si="9"/>
        <v>0</v>
      </c>
      <c r="AI89" s="49">
        <f t="shared" si="10"/>
        <v>0</v>
      </c>
      <c r="AK89" s="50"/>
    </row>
    <row r="90" spans="1:37" ht="15.75" thickBot="1" x14ac:dyDescent="0.3">
      <c r="A90" s="74" t="s">
        <v>95</v>
      </c>
      <c r="B90" s="61">
        <f t="shared" ref="B90:AF90" si="20">B74-B89</f>
        <v>0</v>
      </c>
      <c r="C90" s="61">
        <f t="shared" si="20"/>
        <v>0</v>
      </c>
      <c r="D90" s="61">
        <f t="shared" si="20"/>
        <v>0</v>
      </c>
      <c r="E90" s="61">
        <f t="shared" si="20"/>
        <v>0</v>
      </c>
      <c r="F90" s="61">
        <f t="shared" si="20"/>
        <v>0</v>
      </c>
      <c r="G90" s="61">
        <f t="shared" si="20"/>
        <v>0</v>
      </c>
      <c r="H90" s="61">
        <f t="shared" si="20"/>
        <v>0</v>
      </c>
      <c r="I90" s="61">
        <f t="shared" si="20"/>
        <v>0</v>
      </c>
      <c r="J90" s="61">
        <f t="shared" si="20"/>
        <v>0</v>
      </c>
      <c r="K90" s="61">
        <f t="shared" si="20"/>
        <v>0</v>
      </c>
      <c r="L90" s="61">
        <f t="shared" si="20"/>
        <v>0</v>
      </c>
      <c r="M90" s="61">
        <f t="shared" si="20"/>
        <v>0</v>
      </c>
      <c r="N90" s="61">
        <f t="shared" si="20"/>
        <v>0</v>
      </c>
      <c r="O90" s="61">
        <f t="shared" si="20"/>
        <v>0</v>
      </c>
      <c r="P90" s="61">
        <f t="shared" si="20"/>
        <v>0</v>
      </c>
      <c r="Q90" s="61">
        <f t="shared" si="20"/>
        <v>0</v>
      </c>
      <c r="R90" s="61">
        <f t="shared" si="20"/>
        <v>0</v>
      </c>
      <c r="S90" s="61">
        <f t="shared" si="20"/>
        <v>0</v>
      </c>
      <c r="T90" s="61">
        <f t="shared" si="20"/>
        <v>0</v>
      </c>
      <c r="U90" s="61">
        <f t="shared" si="20"/>
        <v>0</v>
      </c>
      <c r="V90" s="61">
        <f t="shared" si="20"/>
        <v>0</v>
      </c>
      <c r="W90" s="61">
        <f t="shared" si="20"/>
        <v>0</v>
      </c>
      <c r="X90" s="61">
        <f t="shared" si="20"/>
        <v>0</v>
      </c>
      <c r="Y90" s="61">
        <f t="shared" si="20"/>
        <v>0</v>
      </c>
      <c r="Z90" s="61">
        <f t="shared" si="20"/>
        <v>0</v>
      </c>
      <c r="AA90" s="61">
        <f t="shared" si="20"/>
        <v>0</v>
      </c>
      <c r="AB90" s="61">
        <f t="shared" si="20"/>
        <v>0</v>
      </c>
      <c r="AC90" s="61">
        <f t="shared" si="20"/>
        <v>0</v>
      </c>
      <c r="AD90" s="61">
        <f t="shared" si="20"/>
        <v>0</v>
      </c>
      <c r="AE90" s="61">
        <f t="shared" si="20"/>
        <v>0</v>
      </c>
      <c r="AF90" s="61">
        <f t="shared" si="20"/>
        <v>0</v>
      </c>
      <c r="AG90" s="81"/>
      <c r="AH90" s="48">
        <f t="shared" si="9"/>
        <v>0</v>
      </c>
      <c r="AI90" s="49">
        <f t="shared" si="10"/>
        <v>0</v>
      </c>
    </row>
    <row r="91" spans="1:37" x14ac:dyDescent="0.25">
      <c r="A91" s="88" t="s">
        <v>96</v>
      </c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90"/>
      <c r="AH91" s="48">
        <f t="shared" si="9"/>
        <v>0</v>
      </c>
      <c r="AI91" s="49">
        <f t="shared" si="10"/>
        <v>0</v>
      </c>
    </row>
    <row r="92" spans="1:37" x14ac:dyDescent="0.25">
      <c r="A92" s="91" t="s">
        <v>97</v>
      </c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92"/>
      <c r="AH92" s="48">
        <f t="shared" si="9"/>
        <v>0</v>
      </c>
      <c r="AI92" s="49">
        <f t="shared" si="10"/>
        <v>0</v>
      </c>
    </row>
    <row r="93" spans="1:37" x14ac:dyDescent="0.25">
      <c r="A93" s="91" t="s">
        <v>98</v>
      </c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92"/>
      <c r="AH93" s="48">
        <f t="shared" si="9"/>
        <v>0</v>
      </c>
      <c r="AI93" s="49">
        <f t="shared" si="10"/>
        <v>0</v>
      </c>
    </row>
    <row r="94" spans="1:37" x14ac:dyDescent="0.25">
      <c r="A94" s="91" t="s">
        <v>99</v>
      </c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92"/>
      <c r="AH94" s="48">
        <f t="shared" si="9"/>
        <v>0</v>
      </c>
      <c r="AI94" s="49">
        <f t="shared" si="10"/>
        <v>0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9"/>
        <v>0</v>
      </c>
      <c r="AI95" s="49">
        <f t="shared" si="10"/>
        <v>0</v>
      </c>
    </row>
    <row r="96" spans="1:37" x14ac:dyDescent="0.25">
      <c r="A96" s="93" t="s">
        <v>101</v>
      </c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5"/>
      <c r="AH96" s="48">
        <f t="shared" si="9"/>
        <v>0</v>
      </c>
      <c r="AI96" s="49">
        <f t="shared" si="10"/>
        <v>0</v>
      </c>
    </row>
    <row r="97" spans="1:37" x14ac:dyDescent="0.25">
      <c r="A97" s="91" t="s">
        <v>102</v>
      </c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92"/>
      <c r="AH97" s="48">
        <f t="shared" si="9"/>
        <v>0</v>
      </c>
      <c r="AI97" s="49">
        <f t="shared" si="10"/>
        <v>0</v>
      </c>
    </row>
    <row r="98" spans="1:37" ht="15.75" thickBot="1" x14ac:dyDescent="0.3">
      <c r="A98" s="91" t="s">
        <v>103</v>
      </c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7"/>
      <c r="AH98" s="48">
        <f t="shared" si="9"/>
        <v>0</v>
      </c>
      <c r="AI98" s="49">
        <f t="shared" si="10"/>
        <v>0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9"/>
        <v>0</v>
      </c>
      <c r="AI99" s="49">
        <f t="shared" si="10"/>
        <v>0</v>
      </c>
    </row>
    <row r="100" spans="1:37" ht="15.75" thickBot="1" x14ac:dyDescent="0.3">
      <c r="A100" s="99" t="s">
        <v>104</v>
      </c>
      <c r="B100" s="100">
        <f t="shared" ref="B100:AF100" si="21">SUM(B15,B20,B22:B23,B48,B50:B51,B53,B55,B101:B105,B127,B133,B139,B148,B150,B162,B169,B172:B173,B180,B182,B184,B188:B190,B192:B194,B199,B205:B206,B208:B210,B218,B223)</f>
        <v>0</v>
      </c>
      <c r="C100" s="100">
        <f t="shared" si="21"/>
        <v>0.94</v>
      </c>
      <c r="D100" s="100">
        <f t="shared" si="21"/>
        <v>0.94</v>
      </c>
      <c r="E100" s="100">
        <f t="shared" si="21"/>
        <v>0.94</v>
      </c>
      <c r="F100" s="100">
        <f t="shared" si="21"/>
        <v>0.94</v>
      </c>
      <c r="G100" s="100">
        <f t="shared" si="21"/>
        <v>0.94</v>
      </c>
      <c r="H100" s="100">
        <f t="shared" si="21"/>
        <v>0.94</v>
      </c>
      <c r="I100" s="100">
        <f t="shared" si="21"/>
        <v>0.94</v>
      </c>
      <c r="J100" s="100">
        <f t="shared" si="21"/>
        <v>0.94</v>
      </c>
      <c r="K100" s="100">
        <f t="shared" si="21"/>
        <v>0.94</v>
      </c>
      <c r="L100" s="100">
        <f t="shared" si="21"/>
        <v>0.94</v>
      </c>
      <c r="M100" s="100">
        <f t="shared" si="21"/>
        <v>0.94</v>
      </c>
      <c r="N100" s="100">
        <f t="shared" si="21"/>
        <v>0.94</v>
      </c>
      <c r="O100" s="100">
        <f t="shared" si="21"/>
        <v>0.94</v>
      </c>
      <c r="P100" s="100">
        <f t="shared" si="21"/>
        <v>0.94</v>
      </c>
      <c r="Q100" s="100">
        <f t="shared" si="21"/>
        <v>0</v>
      </c>
      <c r="R100" s="100">
        <f t="shared" si="21"/>
        <v>0</v>
      </c>
      <c r="S100" s="100">
        <f t="shared" si="21"/>
        <v>0</v>
      </c>
      <c r="T100" s="100">
        <f t="shared" si="21"/>
        <v>0</v>
      </c>
      <c r="U100" s="100">
        <f t="shared" si="21"/>
        <v>0</v>
      </c>
      <c r="V100" s="100">
        <f t="shared" si="21"/>
        <v>0</v>
      </c>
      <c r="W100" s="100">
        <f t="shared" si="21"/>
        <v>0</v>
      </c>
      <c r="X100" s="100">
        <f t="shared" si="21"/>
        <v>0</v>
      </c>
      <c r="Y100" s="100">
        <f t="shared" si="21"/>
        <v>0</v>
      </c>
      <c r="Z100" s="100">
        <f t="shared" si="21"/>
        <v>0</v>
      </c>
      <c r="AA100" s="100">
        <f t="shared" si="21"/>
        <v>0</v>
      </c>
      <c r="AB100" s="100">
        <f t="shared" si="21"/>
        <v>0</v>
      </c>
      <c r="AC100" s="100">
        <f t="shared" si="21"/>
        <v>0</v>
      </c>
      <c r="AD100" s="100">
        <f t="shared" si="21"/>
        <v>0</v>
      </c>
      <c r="AE100" s="100">
        <f t="shared" si="21"/>
        <v>0</v>
      </c>
      <c r="AF100" s="100">
        <f t="shared" si="21"/>
        <v>0</v>
      </c>
      <c r="AG100" s="101"/>
      <c r="AH100" s="48">
        <f t="shared" si="9"/>
        <v>0.94</v>
      </c>
      <c r="AI100" s="49">
        <f t="shared" si="10"/>
        <v>0</v>
      </c>
    </row>
    <row r="101" spans="1:37" x14ac:dyDescent="0.25">
      <c r="A101" s="88" t="s">
        <v>105</v>
      </c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3">
        <v>75</v>
      </c>
      <c r="AH101" s="48">
        <f t="shared" si="9"/>
        <v>0</v>
      </c>
      <c r="AI101" s="49">
        <f t="shared" si="10"/>
        <v>0</v>
      </c>
    </row>
    <row r="102" spans="1:37" x14ac:dyDescent="0.25">
      <c r="A102" s="91" t="s">
        <v>106</v>
      </c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  <c r="AF102" s="104"/>
      <c r="AG102" s="103">
        <v>240</v>
      </c>
      <c r="AH102" s="48">
        <f t="shared" si="9"/>
        <v>0</v>
      </c>
      <c r="AI102" s="49">
        <f t="shared" si="10"/>
        <v>0</v>
      </c>
    </row>
    <row r="103" spans="1:37" x14ac:dyDescent="0.25">
      <c r="A103" s="91" t="s">
        <v>107</v>
      </c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03">
        <v>240</v>
      </c>
      <c r="AH103" s="48">
        <f t="shared" si="9"/>
        <v>0</v>
      </c>
      <c r="AI103" s="49">
        <f t="shared" si="10"/>
        <v>0</v>
      </c>
    </row>
    <row r="104" spans="1:37" x14ac:dyDescent="0.25">
      <c r="A104" s="91" t="s">
        <v>108</v>
      </c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03">
        <v>60</v>
      </c>
      <c r="AH104" s="48">
        <f t="shared" si="9"/>
        <v>0</v>
      </c>
      <c r="AI104" s="49">
        <f t="shared" si="10"/>
        <v>0</v>
      </c>
    </row>
    <row r="105" spans="1:37" x14ac:dyDescent="0.25">
      <c r="A105" s="105" t="s">
        <v>109</v>
      </c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7">
        <v>120</v>
      </c>
      <c r="AH105" s="48">
        <f t="shared" si="9"/>
        <v>0</v>
      </c>
      <c r="AI105" s="49">
        <f t="shared" si="10"/>
        <v>0</v>
      </c>
    </row>
    <row r="106" spans="1:37" x14ac:dyDescent="0.25">
      <c r="A106" s="105" t="s">
        <v>110</v>
      </c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7"/>
      <c r="AH106" s="48">
        <f t="shared" si="9"/>
        <v>0</v>
      </c>
      <c r="AI106" s="49">
        <f t="shared" si="10"/>
        <v>0</v>
      </c>
    </row>
    <row r="107" spans="1:37" x14ac:dyDescent="0.25">
      <c r="A107" s="105" t="s">
        <v>111</v>
      </c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8"/>
      <c r="AH107" s="48">
        <f t="shared" si="9"/>
        <v>0</v>
      </c>
      <c r="AI107" s="49">
        <f t="shared" si="10"/>
        <v>0</v>
      </c>
    </row>
    <row r="108" spans="1:37" x14ac:dyDescent="0.25">
      <c r="A108" s="109" t="s">
        <v>112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108"/>
      <c r="AH108" s="48">
        <f t="shared" si="9"/>
        <v>0</v>
      </c>
      <c r="AI108" s="49">
        <f t="shared" si="10"/>
        <v>0</v>
      </c>
    </row>
    <row r="109" spans="1:37" ht="15.75" thickBot="1" x14ac:dyDescent="0.3">
      <c r="A109" s="109" t="s">
        <v>113</v>
      </c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108"/>
      <c r="AH109" s="48">
        <f t="shared" si="9"/>
        <v>0</v>
      </c>
      <c r="AI109" s="49">
        <f t="shared" si="10"/>
        <v>0</v>
      </c>
    </row>
    <row r="110" spans="1:37" ht="15.75" thickBot="1" x14ac:dyDescent="0.3">
      <c r="A110" s="110" t="s">
        <v>114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115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116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117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118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119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120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121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122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123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124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125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126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127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128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129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130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131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132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133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134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135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136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137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138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139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140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141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142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143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144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145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146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147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148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149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150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151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152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153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154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155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156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157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158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159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160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161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162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163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164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165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166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167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168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169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170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171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172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173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174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175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176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177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178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179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180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181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182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183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184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185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186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187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188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189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190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191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192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193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194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195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196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197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198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199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200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201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202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203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204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205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206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207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208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209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210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211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212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213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214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215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216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217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218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219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220</v>
      </c>
      <c r="B216" s="124">
        <f t="shared" ref="B216:AG216" si="22">SUM(B111:B215)</f>
        <v>0</v>
      </c>
      <c r="C216" s="125">
        <f t="shared" si="22"/>
        <v>0</v>
      </c>
      <c r="D216" s="125">
        <f t="shared" si="22"/>
        <v>0</v>
      </c>
      <c r="E216" s="125">
        <f t="shared" si="22"/>
        <v>0</v>
      </c>
      <c r="F216" s="125">
        <f t="shared" si="22"/>
        <v>0</v>
      </c>
      <c r="G216" s="125">
        <f t="shared" si="22"/>
        <v>0</v>
      </c>
      <c r="H216" s="125">
        <f t="shared" si="22"/>
        <v>0</v>
      </c>
      <c r="I216" s="125">
        <f t="shared" si="22"/>
        <v>0</v>
      </c>
      <c r="J216" s="125">
        <f t="shared" si="22"/>
        <v>0</v>
      </c>
      <c r="K216" s="125">
        <f t="shared" si="22"/>
        <v>0</v>
      </c>
      <c r="L216" s="125">
        <f t="shared" si="22"/>
        <v>0</v>
      </c>
      <c r="M216" s="125">
        <f t="shared" si="22"/>
        <v>0</v>
      </c>
      <c r="N216" s="125">
        <f t="shared" si="22"/>
        <v>0</v>
      </c>
      <c r="O216" s="125">
        <f t="shared" si="22"/>
        <v>0</v>
      </c>
      <c r="P216" s="125">
        <f t="shared" si="22"/>
        <v>0</v>
      </c>
      <c r="Q216" s="125">
        <f t="shared" si="22"/>
        <v>0</v>
      </c>
      <c r="R216" s="125">
        <f t="shared" si="22"/>
        <v>0</v>
      </c>
      <c r="S216" s="125">
        <f t="shared" si="22"/>
        <v>0</v>
      </c>
      <c r="T216" s="125">
        <f t="shared" si="22"/>
        <v>0</v>
      </c>
      <c r="U216" s="125">
        <f t="shared" si="22"/>
        <v>0</v>
      </c>
      <c r="V216" s="125">
        <f t="shared" si="22"/>
        <v>0</v>
      </c>
      <c r="W216" s="125">
        <f t="shared" si="22"/>
        <v>0</v>
      </c>
      <c r="X216" s="125">
        <f t="shared" si="22"/>
        <v>0</v>
      </c>
      <c r="Y216" s="125">
        <f t="shared" si="22"/>
        <v>0</v>
      </c>
      <c r="Z216" s="125">
        <f t="shared" si="22"/>
        <v>0</v>
      </c>
      <c r="AA216" s="125">
        <f t="shared" si="22"/>
        <v>0</v>
      </c>
      <c r="AB216" s="125">
        <f t="shared" si="22"/>
        <v>0</v>
      </c>
      <c r="AC216" s="125">
        <f t="shared" si="22"/>
        <v>0</v>
      </c>
      <c r="AD216" s="125">
        <f t="shared" si="22"/>
        <v>0</v>
      </c>
      <c r="AE216" s="125">
        <f t="shared" si="22"/>
        <v>0</v>
      </c>
      <c r="AF216" s="126">
        <f t="shared" si="22"/>
        <v>0</v>
      </c>
      <c r="AG216" s="127">
        <f t="shared" si="22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221</v>
      </c>
      <c r="B218" s="129">
        <f t="shared" ref="B218:B223" si="23">AF218</f>
        <v>0</v>
      </c>
      <c r="C218" s="129">
        <v>0.3</v>
      </c>
      <c r="D218" s="129">
        <f t="shared" ref="D218:P223" si="24">C218</f>
        <v>0.3</v>
      </c>
      <c r="E218" s="129">
        <f t="shared" si="24"/>
        <v>0.3</v>
      </c>
      <c r="F218" s="129">
        <f t="shared" si="24"/>
        <v>0.3</v>
      </c>
      <c r="G218" s="129">
        <f t="shared" si="24"/>
        <v>0.3</v>
      </c>
      <c r="H218" s="129">
        <f t="shared" si="24"/>
        <v>0.3</v>
      </c>
      <c r="I218" s="129">
        <f t="shared" si="24"/>
        <v>0.3</v>
      </c>
      <c r="J218" s="129">
        <f t="shared" si="24"/>
        <v>0.3</v>
      </c>
      <c r="K218" s="129">
        <f t="shared" si="24"/>
        <v>0.3</v>
      </c>
      <c r="L218" s="129">
        <f t="shared" si="24"/>
        <v>0.3</v>
      </c>
      <c r="M218" s="129">
        <f t="shared" si="24"/>
        <v>0.3</v>
      </c>
      <c r="N218" s="129">
        <f t="shared" si="24"/>
        <v>0.3</v>
      </c>
      <c r="O218" s="129">
        <f t="shared" si="24"/>
        <v>0.3</v>
      </c>
      <c r="P218" s="129">
        <f t="shared" si="24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222</v>
      </c>
      <c r="B219" s="117">
        <f t="shared" si="23"/>
        <v>0</v>
      </c>
      <c r="C219" s="117">
        <v>0.4</v>
      </c>
      <c r="D219" s="117">
        <f t="shared" si="24"/>
        <v>0.4</v>
      </c>
      <c r="E219" s="117">
        <f t="shared" si="24"/>
        <v>0.4</v>
      </c>
      <c r="F219" s="117">
        <f t="shared" si="24"/>
        <v>0.4</v>
      </c>
      <c r="G219" s="117">
        <f t="shared" si="24"/>
        <v>0.4</v>
      </c>
      <c r="H219" s="117">
        <f t="shared" si="24"/>
        <v>0.4</v>
      </c>
      <c r="I219" s="117">
        <f t="shared" si="24"/>
        <v>0.4</v>
      </c>
      <c r="J219" s="117">
        <f t="shared" si="24"/>
        <v>0.4</v>
      </c>
      <c r="K219" s="117">
        <f t="shared" si="24"/>
        <v>0.4</v>
      </c>
      <c r="L219" s="117">
        <f t="shared" si="24"/>
        <v>0.4</v>
      </c>
      <c r="M219" s="117">
        <f t="shared" si="24"/>
        <v>0.4</v>
      </c>
      <c r="N219" s="117">
        <f t="shared" si="24"/>
        <v>0.4</v>
      </c>
      <c r="O219" s="117">
        <f t="shared" si="24"/>
        <v>0.4</v>
      </c>
      <c r="P219" s="117">
        <f t="shared" si="24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223</v>
      </c>
      <c r="B220" s="117">
        <f t="shared" si="23"/>
        <v>0</v>
      </c>
      <c r="C220" s="117">
        <v>1.5</v>
      </c>
      <c r="D220" s="117">
        <f t="shared" si="24"/>
        <v>1.5</v>
      </c>
      <c r="E220" s="117">
        <f t="shared" si="24"/>
        <v>1.5</v>
      </c>
      <c r="F220" s="117">
        <f t="shared" si="24"/>
        <v>1.5</v>
      </c>
      <c r="G220" s="117">
        <f t="shared" si="24"/>
        <v>1.5</v>
      </c>
      <c r="H220" s="117">
        <f t="shared" si="24"/>
        <v>1.5</v>
      </c>
      <c r="I220" s="117">
        <f t="shared" si="24"/>
        <v>1.5</v>
      </c>
      <c r="J220" s="117">
        <f t="shared" si="24"/>
        <v>1.5</v>
      </c>
      <c r="K220" s="117">
        <f t="shared" si="24"/>
        <v>1.5</v>
      </c>
      <c r="L220" s="117">
        <f t="shared" si="24"/>
        <v>1.5</v>
      </c>
      <c r="M220" s="117">
        <f t="shared" si="24"/>
        <v>1.5</v>
      </c>
      <c r="N220" s="117">
        <f t="shared" si="24"/>
        <v>1.5</v>
      </c>
      <c r="O220" s="117">
        <f t="shared" si="24"/>
        <v>1.5</v>
      </c>
      <c r="P220" s="117">
        <f t="shared" si="24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224</v>
      </c>
      <c r="B221" s="117">
        <f t="shared" si="23"/>
        <v>0</v>
      </c>
      <c r="C221" s="117">
        <v>0.3</v>
      </c>
      <c r="D221" s="117">
        <f t="shared" si="24"/>
        <v>0.3</v>
      </c>
      <c r="E221" s="117">
        <f t="shared" si="24"/>
        <v>0.3</v>
      </c>
      <c r="F221" s="117">
        <f t="shared" si="24"/>
        <v>0.3</v>
      </c>
      <c r="G221" s="117">
        <f t="shared" si="24"/>
        <v>0.3</v>
      </c>
      <c r="H221" s="117">
        <f t="shared" si="24"/>
        <v>0.3</v>
      </c>
      <c r="I221" s="117">
        <f t="shared" si="24"/>
        <v>0.3</v>
      </c>
      <c r="J221" s="117">
        <f t="shared" si="24"/>
        <v>0.3</v>
      </c>
      <c r="K221" s="117">
        <f t="shared" si="24"/>
        <v>0.3</v>
      </c>
      <c r="L221" s="117">
        <f t="shared" si="24"/>
        <v>0.3</v>
      </c>
      <c r="M221" s="117">
        <f t="shared" si="24"/>
        <v>0.3</v>
      </c>
      <c r="N221" s="117">
        <f t="shared" si="24"/>
        <v>0.3</v>
      </c>
      <c r="O221" s="117">
        <f t="shared" si="24"/>
        <v>0.3</v>
      </c>
      <c r="P221" s="117">
        <f t="shared" si="24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225</v>
      </c>
      <c r="B222" s="117">
        <f t="shared" si="23"/>
        <v>0</v>
      </c>
      <c r="C222" s="117">
        <v>0.4</v>
      </c>
      <c r="D222" s="117">
        <f t="shared" si="24"/>
        <v>0.4</v>
      </c>
      <c r="E222" s="117">
        <f t="shared" si="24"/>
        <v>0.4</v>
      </c>
      <c r="F222" s="117">
        <f t="shared" si="24"/>
        <v>0.4</v>
      </c>
      <c r="G222" s="117">
        <f t="shared" si="24"/>
        <v>0.4</v>
      </c>
      <c r="H222" s="117">
        <f t="shared" si="24"/>
        <v>0.4</v>
      </c>
      <c r="I222" s="117">
        <f t="shared" si="24"/>
        <v>0.4</v>
      </c>
      <c r="J222" s="117">
        <f t="shared" si="24"/>
        <v>0.4</v>
      </c>
      <c r="K222" s="117">
        <f t="shared" si="24"/>
        <v>0.4</v>
      </c>
      <c r="L222" s="117">
        <f t="shared" si="24"/>
        <v>0.4</v>
      </c>
      <c r="M222" s="117">
        <f t="shared" si="24"/>
        <v>0.4</v>
      </c>
      <c r="N222" s="117">
        <f t="shared" si="24"/>
        <v>0.4</v>
      </c>
      <c r="O222" s="117">
        <f t="shared" si="24"/>
        <v>0.4</v>
      </c>
      <c r="P222" s="117">
        <f t="shared" si="24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226</v>
      </c>
      <c r="B223" s="121">
        <f t="shared" si="23"/>
        <v>0</v>
      </c>
      <c r="C223" s="121">
        <v>0.64</v>
      </c>
      <c r="D223" s="121">
        <f t="shared" si="24"/>
        <v>0.64</v>
      </c>
      <c r="E223" s="121">
        <f t="shared" si="24"/>
        <v>0.64</v>
      </c>
      <c r="F223" s="121">
        <f t="shared" si="24"/>
        <v>0.64</v>
      </c>
      <c r="G223" s="121">
        <f t="shared" si="24"/>
        <v>0.64</v>
      </c>
      <c r="H223" s="121">
        <f t="shared" si="24"/>
        <v>0.64</v>
      </c>
      <c r="I223" s="121">
        <f t="shared" si="24"/>
        <v>0.64</v>
      </c>
      <c r="J223" s="121">
        <f t="shared" si="24"/>
        <v>0.64</v>
      </c>
      <c r="K223" s="121">
        <f t="shared" si="24"/>
        <v>0.64</v>
      </c>
      <c r="L223" s="121">
        <f t="shared" si="24"/>
        <v>0.64</v>
      </c>
      <c r="M223" s="121">
        <f t="shared" si="24"/>
        <v>0.64</v>
      </c>
      <c r="N223" s="121">
        <f t="shared" si="24"/>
        <v>0.64</v>
      </c>
      <c r="O223" s="121">
        <f t="shared" si="24"/>
        <v>0.64</v>
      </c>
      <c r="P223" s="121">
        <f t="shared" si="24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5">SUM(B218:B223)</f>
        <v>0</v>
      </c>
      <c r="C224" s="125">
        <f t="shared" si="25"/>
        <v>3.54</v>
      </c>
      <c r="D224" s="125">
        <f t="shared" si="25"/>
        <v>3.54</v>
      </c>
      <c r="E224" s="125">
        <f t="shared" si="25"/>
        <v>3.54</v>
      </c>
      <c r="F224" s="125">
        <f t="shared" si="25"/>
        <v>3.54</v>
      </c>
      <c r="G224" s="125">
        <f t="shared" si="25"/>
        <v>3.54</v>
      </c>
      <c r="H224" s="125">
        <f t="shared" si="25"/>
        <v>3.54</v>
      </c>
      <c r="I224" s="125">
        <f t="shared" si="25"/>
        <v>3.54</v>
      </c>
      <c r="J224" s="125">
        <f t="shared" si="25"/>
        <v>3.54</v>
      </c>
      <c r="K224" s="125">
        <f t="shared" si="25"/>
        <v>3.54</v>
      </c>
      <c r="L224" s="125">
        <f t="shared" si="25"/>
        <v>3.54</v>
      </c>
      <c r="M224" s="125">
        <f t="shared" si="25"/>
        <v>3.54</v>
      </c>
      <c r="N224" s="125">
        <f t="shared" si="25"/>
        <v>3.54</v>
      </c>
      <c r="O224" s="125">
        <f t="shared" si="25"/>
        <v>3.54</v>
      </c>
      <c r="P224" s="125">
        <f t="shared" si="25"/>
        <v>3.54</v>
      </c>
      <c r="Q224" s="125">
        <f t="shared" si="25"/>
        <v>0</v>
      </c>
      <c r="R224" s="125">
        <f t="shared" si="25"/>
        <v>0</v>
      </c>
      <c r="S224" s="125">
        <f t="shared" si="25"/>
        <v>0</v>
      </c>
      <c r="T224" s="125">
        <f t="shared" si="25"/>
        <v>0</v>
      </c>
      <c r="U224" s="125">
        <f t="shared" si="25"/>
        <v>0</v>
      </c>
      <c r="V224" s="125">
        <f t="shared" si="25"/>
        <v>0</v>
      </c>
      <c r="W224" s="125">
        <f t="shared" si="25"/>
        <v>0</v>
      </c>
      <c r="X224" s="125">
        <f t="shared" si="25"/>
        <v>0</v>
      </c>
      <c r="Y224" s="125">
        <f t="shared" si="25"/>
        <v>0</v>
      </c>
      <c r="Z224" s="125">
        <f t="shared" si="25"/>
        <v>0</v>
      </c>
      <c r="AA224" s="125">
        <f t="shared" si="25"/>
        <v>0</v>
      </c>
      <c r="AB224" s="125">
        <f t="shared" si="25"/>
        <v>0</v>
      </c>
      <c r="AC224" s="125">
        <f t="shared" si="25"/>
        <v>0</v>
      </c>
      <c r="AD224" s="125">
        <f t="shared" si="25"/>
        <v>0</v>
      </c>
      <c r="AE224" s="125">
        <f t="shared" si="25"/>
        <v>0</v>
      </c>
      <c r="AF224" s="125">
        <f t="shared" si="25"/>
        <v>0</v>
      </c>
      <c r="AG224" s="134">
        <f t="shared" si="25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227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229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230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231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232</v>
      </c>
      <c r="B233" s="149">
        <f>MAX(G81:N81)</f>
        <v>273.54000000000002</v>
      </c>
      <c r="C233" s="150">
        <f>INDEX(G9:N9,1,MATCH(MAX(G81:N81),G81:N81,0))</f>
        <v>0.20833333333333301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Sample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175" t="s">
        <v>233</v>
      </c>
      <c r="B235" s="175"/>
      <c r="C235" s="43"/>
      <c r="D235" s="151" t="e">
        <f ca="1">"Pie Chart of Daily Peak Demand(Inclusive of Export) of Nepal ("&amp;A4&amp;" "&amp;B4&amp;")"</f>
        <v>#VALUE!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e">
        <f ca="1">"Daily Load Curve(Excluding of Export) of Nepal ("&amp;A4&amp;" "&amp;B4&amp;")"</f>
        <v>#VALUE!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234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235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236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237</v>
      </c>
      <c r="T238" s="159">
        <f t="shared" ref="T238:AX238" si="26">B81</f>
        <v>273.54000000000002</v>
      </c>
      <c r="U238" s="159">
        <f t="shared" si="26"/>
        <v>273.54000000000002</v>
      </c>
      <c r="V238" s="159">
        <f t="shared" si="26"/>
        <v>273.54000000000002</v>
      </c>
      <c r="W238" s="159">
        <f t="shared" si="26"/>
        <v>273.54000000000002</v>
      </c>
      <c r="X238" s="159">
        <f t="shared" si="26"/>
        <v>273.54000000000002</v>
      </c>
      <c r="Y238" s="159">
        <f t="shared" si="26"/>
        <v>273.54000000000002</v>
      </c>
      <c r="Z238" s="159">
        <f t="shared" si="26"/>
        <v>273.54000000000002</v>
      </c>
      <c r="AA238" s="159">
        <f t="shared" si="26"/>
        <v>273.54000000000002</v>
      </c>
      <c r="AB238" s="159">
        <f t="shared" si="26"/>
        <v>273.54000000000002</v>
      </c>
      <c r="AC238" s="159">
        <f t="shared" si="26"/>
        <v>273.54000000000002</v>
      </c>
      <c r="AD238" s="159">
        <f t="shared" si="26"/>
        <v>273.54000000000002</v>
      </c>
      <c r="AE238" s="159">
        <f t="shared" si="26"/>
        <v>273.54000000000002</v>
      </c>
      <c r="AF238" s="159">
        <f t="shared" si="26"/>
        <v>273.54000000000002</v>
      </c>
      <c r="AG238" s="159">
        <f t="shared" si="26"/>
        <v>273.54000000000002</v>
      </c>
      <c r="AH238" s="159">
        <f t="shared" si="26"/>
        <v>273.54000000000002</v>
      </c>
      <c r="AI238" s="159">
        <f t="shared" si="26"/>
        <v>273.54000000000002</v>
      </c>
      <c r="AJ238" s="159">
        <f t="shared" si="26"/>
        <v>273.54000000000002</v>
      </c>
      <c r="AK238" s="159">
        <f t="shared" si="26"/>
        <v>273.54000000000002</v>
      </c>
      <c r="AL238" s="159">
        <f t="shared" si="26"/>
        <v>273.54000000000002</v>
      </c>
      <c r="AM238" s="159">
        <f t="shared" si="26"/>
        <v>273.54000000000002</v>
      </c>
      <c r="AN238" s="159">
        <f t="shared" si="26"/>
        <v>273.54000000000002</v>
      </c>
      <c r="AO238" s="159">
        <f t="shared" si="26"/>
        <v>273.54000000000002</v>
      </c>
      <c r="AP238" s="159">
        <f t="shared" si="26"/>
        <v>273.54000000000002</v>
      </c>
      <c r="AQ238" s="159">
        <f t="shared" si="26"/>
        <v>273.54000000000002</v>
      </c>
      <c r="AR238" s="159">
        <f t="shared" si="26"/>
        <v>273.54000000000002</v>
      </c>
      <c r="AS238" s="159">
        <f t="shared" si="26"/>
        <v>273.54000000000002</v>
      </c>
      <c r="AT238" s="159">
        <f t="shared" si="26"/>
        <v>273.54000000000002</v>
      </c>
      <c r="AU238" s="159">
        <f t="shared" si="26"/>
        <v>273.54000000000002</v>
      </c>
      <c r="AV238" s="159">
        <f t="shared" si="26"/>
        <v>273.54000000000002</v>
      </c>
      <c r="AW238" s="159">
        <f t="shared" si="26"/>
        <v>273.54000000000002</v>
      </c>
      <c r="AX238" s="159">
        <f t="shared" si="26"/>
        <v>273.54000000000002</v>
      </c>
    </row>
    <row r="239" spans="1:50" x14ac:dyDescent="0.25">
      <c r="A239" s="152" t="s">
        <v>238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239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240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241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242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227</v>
      </c>
      <c r="B259" s="162">
        <f t="shared" ref="B259:AE259" si="27">C223</f>
        <v>0.64</v>
      </c>
      <c r="C259" s="162">
        <f t="shared" si="27"/>
        <v>0.64</v>
      </c>
      <c r="D259" s="162">
        <f t="shared" si="27"/>
        <v>0.64</v>
      </c>
      <c r="E259" s="162">
        <f t="shared" si="27"/>
        <v>0.64</v>
      </c>
      <c r="F259" s="162">
        <f t="shared" si="27"/>
        <v>0.64</v>
      </c>
      <c r="G259" s="162">
        <f t="shared" si="27"/>
        <v>0.64</v>
      </c>
      <c r="H259" s="162">
        <f t="shared" si="27"/>
        <v>0.64</v>
      </c>
      <c r="I259" s="162">
        <f t="shared" si="27"/>
        <v>0.64</v>
      </c>
      <c r="J259" s="162">
        <f t="shared" si="27"/>
        <v>0.64</v>
      </c>
      <c r="K259" s="162">
        <f t="shared" si="27"/>
        <v>0.64</v>
      </c>
      <c r="L259" s="162">
        <f t="shared" si="27"/>
        <v>0.64</v>
      </c>
      <c r="M259" s="162">
        <f t="shared" si="27"/>
        <v>0.64</v>
      </c>
      <c r="N259" s="162">
        <f t="shared" si="27"/>
        <v>0.64</v>
      </c>
      <c r="O259" s="162">
        <f t="shared" si="27"/>
        <v>0.64</v>
      </c>
      <c r="P259" s="162">
        <f t="shared" si="27"/>
        <v>0</v>
      </c>
      <c r="Q259" s="162">
        <f t="shared" si="27"/>
        <v>0</v>
      </c>
      <c r="R259" s="162">
        <f t="shared" si="27"/>
        <v>0</v>
      </c>
      <c r="S259" s="162">
        <f t="shared" si="27"/>
        <v>0</v>
      </c>
      <c r="T259" s="162">
        <f t="shared" si="27"/>
        <v>0</v>
      </c>
      <c r="U259" s="162">
        <f t="shared" si="27"/>
        <v>0</v>
      </c>
      <c r="V259" s="162">
        <f t="shared" si="27"/>
        <v>0</v>
      </c>
      <c r="W259" s="162">
        <f t="shared" si="27"/>
        <v>0</v>
      </c>
      <c r="X259" s="162">
        <f t="shared" si="27"/>
        <v>0</v>
      </c>
      <c r="Y259" s="162">
        <f t="shared" si="27"/>
        <v>0</v>
      </c>
      <c r="Z259" s="162">
        <f t="shared" si="27"/>
        <v>0</v>
      </c>
      <c r="AA259" s="162">
        <f t="shared" si="27"/>
        <v>0</v>
      </c>
      <c r="AB259" s="162">
        <f t="shared" si="27"/>
        <v>0</v>
      </c>
      <c r="AC259" s="162">
        <f t="shared" si="27"/>
        <v>0</v>
      </c>
      <c r="AD259" s="162">
        <f t="shared" si="27"/>
        <v>0</v>
      </c>
      <c r="AE259" s="162">
        <f t="shared" si="27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28">IF(B227&lt;100,"",B227-520)</f>
        <v/>
      </c>
      <c r="C260" s="163" t="str">
        <f t="shared" si="28"/>
        <v/>
      </c>
      <c r="D260" s="163" t="str">
        <f t="shared" si="28"/>
        <v/>
      </c>
      <c r="E260" s="163" t="str">
        <f t="shared" si="28"/>
        <v/>
      </c>
      <c r="F260" s="163" t="str">
        <f t="shared" si="28"/>
        <v/>
      </c>
      <c r="G260" s="163" t="str">
        <f t="shared" si="28"/>
        <v/>
      </c>
      <c r="H260" s="163" t="str">
        <f t="shared" si="28"/>
        <v/>
      </c>
      <c r="I260" s="163" t="str">
        <f t="shared" si="28"/>
        <v/>
      </c>
      <c r="J260" s="163" t="str">
        <f t="shared" si="28"/>
        <v/>
      </c>
      <c r="K260" s="163" t="str">
        <f t="shared" si="28"/>
        <v/>
      </c>
      <c r="L260" s="163" t="str">
        <f t="shared" si="28"/>
        <v/>
      </c>
      <c r="M260" s="163" t="str">
        <f t="shared" si="28"/>
        <v/>
      </c>
      <c r="N260" s="163" t="str">
        <f t="shared" si="28"/>
        <v/>
      </c>
      <c r="O260" s="163" t="str">
        <f t="shared" si="28"/>
        <v/>
      </c>
      <c r="P260" s="163" t="str">
        <f t="shared" si="28"/>
        <v/>
      </c>
      <c r="Q260" s="163" t="str">
        <f t="shared" si="28"/>
        <v/>
      </c>
      <c r="R260" s="163" t="str">
        <f t="shared" si="28"/>
        <v/>
      </c>
      <c r="S260" s="163" t="str">
        <f t="shared" si="28"/>
        <v/>
      </c>
      <c r="T260" s="163" t="str">
        <f t="shared" si="28"/>
        <v/>
      </c>
      <c r="U260" s="163" t="str">
        <f t="shared" si="28"/>
        <v/>
      </c>
      <c r="V260" s="163" t="str">
        <f t="shared" si="28"/>
        <v/>
      </c>
      <c r="W260" s="163" t="str">
        <f t="shared" si="28"/>
        <v/>
      </c>
      <c r="X260" s="163" t="str">
        <f t="shared" si="28"/>
        <v/>
      </c>
      <c r="Y260" s="163" t="str">
        <f t="shared" si="28"/>
        <v/>
      </c>
      <c r="Z260" s="163" t="str">
        <f t="shared" si="28"/>
        <v/>
      </c>
      <c r="AA260" s="163" t="str">
        <f t="shared" si="28"/>
        <v/>
      </c>
      <c r="AB260" s="163" t="str">
        <f t="shared" si="28"/>
        <v/>
      </c>
      <c r="AC260" s="163" t="str">
        <f t="shared" si="28"/>
        <v/>
      </c>
      <c r="AD260" s="163" t="str">
        <f t="shared" si="28"/>
        <v/>
      </c>
      <c r="AE260" s="163" t="str">
        <f t="shared" si="28"/>
        <v/>
      </c>
      <c r="AF260" s="163" t="str">
        <f t="shared" si="28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29">IF(B228&lt;100,"",B228-620)</f>
        <v/>
      </c>
      <c r="C261" s="163" t="str">
        <f t="shared" si="29"/>
        <v/>
      </c>
      <c r="D261" s="163" t="str">
        <f t="shared" si="29"/>
        <v/>
      </c>
      <c r="E261" s="163" t="str">
        <f t="shared" si="29"/>
        <v/>
      </c>
      <c r="F261" s="163" t="str">
        <f t="shared" si="29"/>
        <v/>
      </c>
      <c r="G261" s="163" t="str">
        <f t="shared" si="29"/>
        <v/>
      </c>
      <c r="H261" s="163" t="str">
        <f t="shared" si="29"/>
        <v/>
      </c>
      <c r="I261" s="163" t="str">
        <f t="shared" si="29"/>
        <v/>
      </c>
      <c r="J261" s="163" t="str">
        <f t="shared" si="29"/>
        <v/>
      </c>
      <c r="K261" s="163" t="str">
        <f t="shared" si="29"/>
        <v/>
      </c>
      <c r="L261" s="163" t="str">
        <f t="shared" si="29"/>
        <v/>
      </c>
      <c r="M261" s="163" t="str">
        <f t="shared" si="29"/>
        <v/>
      </c>
      <c r="N261" s="163" t="str">
        <f t="shared" si="29"/>
        <v/>
      </c>
      <c r="O261" s="163" t="str">
        <f t="shared" si="29"/>
        <v/>
      </c>
      <c r="P261" s="163" t="str">
        <f t="shared" si="29"/>
        <v/>
      </c>
      <c r="Q261" s="163" t="str">
        <f t="shared" si="29"/>
        <v/>
      </c>
      <c r="R261" s="163" t="str">
        <f t="shared" si="29"/>
        <v/>
      </c>
      <c r="S261" s="163" t="str">
        <f t="shared" si="29"/>
        <v/>
      </c>
      <c r="T261" s="163" t="str">
        <f t="shared" si="29"/>
        <v/>
      </c>
      <c r="U261" s="163" t="str">
        <f t="shared" si="29"/>
        <v/>
      </c>
      <c r="V261" s="163" t="str">
        <f t="shared" si="29"/>
        <v/>
      </c>
      <c r="W261" s="163" t="str">
        <f t="shared" si="29"/>
        <v/>
      </c>
      <c r="X261" s="163" t="str">
        <f t="shared" si="29"/>
        <v/>
      </c>
      <c r="Y261" s="163" t="str">
        <f t="shared" si="29"/>
        <v/>
      </c>
      <c r="Z261" s="163" t="str">
        <f t="shared" si="29"/>
        <v/>
      </c>
      <c r="AA261" s="163" t="str">
        <f t="shared" si="29"/>
        <v/>
      </c>
      <c r="AB261" s="163" t="str">
        <f t="shared" si="29"/>
        <v/>
      </c>
      <c r="AC261" s="163" t="str">
        <f t="shared" si="29"/>
        <v/>
      </c>
      <c r="AD261" s="163" t="str">
        <f t="shared" si="29"/>
        <v/>
      </c>
      <c r="AE261" s="163" t="str">
        <f t="shared" si="29"/>
        <v/>
      </c>
      <c r="AF261" s="163" t="str">
        <f t="shared" si="29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0">IF(B229&lt;100,"",B229-330)</f>
        <v/>
      </c>
      <c r="C262" s="163" t="str">
        <f t="shared" si="30"/>
        <v/>
      </c>
      <c r="D262" s="163" t="str">
        <f t="shared" si="30"/>
        <v/>
      </c>
      <c r="E262" s="163" t="str">
        <f t="shared" si="30"/>
        <v/>
      </c>
      <c r="F262" s="163" t="str">
        <f t="shared" si="30"/>
        <v/>
      </c>
      <c r="G262" s="163" t="str">
        <f t="shared" si="30"/>
        <v/>
      </c>
      <c r="H262" s="163" t="str">
        <f t="shared" si="30"/>
        <v/>
      </c>
      <c r="I262" s="163" t="str">
        <f t="shared" si="30"/>
        <v/>
      </c>
      <c r="J262" s="163" t="str">
        <f t="shared" si="30"/>
        <v/>
      </c>
      <c r="K262" s="163" t="str">
        <f t="shared" si="30"/>
        <v/>
      </c>
      <c r="L262" s="163" t="str">
        <f t="shared" si="30"/>
        <v/>
      </c>
      <c r="M262" s="163" t="str">
        <f t="shared" si="30"/>
        <v/>
      </c>
      <c r="N262" s="163" t="str">
        <f t="shared" si="30"/>
        <v/>
      </c>
      <c r="O262" s="163" t="str">
        <f t="shared" si="30"/>
        <v/>
      </c>
      <c r="P262" s="163" t="str">
        <f t="shared" si="30"/>
        <v/>
      </c>
      <c r="Q262" s="163" t="str">
        <f t="shared" si="30"/>
        <v/>
      </c>
      <c r="R262" s="163" t="str">
        <f t="shared" si="30"/>
        <v/>
      </c>
      <c r="S262" s="163" t="str">
        <f t="shared" si="30"/>
        <v/>
      </c>
      <c r="T262" s="163" t="str">
        <f t="shared" si="30"/>
        <v/>
      </c>
      <c r="U262" s="163" t="str">
        <f t="shared" si="30"/>
        <v/>
      </c>
      <c r="V262" s="163" t="str">
        <f t="shared" si="30"/>
        <v/>
      </c>
      <c r="W262" s="163" t="str">
        <f t="shared" si="30"/>
        <v/>
      </c>
      <c r="X262" s="163" t="str">
        <f t="shared" si="30"/>
        <v/>
      </c>
      <c r="Y262" s="163" t="str">
        <f t="shared" si="30"/>
        <v/>
      </c>
      <c r="Z262" s="163" t="str">
        <f t="shared" si="30"/>
        <v/>
      </c>
      <c r="AA262" s="163" t="str">
        <f t="shared" si="30"/>
        <v/>
      </c>
      <c r="AB262" s="163" t="str">
        <f t="shared" si="30"/>
        <v/>
      </c>
      <c r="AC262" s="163" t="str">
        <f t="shared" si="30"/>
        <v/>
      </c>
      <c r="AD262" s="163" t="str">
        <f t="shared" si="30"/>
        <v/>
      </c>
      <c r="AE262" s="163" t="str">
        <f t="shared" si="30"/>
        <v/>
      </c>
      <c r="AF262" s="163" t="str">
        <f t="shared" si="30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1">IF(B230&lt;100,"",B230-1500)</f>
        <v/>
      </c>
      <c r="C263" s="163" t="str">
        <f t="shared" si="31"/>
        <v/>
      </c>
      <c r="D263" s="163" t="str">
        <f t="shared" si="31"/>
        <v/>
      </c>
      <c r="E263" s="163" t="str">
        <f t="shared" si="31"/>
        <v/>
      </c>
      <c r="F263" s="163" t="str">
        <f t="shared" si="31"/>
        <v/>
      </c>
      <c r="G263" s="163" t="str">
        <f t="shared" si="31"/>
        <v/>
      </c>
      <c r="H263" s="163" t="str">
        <f t="shared" si="31"/>
        <v/>
      </c>
      <c r="I263" s="163" t="str">
        <f t="shared" si="31"/>
        <v/>
      </c>
      <c r="J263" s="163" t="str">
        <f t="shared" si="31"/>
        <v/>
      </c>
      <c r="K263" s="163" t="str">
        <f t="shared" si="31"/>
        <v/>
      </c>
      <c r="L263" s="163" t="str">
        <f t="shared" si="31"/>
        <v/>
      </c>
      <c r="M263" s="163" t="str">
        <f t="shared" si="31"/>
        <v/>
      </c>
      <c r="N263" s="163" t="str">
        <f t="shared" si="31"/>
        <v/>
      </c>
      <c r="O263" s="163" t="str">
        <f t="shared" si="31"/>
        <v/>
      </c>
      <c r="P263" s="163" t="str">
        <f t="shared" si="31"/>
        <v/>
      </c>
      <c r="Q263" s="163" t="str">
        <f t="shared" si="31"/>
        <v/>
      </c>
      <c r="R263" s="163" t="str">
        <f t="shared" si="31"/>
        <v/>
      </c>
      <c r="S263" s="163" t="str">
        <f t="shared" si="31"/>
        <v/>
      </c>
      <c r="T263" s="163" t="str">
        <f t="shared" si="31"/>
        <v/>
      </c>
      <c r="U263" s="163" t="str">
        <f t="shared" si="31"/>
        <v/>
      </c>
      <c r="V263" s="163" t="str">
        <f t="shared" si="31"/>
        <v/>
      </c>
      <c r="W263" s="163" t="str">
        <f t="shared" si="31"/>
        <v/>
      </c>
      <c r="X263" s="163" t="str">
        <f t="shared" si="31"/>
        <v/>
      </c>
      <c r="Y263" s="163" t="str">
        <f t="shared" si="31"/>
        <v/>
      </c>
      <c r="Z263" s="163" t="str">
        <f t="shared" si="31"/>
        <v/>
      </c>
      <c r="AA263" s="163" t="str">
        <f t="shared" si="31"/>
        <v/>
      </c>
      <c r="AB263" s="163" t="str">
        <f t="shared" si="31"/>
        <v/>
      </c>
      <c r="AC263" s="163" t="str">
        <f t="shared" si="31"/>
        <v/>
      </c>
      <c r="AD263" s="163" t="str">
        <f t="shared" si="31"/>
        <v/>
      </c>
      <c r="AE263" s="163" t="str">
        <f t="shared" si="31"/>
        <v/>
      </c>
      <c r="AF263" s="163" t="str">
        <f t="shared" si="31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T11:AF11 C101:AF101 C103:AF108 B20:AF23 B16:AF16">
    <cfRule type="expression" dxfId="2475" priority="239">
      <formula>B$9&gt;=20/24</formula>
    </cfRule>
    <cfRule type="expression" dxfId="2474" priority="240">
      <formula>AND(B$9&gt;=14/24,B$9&lt;20/24)</formula>
    </cfRule>
    <cfRule type="expression" dxfId="2473" priority="241">
      <formula>AND(B$9&gt;=8/24,B$9&lt;14/24)</formula>
    </cfRule>
    <cfRule type="expression" dxfId="2472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2471" priority="234">
      <formula>S$9&gt;=20/24</formula>
    </cfRule>
    <cfRule type="expression" dxfId="2470" priority="235">
      <formula>AND(S$9&gt;=14/24,S$9&lt;20/24)</formula>
    </cfRule>
    <cfRule type="expression" dxfId="2469" priority="236">
      <formula>AND(S$9&gt;=8/24,S$9&lt;14/24)</formula>
    </cfRule>
    <cfRule type="expression" dxfId="2468" priority="237">
      <formula>S$9&lt;8/24</formula>
    </cfRule>
  </conditionalFormatting>
  <conditionalFormatting sqref="AG57 B12:Q15 S39:AF39 R11:AF15 B37:AF37 B18:AF18 B20:AF23 B16:AF16">
    <cfRule type="expression" dxfId="2467" priority="233">
      <formula>B11&gt;$AG11</formula>
    </cfRule>
  </conditionalFormatting>
  <conditionalFormatting sqref="A91:A101 A11:A14 A51:A78 A87:A89 A194:A224 A38:A49 A110:A181 A34:A35 A83:A85 A80:A81 A103:A105 A31:A32 A18:A29 A16">
    <cfRule type="expression" dxfId="2466" priority="232">
      <formula>$AH11=0</formula>
    </cfRule>
  </conditionalFormatting>
  <conditionalFormatting sqref="A106">
    <cfRule type="expression" dxfId="2465" priority="231">
      <formula>$AH106=0</formula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464" priority="229">
      <formula>$AH37=0</formula>
    </cfRule>
  </conditionalFormatting>
  <conditionalFormatting sqref="A90">
    <cfRule type="expression" dxfId="2463" priority="228">
      <formula>$AH90=0</formula>
    </cfRule>
  </conditionalFormatting>
  <conditionalFormatting sqref="A15">
    <cfRule type="expression" dxfId="2462" priority="227">
      <formula>$AH15=0</formula>
    </cfRule>
  </conditionalFormatting>
  <conditionalFormatting sqref="A188:A193">
    <cfRule type="expression" dxfId="2461" priority="226">
      <formula>$AH188=0</formula>
    </cfRule>
  </conditionalFormatting>
  <conditionalFormatting sqref="A182:A187">
    <cfRule type="expression" dxfId="2460" priority="225">
      <formula>$AH182=0</formula>
    </cfRule>
  </conditionalFormatting>
  <conditionalFormatting sqref="A50">
    <cfRule type="expression" dxfId="2459" priority="224">
      <formula>$AH50=0</formula>
    </cfRule>
  </conditionalFormatting>
  <conditionalFormatting sqref="A86">
    <cfRule type="expression" dxfId="2458" priority="223">
      <formula>$AH86=0</formula>
    </cfRule>
  </conditionalFormatting>
  <conditionalFormatting sqref="C91:AF91">
    <cfRule type="expression" dxfId="2457" priority="219">
      <formula>C$9&gt;=20/24</formula>
    </cfRule>
    <cfRule type="expression" dxfId="2456" priority="220">
      <formula>AND(C$9&gt;=14/24,C$9&lt;20/24)</formula>
    </cfRule>
    <cfRule type="expression" dxfId="2455" priority="221">
      <formula>AND(C$9&gt;=8/24,C$9&lt;14/24)</formula>
    </cfRule>
    <cfRule type="expression" dxfId="2454" priority="222">
      <formula>C$9&lt;8/24</formula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453" priority="245">
      <formula>C$9&gt;=20/24</formula>
    </cfRule>
    <cfRule type="expression" dxfId="2452" priority="246">
      <formula>AND(C$9&gt;=14/24,C$9&lt;20/24)</formula>
    </cfRule>
    <cfRule type="expression" dxfId="2451" priority="247">
      <formula>AND(C$9&gt;=8/24,C$9&lt;14/24)</formula>
    </cfRule>
    <cfRule type="expression" dxfId="2450" priority="248">
      <formula>C$9&lt;8/24</formula>
    </cfRule>
  </conditionalFormatting>
  <conditionalFormatting sqref="A225">
    <cfRule type="expression" dxfId="2449" priority="249">
      <formula>$AH225=0</formula>
    </cfRule>
  </conditionalFormatting>
  <conditionalFormatting sqref="AG237">
    <cfRule type="expression" dxfId="2448" priority="250">
      <formula>B$9&gt;=20/24</formula>
    </cfRule>
    <cfRule type="expression" dxfId="2447" priority="251">
      <formula>AND(B$9&gt;=14/24,B$9&lt;20/24)</formula>
    </cfRule>
    <cfRule type="expression" dxfId="2446" priority="252">
      <formula>AND(B$9&gt;=8/24,B$9&lt;14/24)</formula>
    </cfRule>
    <cfRule type="expression" dxfId="2445" priority="253">
      <formula>B$9&lt;8/24</formula>
    </cfRule>
  </conditionalFormatting>
  <conditionalFormatting sqref="S8">
    <cfRule type="expression" dxfId="2444" priority="214">
      <formula>U$9&gt;=20/24</formula>
    </cfRule>
    <cfRule type="expression" dxfId="2443" priority="215">
      <formula>AND(U$9&gt;=14/24,U$9&lt;20/24)</formula>
    </cfRule>
    <cfRule type="expression" dxfId="2442" priority="216">
      <formula>AND(U$9&gt;=8/24,U$9&lt;14/24)</formula>
    </cfRule>
    <cfRule type="expression" dxfId="2441" priority="217">
      <formula>U$9&lt;8/24</formula>
    </cfRule>
  </conditionalFormatting>
  <conditionalFormatting sqref="AB8">
    <cfRule type="expression" dxfId="2440" priority="210">
      <formula>AD$9&gt;=20/24</formula>
    </cfRule>
    <cfRule type="expression" dxfId="2439" priority="211">
      <formula>AND(AD$9&gt;=14/24,AD$9&lt;20/24)</formula>
    </cfRule>
    <cfRule type="expression" dxfId="2438" priority="212">
      <formula>AND(AD$9&gt;=8/24,AD$9&lt;14/24)</formula>
    </cfRule>
    <cfRule type="expression" dxfId="2437" priority="213">
      <formula>AD$9&lt;8/24</formula>
    </cfRule>
  </conditionalFormatting>
  <conditionalFormatting sqref="AH237:AX237">
    <cfRule type="expression" dxfId="2436" priority="254">
      <formula>AG$9&gt;=20/24</formula>
    </cfRule>
    <cfRule type="expression" dxfId="2435" priority="255">
      <formula>AND(AG$9&gt;=14/24,AG$9&lt;20/24)</formula>
    </cfRule>
    <cfRule type="expression" dxfId="2434" priority="256">
      <formula>AND(AG$9&gt;=8/24,AG$9&lt;14/24)</formula>
    </cfRule>
    <cfRule type="expression" dxfId="2433" priority="257">
      <formula>AG$9&lt;8/24</formula>
    </cfRule>
  </conditionalFormatting>
  <conditionalFormatting sqref="T237">
    <cfRule type="expression" dxfId="2432" priority="258">
      <formula>AX$9&gt;=20/24</formula>
    </cfRule>
    <cfRule type="expression" dxfId="2431" priority="259">
      <formula>AND(AX$9&gt;=14/24,AX$9&lt;20/24)</formula>
    </cfRule>
    <cfRule type="expression" dxfId="2430" priority="260">
      <formula>AND(AX$9&gt;=8/24,AX$9&lt;14/24)</formula>
    </cfRule>
    <cfRule type="expression" dxfId="2429" priority="261">
      <formula>AX$9&lt;8/24</formula>
    </cfRule>
  </conditionalFormatting>
  <conditionalFormatting sqref="A107:A108">
    <cfRule type="expression" dxfId="2428" priority="209">
      <formula>$AH107=0</formula>
    </cfRule>
  </conditionalFormatting>
  <conditionalFormatting sqref="S46:W47 E46:M47 Y46:AF47 E63:AF63 M48:M49">
    <cfRule type="expression" dxfId="2427" priority="205">
      <formula>E$9&gt;=20/24</formula>
    </cfRule>
    <cfRule type="expression" dxfId="2426" priority="206">
      <formula>AND(E$9&gt;=14/24,E$9&lt;20/24)</formula>
    </cfRule>
    <cfRule type="expression" dxfId="2425" priority="207">
      <formula>AND(E$9&gt;=8/24,E$9&lt;14/24)</formula>
    </cfRule>
    <cfRule type="expression" dxfId="2424" priority="208">
      <formula>E$9&lt;8/24</formula>
    </cfRule>
  </conditionalFormatting>
  <conditionalFormatting sqref="S45:W45 E45:L45 Y45:AF45">
    <cfRule type="expression" dxfId="2423" priority="201">
      <formula>E$9&gt;=20/24</formula>
    </cfRule>
    <cfRule type="expression" dxfId="2422" priority="202">
      <formula>AND(E$9&gt;=14/24,E$9&lt;20/24)</formula>
    </cfRule>
    <cfRule type="expression" dxfId="2421" priority="203">
      <formula>AND(E$9&gt;=8/24,E$9&lt;14/24)</formula>
    </cfRule>
    <cfRule type="expression" dxfId="2420" priority="204">
      <formula>E$9&lt;8/24</formula>
    </cfRule>
  </conditionalFormatting>
  <conditionalFormatting sqref="S45:W47 E45:L45 E46:M47 Y45:AF47 M48:M49">
    <cfRule type="expression" dxfId="2419" priority="200">
      <formula>E45&gt;$AG45</formula>
    </cfRule>
  </conditionalFormatting>
  <conditionalFormatting sqref="C88:AF88 C75:AF78 L39:R39 R11:S14 E64:S65 D92:AF98 T25:AF27 T29:AF29 T12:AF14 R18:AF18 S59:AF61 T64:AF73 T31:AF34">
    <cfRule type="expression" dxfId="2418" priority="196">
      <formula>C$9&gt;=20/24</formula>
    </cfRule>
    <cfRule type="expression" dxfId="2417" priority="197">
      <formula>AND(C$9&gt;=14/24,C$9&lt;20/24)</formula>
    </cfRule>
    <cfRule type="expression" dxfId="2416" priority="198">
      <formula>AND(C$9&gt;=8/24,C$9&lt;14/24)</formula>
    </cfRule>
    <cfRule type="expression" dxfId="2415" priority="199">
      <formula>C$9&lt;8/24</formula>
    </cfRule>
  </conditionalFormatting>
  <conditionalFormatting sqref="T35:AF35">
    <cfRule type="expression" dxfId="2414" priority="192">
      <formula>T$9&gt;=20/24</formula>
    </cfRule>
    <cfRule type="expression" dxfId="2413" priority="193">
      <formula>AND(T$9&gt;=14/24,T$9&lt;20/24)</formula>
    </cfRule>
    <cfRule type="expression" dxfId="2412" priority="194">
      <formula>AND(T$9&gt;=8/24,T$9&lt;14/24)</formula>
    </cfRule>
    <cfRule type="expression" dxfId="2411" priority="195">
      <formula>T$9&lt;8/24</formula>
    </cfRule>
  </conditionalFormatting>
  <conditionalFormatting sqref="AB48:AF49 C57:AF57 L39:R39 E48:L48 R11:S11 T25:AF29 S59:AF61 T31:AF35">
    <cfRule type="expression" dxfId="2410" priority="191">
      <formula>C11&gt;$AG11</formula>
    </cfRule>
  </conditionalFormatting>
  <conditionalFormatting sqref="T37:AF37">
    <cfRule type="expression" dxfId="2409" priority="187">
      <formula>T$9&gt;=20/24</formula>
    </cfRule>
    <cfRule type="expression" dxfId="2408" priority="188">
      <formula>AND(T$9&gt;=14/24,T$9&lt;20/24)</formula>
    </cfRule>
    <cfRule type="expression" dxfId="2407" priority="189">
      <formula>AND(T$9&gt;=8/24,T$9&lt;14/24)</formula>
    </cfRule>
    <cfRule type="expression" dxfId="2406" priority="190">
      <formula>T$9&lt;8/24</formula>
    </cfRule>
  </conditionalFormatting>
  <conditionalFormatting sqref="R15:AF15">
    <cfRule type="expression" dxfId="2405" priority="183">
      <formula>R$9&gt;=20/24</formula>
    </cfRule>
    <cfRule type="expression" dxfId="2404" priority="184">
      <formula>AND(R$9&gt;=14/24,R$9&lt;20/24)</formula>
    </cfRule>
    <cfRule type="expression" dxfId="2403" priority="185">
      <formula>AND(R$9&gt;=8/24,R$9&lt;14/24)</formula>
    </cfRule>
    <cfRule type="expression" dxfId="2402" priority="186">
      <formula>R$9&lt;8/24</formula>
    </cfRule>
  </conditionalFormatting>
  <conditionalFormatting sqref="T36:AF36">
    <cfRule type="expression" dxfId="2401" priority="179">
      <formula>T$9&gt;=20/24</formula>
    </cfRule>
    <cfRule type="expression" dxfId="2400" priority="180">
      <formula>AND(T$9&gt;=14/24,T$9&lt;20/24)</formula>
    </cfRule>
    <cfRule type="expression" dxfId="2399" priority="181">
      <formula>AND(T$9&gt;=8/24,T$9&lt;14/24)</formula>
    </cfRule>
    <cfRule type="expression" dxfId="2398" priority="182">
      <formula>T$9&lt;8/24</formula>
    </cfRule>
  </conditionalFormatting>
  <conditionalFormatting sqref="T36:AF36">
    <cfRule type="expression" dxfId="2397" priority="178">
      <formula>T36&gt;$AG36</formula>
    </cfRule>
  </conditionalFormatting>
  <conditionalFormatting sqref="AB50:AF56 V48:AA49">
    <cfRule type="expression" dxfId="2396" priority="174">
      <formula>V$9&gt;=20/24</formula>
    </cfRule>
    <cfRule type="expression" dxfId="2395" priority="175">
      <formula>AND(V$9&gt;=14/24,V$9&lt;20/24)</formula>
    </cfRule>
    <cfRule type="expression" dxfId="2394" priority="176">
      <formula>AND(V$9&gt;=8/24,V$9&lt;14/24)</formula>
    </cfRule>
    <cfRule type="expression" dxfId="2393" priority="177">
      <formula>V$9&lt;8/24</formula>
    </cfRule>
  </conditionalFormatting>
  <conditionalFormatting sqref="AB50:AF56 V48:AA49">
    <cfRule type="expression" dxfId="2392" priority="173">
      <formula>V48&gt;$AG48</formula>
    </cfRule>
  </conditionalFormatting>
  <conditionalFormatting sqref="M45:N45 N46:N47 O45:R47 T52:T56 R50:AA51 N48:U49">
    <cfRule type="expression" dxfId="2391" priority="169">
      <formula>M$9&gt;=20/24</formula>
    </cfRule>
    <cfRule type="expression" dxfId="2390" priority="170">
      <formula>AND(M$9&gt;=14/24,M$9&lt;20/24)</formula>
    </cfRule>
    <cfRule type="expression" dxfId="2389" priority="171">
      <formula>AND(M$9&gt;=8/24,M$9&lt;14/24)</formula>
    </cfRule>
    <cfRule type="expression" dxfId="2388" priority="172">
      <formula>M$9&lt;8/24</formula>
    </cfRule>
  </conditionalFormatting>
  <conditionalFormatting sqref="M45:N45 N46:N47 O45:R47 T52:T56 R50:AA51 N48:U49">
    <cfRule type="expression" dxfId="2387" priority="168">
      <formula>M45&gt;$AG45</formula>
    </cfRule>
  </conditionalFormatting>
  <conditionalFormatting sqref="T28:AF28">
    <cfRule type="expression" dxfId="2386" priority="164">
      <formula>T$9&gt;=20/24</formula>
    </cfRule>
    <cfRule type="expression" dxfId="2385" priority="165">
      <formula>AND(T$9&gt;=14/24,T$9&lt;20/24)</formula>
    </cfRule>
    <cfRule type="expression" dxfId="2384" priority="166">
      <formula>AND(T$9&gt;=8/24,T$9&lt;14/24)</formula>
    </cfRule>
    <cfRule type="expression" dxfId="2383" priority="167">
      <formula>T$9&lt;8/24</formula>
    </cfRule>
  </conditionalFormatting>
  <conditionalFormatting sqref="C31:S31 T19:AF19 T24:AF24">
    <cfRule type="expression" dxfId="2382" priority="160">
      <formula>C$9&gt;=20/24</formula>
    </cfRule>
    <cfRule type="expression" dxfId="2381" priority="161">
      <formula>AND(C$9&gt;=14/24,C$9&lt;20/24)</formula>
    </cfRule>
    <cfRule type="expression" dxfId="2380" priority="162">
      <formula>AND(C$9&gt;=8/24,C$9&lt;14/24)</formula>
    </cfRule>
    <cfRule type="expression" dxfId="2379" priority="163">
      <formula>C$9&lt;8/24</formula>
    </cfRule>
  </conditionalFormatting>
  <conditionalFormatting sqref="C31:S31 T19:AF19 T24:AF24">
    <cfRule type="expression" dxfId="2378" priority="159">
      <formula>C19&gt;$AG19</formula>
    </cfRule>
  </conditionalFormatting>
  <conditionalFormatting sqref="D45">
    <cfRule type="expression" dxfId="2377" priority="155">
      <formula>D$9&gt;=20/24</formula>
    </cfRule>
    <cfRule type="expression" dxfId="2376" priority="156">
      <formula>AND(D$9&gt;=14/24,D$9&lt;20/24)</formula>
    </cfRule>
    <cfRule type="expression" dxfId="2375" priority="157">
      <formula>AND(D$9&gt;=8/24,D$9&lt;14/24)</formula>
    </cfRule>
    <cfRule type="expression" dxfId="2374" priority="158">
      <formula>D$9&lt;8/24</formula>
    </cfRule>
  </conditionalFormatting>
  <conditionalFormatting sqref="D45">
    <cfRule type="expression" dxfId="2373" priority="154">
      <formula>D45&gt;$AG45</formula>
    </cfRule>
  </conditionalFormatting>
  <conditionalFormatting sqref="X46:X47">
    <cfRule type="expression" dxfId="2372" priority="150">
      <formula>X$9&gt;=20/24</formula>
    </cfRule>
    <cfRule type="expression" dxfId="2371" priority="151">
      <formula>AND(X$9&gt;=14/24,X$9&lt;20/24)</formula>
    </cfRule>
    <cfRule type="expression" dxfId="2370" priority="152">
      <formula>AND(X$9&gt;=8/24,X$9&lt;14/24)</formula>
    </cfRule>
    <cfRule type="expression" dxfId="2369" priority="153">
      <formula>X$9&lt;8/24</formula>
    </cfRule>
  </conditionalFormatting>
  <conditionalFormatting sqref="X45">
    <cfRule type="expression" dxfId="2368" priority="146">
      <formula>X$9&gt;=20/24</formula>
    </cfRule>
    <cfRule type="expression" dxfId="2367" priority="147">
      <formula>AND(X$9&gt;=14/24,X$9&lt;20/24)</formula>
    </cfRule>
    <cfRule type="expression" dxfId="2366" priority="148">
      <formula>AND(X$9&gt;=8/24,X$9&lt;14/24)</formula>
    </cfRule>
    <cfRule type="expression" dxfId="2365" priority="149">
      <formula>X$9&lt;8/24</formula>
    </cfRule>
  </conditionalFormatting>
  <conditionalFormatting sqref="X45:X47">
    <cfRule type="expression" dxfId="2364" priority="145">
      <formula>X45&gt;$AG45</formula>
    </cfRule>
  </conditionalFormatting>
  <conditionalFormatting sqref="B101 B80:AF80 B89:AF89 B103:B108 B11:Q11">
    <cfRule type="expression" dxfId="2363" priority="141">
      <formula>B$9&gt;=20/24</formula>
    </cfRule>
    <cfRule type="expression" dxfId="2362" priority="142">
      <formula>AND(B$9&gt;=14/24,B$9&lt;20/24)</formula>
    </cfRule>
    <cfRule type="expression" dxfId="2361" priority="143">
      <formula>AND(B$9&gt;=8/24,B$9&lt;14/24)</formula>
    </cfRule>
    <cfRule type="expression" dxfId="2360" priority="144">
      <formula>B$9&lt;8/24</formula>
    </cfRule>
  </conditionalFormatting>
  <conditionalFormatting sqref="B39:K39">
    <cfRule type="expression" dxfId="2359" priority="137">
      <formula>B$9&gt;=20/24</formula>
    </cfRule>
    <cfRule type="expression" dxfId="2358" priority="138">
      <formula>AND(B$9&gt;=14/24,B$9&lt;20/24)</formula>
    </cfRule>
    <cfRule type="expression" dxfId="2357" priority="139">
      <formula>AND(B$9&gt;=8/24,B$9&lt;14/24)</formula>
    </cfRule>
    <cfRule type="expression" dxfId="2356" priority="140">
      <formula>B$9&lt;8/24</formula>
    </cfRule>
  </conditionalFormatting>
  <conditionalFormatting sqref="B39:K39 B11:Q11">
    <cfRule type="expression" dxfId="2355" priority="136">
      <formula>B11&gt;$AG11</formula>
    </cfRule>
  </conditionalFormatting>
  <conditionalFormatting sqref="B91">
    <cfRule type="expression" dxfId="2354" priority="132">
      <formula>B$9&gt;=20/24</formula>
    </cfRule>
    <cfRule type="expression" dxfId="2353" priority="133">
      <formula>AND(B$9&gt;=14/24,B$9&lt;20/24)</formula>
    </cfRule>
    <cfRule type="expression" dxfId="2352" priority="134">
      <formula>AND(B$9&gt;=8/24,B$9&lt;14/24)</formula>
    </cfRule>
    <cfRule type="expression" dxfId="2351" priority="135">
      <formula>B$9&lt;8/24</formula>
    </cfRule>
  </conditionalFormatting>
  <conditionalFormatting sqref="B46:D47 B63:D63 B38:AF38">
    <cfRule type="expression" dxfId="2350" priority="128">
      <formula>B$9&gt;=20/24</formula>
    </cfRule>
    <cfRule type="expression" dxfId="2349" priority="129">
      <formula>AND(B$9&gt;=14/24,B$9&lt;20/24)</formula>
    </cfRule>
    <cfRule type="expression" dxfId="2348" priority="130">
      <formula>AND(B$9&gt;=8/24,B$9&lt;14/24)</formula>
    </cfRule>
    <cfRule type="expression" dxfId="2347" priority="131">
      <formula>B$9&lt;8/24</formula>
    </cfRule>
  </conditionalFormatting>
  <conditionalFormatting sqref="B45:C45">
    <cfRule type="expression" dxfId="2346" priority="124">
      <formula>B$9&gt;=20/24</formula>
    </cfRule>
    <cfRule type="expression" dxfId="2345" priority="125">
      <formula>AND(B$9&gt;=14/24,B$9&lt;20/24)</formula>
    </cfRule>
    <cfRule type="expression" dxfId="2344" priority="126">
      <formula>AND(B$9&gt;=8/24,B$9&lt;14/24)</formula>
    </cfRule>
    <cfRule type="expression" dxfId="2343" priority="127">
      <formula>B$9&lt;8/24</formula>
    </cfRule>
  </conditionalFormatting>
  <conditionalFormatting sqref="B45:C47 D46:D47 B38:AF38">
    <cfRule type="expression" dxfId="2342" priority="123">
      <formula>B38&gt;$AG38</formula>
    </cfRule>
  </conditionalFormatting>
  <conditionalFormatting sqref="B59:B62 B75:B79 B81:AF81 B88 C62:AG62 C79:AG79 B90:AF90 B92:C98 B64:D73 B12:Q14 B18:Q18 C59:R61 B25:S27 B29:S29 C32:S34 E66:S73 B31:B34">
    <cfRule type="expression" dxfId="2341" priority="119">
      <formula>B$9&gt;=20/24</formula>
    </cfRule>
    <cfRule type="expression" dxfId="2340" priority="120">
      <formula>AND(B$9&gt;=14/24,B$9&lt;20/24)</formula>
    </cfRule>
    <cfRule type="expression" dxfId="2339" priority="121">
      <formula>AND(B$9&gt;=8/24,B$9&lt;14/24)</formula>
    </cfRule>
    <cfRule type="expression" dxfId="2338" priority="122">
      <formula>B$9&lt;8/24</formula>
    </cfRule>
  </conditionalFormatting>
  <conditionalFormatting sqref="B35:S35">
    <cfRule type="expression" dxfId="2337" priority="115">
      <formula>B$9&gt;=20/24</formula>
    </cfRule>
    <cfRule type="expression" dxfId="2336" priority="116">
      <formula>AND(B$9&gt;=14/24,B$9&lt;20/24)</formula>
    </cfRule>
    <cfRule type="expression" dxfId="2335" priority="117">
      <formula>AND(B$9&gt;=8/24,B$9&lt;14/24)</formula>
    </cfRule>
    <cfRule type="expression" dxfId="2334" priority="118">
      <formula>B$9&lt;8/24</formula>
    </cfRule>
  </conditionalFormatting>
  <conditionalFormatting sqref="B57:B62 B40:AG40 C58:AG58 C62:AG62 B48:D49 E49:L49 C59:R61 B25:S29 C32:S35 B31:B35">
    <cfRule type="expression" dxfId="2333" priority="114">
      <formula>B25&gt;$AG25</formula>
    </cfRule>
  </conditionalFormatting>
  <conditionalFormatting sqref="B37:S37">
    <cfRule type="expression" dxfId="2332" priority="110">
      <formula>B$9&gt;=20/24</formula>
    </cfRule>
    <cfRule type="expression" dxfId="2331" priority="111">
      <formula>AND(B$9&gt;=14/24,B$9&lt;20/24)</formula>
    </cfRule>
    <cfRule type="expression" dxfId="2330" priority="112">
      <formula>AND(B$9&gt;=8/24,B$9&lt;14/24)</formula>
    </cfRule>
    <cfRule type="expression" dxfId="2329" priority="113">
      <formula>B$9&lt;8/24</formula>
    </cfRule>
  </conditionalFormatting>
  <conditionalFormatting sqref="B15:Q15">
    <cfRule type="expression" dxfId="2328" priority="106">
      <formula>B$9&gt;=20/24</formula>
    </cfRule>
    <cfRule type="expression" dxfId="2327" priority="107">
      <formula>AND(B$9&gt;=14/24,B$9&lt;20/24)</formula>
    </cfRule>
    <cfRule type="expression" dxfId="2326" priority="108">
      <formula>AND(B$9&gt;=8/24,B$9&lt;14/24)</formula>
    </cfRule>
    <cfRule type="expression" dxfId="2325" priority="109">
      <formula>B$9&lt;8/24</formula>
    </cfRule>
  </conditionalFormatting>
  <conditionalFormatting sqref="B36:S36">
    <cfRule type="expression" dxfId="2324" priority="102">
      <formula>B$9&gt;=20/24</formula>
    </cfRule>
    <cfRule type="expression" dxfId="2323" priority="103">
      <formula>AND(B$9&gt;=14/24,B$9&lt;20/24)</formula>
    </cfRule>
    <cfRule type="expression" dxfId="2322" priority="104">
      <formula>AND(B$9&gt;=8/24,B$9&lt;14/24)</formula>
    </cfRule>
    <cfRule type="expression" dxfId="2321" priority="105">
      <formula>B$9&lt;8/24</formula>
    </cfRule>
  </conditionalFormatting>
  <conditionalFormatting sqref="B36:S36">
    <cfRule type="expression" dxfId="2320" priority="101">
      <formula>B36&gt;$AG36</formula>
    </cfRule>
  </conditionalFormatting>
  <conditionalFormatting sqref="B50:Q56 R52:S56">
    <cfRule type="expression" dxfId="2319" priority="97">
      <formula>B$9&gt;=20/24</formula>
    </cfRule>
    <cfRule type="expression" dxfId="2318" priority="98">
      <formula>AND(B$9&gt;=14/24,B$9&lt;20/24)</formula>
    </cfRule>
    <cfRule type="expression" dxfId="2317" priority="99">
      <formula>AND(B$9&gt;=8/24,B$9&lt;14/24)</formula>
    </cfRule>
    <cfRule type="expression" dxfId="2316" priority="100">
      <formula>B$9&lt;8/24</formula>
    </cfRule>
  </conditionalFormatting>
  <conditionalFormatting sqref="B50:Q56 R52:S56">
    <cfRule type="expression" dxfId="2315" priority="96">
      <formula>B50&gt;$AG50</formula>
    </cfRule>
  </conditionalFormatting>
  <conditionalFormatting sqref="B28:S28">
    <cfRule type="expression" dxfId="2314" priority="92">
      <formula>B$9&gt;=20/24</formula>
    </cfRule>
    <cfRule type="expression" dxfId="2313" priority="93">
      <formula>AND(B$9&gt;=14/24,B$9&lt;20/24)</formula>
    </cfRule>
    <cfRule type="expression" dxfId="2312" priority="94">
      <formula>AND(B$9&gt;=8/24,B$9&lt;14/24)</formula>
    </cfRule>
    <cfRule type="expression" dxfId="2311" priority="95">
      <formula>B$9&lt;8/24</formula>
    </cfRule>
  </conditionalFormatting>
  <conditionalFormatting sqref="B19:S19 B24:S24">
    <cfRule type="expression" dxfId="2310" priority="88">
      <formula>B$9&gt;=20/24</formula>
    </cfRule>
    <cfRule type="expression" dxfId="2309" priority="89">
      <formula>AND(B$9&gt;=14/24,B$9&lt;20/24)</formula>
    </cfRule>
    <cfRule type="expression" dxfId="2308" priority="90">
      <formula>AND(B$9&gt;=8/24,B$9&lt;14/24)</formula>
    </cfRule>
    <cfRule type="expression" dxfId="2307" priority="91">
      <formula>B$9&lt;8/24</formula>
    </cfRule>
  </conditionalFormatting>
  <conditionalFormatting sqref="B19:S19 B24:S24">
    <cfRule type="expression" dxfId="2306" priority="87">
      <formula>B19&gt;$AG19</formula>
    </cfRule>
  </conditionalFormatting>
  <conditionalFormatting sqref="A36">
    <cfRule type="expression" dxfId="2305" priority="86">
      <formula>$AH36=0</formula>
    </cfRule>
  </conditionalFormatting>
  <conditionalFormatting sqref="B74:AF74">
    <cfRule type="expression" dxfId="2304" priority="82">
      <formula>B$9&gt;=20/24</formula>
    </cfRule>
    <cfRule type="expression" dxfId="2303" priority="83">
      <formula>AND(B$9&gt;=14/24,B$9&lt;20/24)</formula>
    </cfRule>
    <cfRule type="expression" dxfId="2302" priority="84">
      <formula>AND(B$9&gt;=8/24,B$9&lt;14/24)</formula>
    </cfRule>
    <cfRule type="expression" dxfId="2301" priority="85">
      <formula>B$9&lt;8/24</formula>
    </cfRule>
  </conditionalFormatting>
  <conditionalFormatting sqref="B83:AF87">
    <cfRule type="expression" dxfId="2300" priority="78">
      <formula>B$9&gt;=20/24</formula>
    </cfRule>
    <cfRule type="expression" dxfId="2299" priority="79">
      <formula>AND(B$9&gt;=14/24,B$9&lt;20/24)</formula>
    </cfRule>
    <cfRule type="expression" dxfId="2298" priority="80">
      <formula>AND(B$9&gt;=8/24,B$9&lt;14/24)</formula>
    </cfRule>
    <cfRule type="expression" dxfId="2297" priority="81">
      <formula>B$9&lt;8/24</formula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C41:AF43">
    <cfRule type="expression" dxfId="2296" priority="74">
      <formula>C$9&gt;=20/24</formula>
    </cfRule>
    <cfRule type="expression" dxfId="2295" priority="75">
      <formula>AND(C$9&gt;=14/24,C$9&lt;20/24)</formula>
    </cfRule>
    <cfRule type="expression" dxfId="2294" priority="76">
      <formula>AND(C$9&gt;=8/24,C$9&lt;14/24)</formula>
    </cfRule>
    <cfRule type="expression" dxfId="2293" priority="77">
      <formula>C$9&lt;8/24</formula>
    </cfRule>
  </conditionalFormatting>
  <conditionalFormatting sqref="C41:AF43">
    <cfRule type="expression" dxfId="2292" priority="73">
      <formula>C41&gt;$AG41</formula>
    </cfRule>
  </conditionalFormatting>
  <conditionalFormatting sqref="B41:B44 C44:AG44">
    <cfRule type="expression" dxfId="2291" priority="69">
      <formula>B$9&gt;=20/24</formula>
    </cfRule>
    <cfRule type="expression" dxfId="2290" priority="70">
      <formula>AND(B$9&gt;=14/24,B$9&lt;20/24)</formula>
    </cfRule>
    <cfRule type="expression" dxfId="2289" priority="71">
      <formula>AND(B$9&gt;=8/24,B$9&lt;14/24)</formula>
    </cfRule>
    <cfRule type="expression" dxfId="2288" priority="72">
      <formula>B$9&lt;8/24</formula>
    </cfRule>
  </conditionalFormatting>
  <conditionalFormatting sqref="B41:B44 C44:AG44">
    <cfRule type="expression" dxfId="2287" priority="68">
      <formula>B41&gt;$AG41</formula>
    </cfRule>
  </conditionalFormatting>
  <conditionalFormatting sqref="C99:AF99">
    <cfRule type="expression" dxfId="2286" priority="64">
      <formula>C$9&gt;=20/24</formula>
    </cfRule>
    <cfRule type="expression" dxfId="2285" priority="65">
      <formula>AND(C$9&gt;=14/24,C$9&lt;20/24)</formula>
    </cfRule>
    <cfRule type="expression" dxfId="2284" priority="66">
      <formula>AND(C$9&gt;=8/24,C$9&lt;14/24)</formula>
    </cfRule>
    <cfRule type="expression" dxfId="2283" priority="67">
      <formula>C$9&lt;8/24</formula>
    </cfRule>
  </conditionalFormatting>
  <conditionalFormatting sqref="B99">
    <cfRule type="expression" dxfId="2282" priority="60">
      <formula>B$9&gt;=20/24</formula>
    </cfRule>
    <cfRule type="expression" dxfId="2281" priority="61">
      <formula>AND(B$9&gt;=14/24,B$9&lt;20/24)</formula>
    </cfRule>
    <cfRule type="expression" dxfId="2280" priority="62">
      <formula>AND(B$9&gt;=8/24,B$9&lt;14/24)</formula>
    </cfRule>
    <cfRule type="expression" dxfId="2279" priority="63">
      <formula>B$9&lt;8/24</formula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2278" priority="54">
      <formula>$AH33=0</formula>
    </cfRule>
  </conditionalFormatting>
  <conditionalFormatting sqref="A82">
    <cfRule type="expression" dxfId="2277" priority="52">
      <formula>$AH82=0</formula>
    </cfRule>
  </conditionalFormatting>
  <conditionalFormatting sqref="A79">
    <cfRule type="expression" dxfId="2276" priority="53">
      <formula>$AH79=0</formula>
    </cfRule>
  </conditionalFormatting>
  <conditionalFormatting sqref="A109">
    <cfRule type="expression" dxfId="2275" priority="43">
      <formula>$AH109=0</formula>
    </cfRule>
  </conditionalFormatting>
  <conditionalFormatting sqref="C102:AF102">
    <cfRule type="expression" dxfId="2274" priority="39">
      <formula>C$9&gt;=20/24</formula>
    </cfRule>
    <cfRule type="expression" dxfId="2273" priority="40">
      <formula>AND(C$9&gt;=14/24,C$9&lt;20/24)</formula>
    </cfRule>
    <cfRule type="expression" dxfId="2272" priority="41">
      <formula>AND(C$9&gt;=8/24,C$9&lt;14/24)</formula>
    </cfRule>
    <cfRule type="expression" dxfId="2271" priority="42">
      <formula>C$9&lt;8/24</formula>
    </cfRule>
  </conditionalFormatting>
  <conditionalFormatting sqref="A102">
    <cfRule type="expression" dxfId="2270" priority="38">
      <formula>$AH102=0</formula>
    </cfRule>
  </conditionalFormatting>
  <conditionalFormatting sqref="B102">
    <cfRule type="expression" dxfId="2269" priority="34">
      <formula>B$9&gt;=20/24</formula>
    </cfRule>
    <cfRule type="expression" dxfId="2268" priority="35">
      <formula>AND(B$9&gt;=14/24,B$9&lt;20/24)</formula>
    </cfRule>
    <cfRule type="expression" dxfId="2267" priority="36">
      <formula>AND(B$9&gt;=8/24,B$9&lt;14/24)</formula>
    </cfRule>
    <cfRule type="expression" dxfId="2266" priority="37">
      <formula>B$9&lt;8/24</formula>
    </cfRule>
  </conditionalFormatting>
  <conditionalFormatting sqref="U52:AA56">
    <cfRule type="expression" dxfId="2265" priority="30">
      <formula>U$9&gt;=20/24</formula>
    </cfRule>
    <cfRule type="expression" dxfId="2264" priority="31">
      <formula>AND(U$9&gt;=14/24,U$9&lt;20/24)</formula>
    </cfRule>
    <cfRule type="expression" dxfId="2263" priority="32">
      <formula>AND(U$9&gt;=8/24,U$9&lt;14/24)</formula>
    </cfRule>
    <cfRule type="expression" dxfId="2262" priority="33">
      <formula>U$9&lt;8/24</formula>
    </cfRule>
  </conditionalFormatting>
  <conditionalFormatting sqref="U52:AA56">
    <cfRule type="expression" dxfId="2261" priority="29">
      <formula>U52&gt;$AG52</formula>
    </cfRule>
  </conditionalFormatting>
  <conditionalFormatting sqref="B17:AF17">
    <cfRule type="expression" dxfId="2260" priority="27">
      <formula>B17&gt;$AG17</formula>
    </cfRule>
  </conditionalFormatting>
  <conditionalFormatting sqref="A17">
    <cfRule type="expression" dxfId="2259" priority="26">
      <formula>$AH17=0</formula>
    </cfRule>
  </conditionalFormatting>
  <conditionalFormatting sqref="R17:AF17">
    <cfRule type="expression" dxfId="2258" priority="22">
      <formula>R$9&gt;=20/24</formula>
    </cfRule>
    <cfRule type="expression" dxfId="2257" priority="23">
      <formula>AND(R$9&gt;=14/24,R$9&lt;20/24)</formula>
    </cfRule>
    <cfRule type="expression" dxfId="2256" priority="24">
      <formula>AND(R$9&gt;=8/24,R$9&lt;14/24)</formula>
    </cfRule>
    <cfRule type="expression" dxfId="2255" priority="25">
      <formula>R$9&lt;8/24</formula>
    </cfRule>
  </conditionalFormatting>
  <conditionalFormatting sqref="B17:Q17">
    <cfRule type="expression" dxfId="2254" priority="18">
      <formula>B$9&gt;=20/24</formula>
    </cfRule>
    <cfRule type="expression" dxfId="2253" priority="19">
      <formula>AND(B$9&gt;=14/24,B$9&lt;20/24)</formula>
    </cfRule>
    <cfRule type="expression" dxfId="2252" priority="20">
      <formula>AND(B$9&gt;=8/24,B$9&lt;14/24)</formula>
    </cfRule>
    <cfRule type="expression" dxfId="2251" priority="21">
      <formula>B$9&lt;8/24</formula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2250" priority="16">
      <formula>$AH30=0</formula>
    </cfRule>
  </conditionalFormatting>
  <conditionalFormatting sqref="T30:AF30">
    <cfRule type="expression" dxfId="2249" priority="12">
      <formula>T$9&gt;=20/24</formula>
    </cfRule>
    <cfRule type="expression" dxfId="2248" priority="13">
      <formula>AND(T$9&gt;=14/24,T$9&lt;20/24)</formula>
    </cfRule>
    <cfRule type="expression" dxfId="2247" priority="14">
      <formula>AND(T$9&gt;=8/24,T$9&lt;14/24)</formula>
    </cfRule>
    <cfRule type="expression" dxfId="2246" priority="15">
      <formula>T$9&lt;8/24</formula>
    </cfRule>
  </conditionalFormatting>
  <conditionalFormatting sqref="T30:AF30">
    <cfRule type="expression" dxfId="2245" priority="11">
      <formula>T30&gt;$AG30</formula>
    </cfRule>
  </conditionalFormatting>
  <conditionalFormatting sqref="C30:S30">
    <cfRule type="expression" dxfId="2244" priority="7">
      <formula>C$9&gt;=20/24</formula>
    </cfRule>
    <cfRule type="expression" dxfId="2243" priority="8">
      <formula>AND(C$9&gt;=14/24,C$9&lt;20/24)</formula>
    </cfRule>
    <cfRule type="expression" dxfId="2242" priority="9">
      <formula>AND(C$9&gt;=8/24,C$9&lt;14/24)</formula>
    </cfRule>
    <cfRule type="expression" dxfId="2241" priority="10">
      <formula>C$9&lt;8/24</formula>
    </cfRule>
  </conditionalFormatting>
  <conditionalFormatting sqref="C30:S30">
    <cfRule type="expression" dxfId="2240" priority="6">
      <formula>C30&gt;$AG30</formula>
    </cfRule>
  </conditionalFormatting>
  <conditionalFormatting sqref="B30">
    <cfRule type="expression" dxfId="2239" priority="2">
      <formula>B$9&gt;=20/24</formula>
    </cfRule>
    <cfRule type="expression" dxfId="2238" priority="3">
      <formula>AND(B$9&gt;=14/24,B$9&lt;20/24)</formula>
    </cfRule>
    <cfRule type="expression" dxfId="2237" priority="4">
      <formula>AND(B$9&gt;=8/24,B$9&lt;14/24)</formula>
    </cfRule>
    <cfRule type="expression" dxfId="2236" priority="5">
      <formula>B$9&lt;8/24</formula>
    </cfRule>
  </conditionalFormatting>
  <conditionalFormatting sqref="B30">
    <cfRule type="expression" dxfId="2235" priority="1">
      <formula>B30&gt;$AG30</formula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12DBFB6F-D4FB-4FD4-AEBF-940CF00F6E1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9873F703-B6F2-4A3C-B78B-E1C5D09FAB5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F6C29986-07FB-4CDF-B2EF-834F5AEAABF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A416B59E-BAC2-4A09-A16F-07B4EF2647B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8" id="{D543F744-D700-4540-9682-9FF6B0C94D14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BC3A547E-B91D-4B93-BE14-B6A8B54D2B3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1D1F2B2F-7314-4ECB-B6B9-DF0E3A14BA3E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96436A2C-20FC-4DD4-8894-12D175CDED2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4" id="{8B5EED4A-9729-46F4-97FD-DA8137148B49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4B4D07BF-BFF1-4950-AFD9-5C690909444C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B1116B29-5B63-4255-ABDE-0F1B8BACB20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75747D16-50E4-4369-8425-D249EB74F42E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"/>
  <sheetViews>
    <sheetView workbookViewId="0">
      <selection activeCell="M9" sqref="M9"/>
    </sheetView>
  </sheetViews>
  <sheetFormatPr defaultRowHeight="15" x14ac:dyDescent="0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C9820-966C-4754-87E2-F5B2B92501B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SP30</vt:lpstr>
      <vt:lpstr>SP29</vt:lpstr>
      <vt:lpstr>SP28</vt:lpstr>
      <vt:lpstr>SP27</vt:lpstr>
      <vt:lpstr>Sample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2023-11-17T20:49:21Z</dcterms:modified>
</cp:coreProperties>
</file>